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6440" windowHeight="25440" activeTab="2"/>
  </bookViews>
  <sheets>
    <sheet name="医療機関" sheetId="1" r:id="rId1"/>
    <sheet name="陽性者登録センター" sheetId="2" r:id="rId2"/>
    <sheet name="合計" sheetId="3" r:id="rId3"/>
  </sheets>
  <definedNames>
    <definedName name="_xlnm.Print_Area" localSheetId="0">医療機関!$A$1:$P$227</definedName>
    <definedName name="_xlnm.Print_Titles" localSheetId="0">医療機関!$2:$2</definedName>
    <definedName name="_xlnm._FilterDatabase" localSheetId="0" hidden="1">医療機関!$A$2:$P$227</definedName>
    <definedName name="_xlnm._FilterDatabase" localSheetId="1" hidden="1">陽性者登録センター!$A$2:$P$227</definedName>
    <definedName name="_xlnm.Print_Area" localSheetId="1">陽性者登録センター!$A$1:$P$227</definedName>
    <definedName name="_xlnm.Print_Titles" localSheetId="1">陽性者登録センター!$2:$2</definedName>
    <definedName name="_xlnm._FilterDatabase" localSheetId="2" hidden="1">合計!$A$2:$P$228</definedName>
    <definedName name="_xlnm.Print_Area" localSheetId="2">合計!$A$1:$Q$228</definedName>
    <definedName name="_xlnm.Print_Titles" localSheetId="2">合計!$2:$2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<sst xmlns="http://schemas.openxmlformats.org/spreadsheetml/2006/main" xmlns:r="http://schemas.openxmlformats.org/officeDocument/2006/relationships" count="22" uniqueCount="22">
  <si>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公表日</t>
    <rPh sb="0" eb="3">
      <t>こうひょうび</t>
    </rPh>
    <phoneticPr fontId="1" type="Hiragana"/>
  </si>
  <si>
    <t>10～19歳</t>
    <rPh sb="5" eb="6">
      <t>とし</t>
    </rPh>
    <phoneticPr fontId="1" type="Hiragana"/>
  </si>
  <si>
    <t>80～89歳</t>
    <rPh sb="5" eb="6">
      <t>とし</t>
    </rPh>
    <phoneticPr fontId="1" type="Hiragana"/>
  </si>
  <si>
    <t>65～69歳</t>
    <rPh sb="5" eb="6">
      <t>とし</t>
    </rPh>
    <phoneticPr fontId="1" type="Hiragana"/>
  </si>
  <si>
    <t>90歳以上</t>
    <rPh sb="2" eb="3">
      <t>さい</t>
    </rPh>
    <phoneticPr fontId="1" type="Hiragana"/>
  </si>
  <si>
    <t>総計</t>
    <rPh sb="0" eb="2">
      <t>そうけい</t>
    </rPh>
    <phoneticPr fontId="1" type="Hiragana"/>
  </si>
  <si>
    <t>計</t>
  </si>
  <si>
    <t>0歳</t>
    <rPh sb="1" eb="2">
      <t>さい</t>
    </rPh>
    <phoneticPr fontId="1" type="Hiragana"/>
  </si>
  <si>
    <t>調査中・不明</t>
    <rPh sb="0" eb="3">
      <t>チョウサチュウ</t>
    </rPh>
    <rPh sb="4" eb="6">
      <t>フメイ</t>
    </rPh>
    <phoneticPr fontId="1"/>
  </si>
  <si>
    <t>5～9歳</t>
    <rPh sb="3" eb="4">
      <t>さい</t>
    </rPh>
    <phoneticPr fontId="1" type="Hiragana"/>
  </si>
  <si>
    <t>1～4歳</t>
    <rPh sb="3" eb="4">
      <t>さい</t>
    </rPh>
    <phoneticPr fontId="1" type="Hiragana"/>
  </si>
  <si>
    <t>年代別新規感染者数の合計</t>
    <rPh sb="0" eb="3">
      <t>ねんだいべつ</t>
    </rPh>
    <rPh sb="3" eb="5">
      <t>しんき</t>
    </rPh>
    <rPh sb="5" eb="8">
      <t>かんせんしゃ</t>
    </rPh>
    <rPh sb="8" eb="9">
      <t>すう</t>
    </rPh>
    <rPh sb="10" eb="12">
      <t>ごうけい</t>
    </rPh>
    <phoneticPr fontId="1" type="Hiragana"/>
  </si>
  <si>
    <t>20～29歳</t>
    <rPh sb="5" eb="6">
      <t>とし</t>
    </rPh>
    <phoneticPr fontId="1" type="Hiragana"/>
  </si>
  <si>
    <t>30～39歳</t>
    <rPh sb="5" eb="6">
      <t>とし</t>
    </rPh>
    <phoneticPr fontId="1" type="Hiragana"/>
  </si>
  <si>
    <t>40～49歳</t>
    <rPh sb="5" eb="6">
      <t>とし</t>
    </rPh>
    <phoneticPr fontId="1" type="Hiragana"/>
  </si>
  <si>
    <t>50～59歳</t>
    <rPh sb="5" eb="6">
      <t>とし</t>
    </rPh>
    <phoneticPr fontId="1" type="Hiragana"/>
  </si>
  <si>
    <t>60～64歳</t>
    <rPh sb="5" eb="6">
      <t>とし</t>
    </rPh>
    <phoneticPr fontId="1" type="Hiragana"/>
  </si>
  <si>
    <t>70～79歳</t>
    <rPh sb="5" eb="6">
      <t>とし</t>
    </rPh>
    <phoneticPr fontId="1" type="Hiragana"/>
  </si>
  <si>
    <t>医療機関で診断された新規感染者数</t>
    <rPh sb="0" eb="2">
      <t>いりょう</t>
    </rPh>
    <rPh sb="2" eb="4">
      <t>きかん</t>
    </rPh>
    <rPh sb="5" eb="7">
      <t>しんだん</t>
    </rPh>
    <rPh sb="10" eb="12">
      <t>しんき</t>
    </rPh>
    <rPh sb="12" eb="15">
      <t>かんせんしゃ</t>
    </rPh>
    <rPh sb="15" eb="16">
      <t>すう</t>
    </rPh>
    <phoneticPr fontId="1" type="Hiragana"/>
  </si>
  <si>
    <t>検査キット配付・陽性者登録センターで判定した新規感染者数</t>
    <rPh sb="0" eb="2">
      <t>けんさ</t>
    </rPh>
    <rPh sb="5" eb="7">
      <t>はいふ</t>
    </rPh>
    <rPh sb="8" eb="11">
      <t>ようせいしゃ</t>
    </rPh>
    <rPh sb="11" eb="13">
      <t>とうろく</t>
    </rPh>
    <rPh sb="18" eb="20">
      <t>はんてい</t>
    </rPh>
    <rPh sb="22" eb="24">
      <t>しんき</t>
    </rPh>
    <rPh sb="24" eb="27">
      <t>かんせんしゃ</t>
    </rPh>
    <rPh sb="27" eb="28">
      <t>すう</t>
    </rPh>
    <phoneticPr fontId="1" type="Hiragana"/>
  </si>
  <si>
    <t>令和4年9月26日まで</t>
    <rPh sb="0" eb="2">
      <t>れいわ</t>
    </rPh>
    <rPh sb="3" eb="4">
      <t>ねん</t>
    </rPh>
    <rPh sb="5" eb="6">
      <t>がつ</t>
    </rPh>
    <rPh sb="8" eb="9">
      <t>にち</t>
    </rPh>
    <phoneticPr fontId="1" type="Hiragana"/>
  </si>
  <si>
    <t>累計</t>
    <rPh sb="0" eb="2">
      <t>るいけい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</si>
</sst>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54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>
      <alignment vertical="center"/>
    </xf>
    <xf numFmtId="38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NumberFormat="1" applyFont="1" applyFill="1" applyBorder="1">
      <alignment vertical="center"/>
    </xf>
    <xf numFmtId="0" fontId="2" fillId="0" borderId="4" xfId="0" applyNumberFormat="1" applyFont="1" applyFill="1" applyBorder="1">
      <alignment vertical="center"/>
    </xf>
    <xf numFmtId="3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38" fontId="2" fillId="0" borderId="2" xfId="0" applyNumberFormat="1" applyFont="1" applyFill="1" applyBorder="1">
      <alignment vertical="center"/>
    </xf>
    <xf numFmtId="3" fontId="2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227"/>
  <sheetViews>
    <sheetView workbookViewId="0">
      <pane xSplit="1" ySplit="2" topLeftCell="B215" activePane="bottomRight" state="frozen"/>
      <selection pane="topRight"/>
      <selection pane="bottomLeft"/>
      <selection pane="bottomRight" activeCell="P227" sqref="P227"/>
    </sheetView>
  </sheetViews>
  <sheetFormatPr defaultRowHeight="13.5"/>
  <cols>
    <col min="1" max="1" width="20.875" style="1" customWidth="1"/>
    <col min="2" max="16384" width="9" style="2" customWidth="1"/>
  </cols>
  <sheetData>
    <row r="1" spans="1:16" ht="20" customHeight="1">
      <c r="A1" s="1" t="s">
        <v>18</v>
      </c>
    </row>
    <row r="2" spans="1:16" s="2" customFormat="1" ht="20" customHeight="1">
      <c r="A2" s="3" t="s">
        <v>0</v>
      </c>
      <c r="B2" s="5" t="s">
        <v>7</v>
      </c>
      <c r="C2" s="5" t="s">
        <v>10</v>
      </c>
      <c r="D2" s="5" t="s">
        <v>9</v>
      </c>
      <c r="E2" s="5" t="s">
        <v>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3</v>
      </c>
      <c r="L2" s="5" t="s">
        <v>17</v>
      </c>
      <c r="M2" s="5" t="s">
        <v>2</v>
      </c>
      <c r="N2" s="5" t="s">
        <v>4</v>
      </c>
      <c r="O2" s="9" t="s">
        <v>8</v>
      </c>
      <c r="P2" s="5" t="s">
        <v>6</v>
      </c>
    </row>
    <row r="3" spans="1:16" ht="20" customHeight="1">
      <c r="A3" s="4">
        <v>44831</v>
      </c>
      <c r="B3" s="6">
        <v>7</v>
      </c>
      <c r="C3" s="6">
        <v>47</v>
      </c>
      <c r="D3" s="6">
        <v>74</v>
      </c>
      <c r="E3" s="6">
        <v>97</v>
      </c>
      <c r="F3" s="6">
        <v>59</v>
      </c>
      <c r="G3" s="6">
        <v>104</v>
      </c>
      <c r="H3" s="6">
        <v>103</v>
      </c>
      <c r="I3" s="6">
        <v>67</v>
      </c>
      <c r="J3" s="6">
        <v>33</v>
      </c>
      <c r="K3" s="6">
        <v>27</v>
      </c>
      <c r="L3" s="6">
        <v>59</v>
      </c>
      <c r="M3" s="6">
        <v>21</v>
      </c>
      <c r="N3" s="6">
        <v>13</v>
      </c>
      <c r="O3" s="6">
        <v>0</v>
      </c>
      <c r="P3" s="8">
        <f t="shared" ref="P3:P66" si="0">SUM(B3:O3)</f>
        <v>711</v>
      </c>
    </row>
    <row r="4" spans="1:16" ht="20" customHeight="1">
      <c r="A4" s="4">
        <v>44832</v>
      </c>
      <c r="B4" s="6">
        <v>5</v>
      </c>
      <c r="C4" s="6">
        <v>17</v>
      </c>
      <c r="D4" s="6">
        <v>43</v>
      </c>
      <c r="E4" s="6">
        <v>58</v>
      </c>
      <c r="F4" s="6">
        <v>25</v>
      </c>
      <c r="G4" s="6">
        <v>69</v>
      </c>
      <c r="H4" s="6">
        <v>64</v>
      </c>
      <c r="I4" s="6">
        <v>31</v>
      </c>
      <c r="J4" s="6">
        <v>34</v>
      </c>
      <c r="K4" s="6">
        <v>15</v>
      </c>
      <c r="L4" s="6">
        <v>28</v>
      </c>
      <c r="M4" s="6">
        <v>23</v>
      </c>
      <c r="N4" s="6">
        <v>8</v>
      </c>
      <c r="O4" s="6">
        <v>0</v>
      </c>
      <c r="P4" s="8">
        <f t="shared" si="0"/>
        <v>420</v>
      </c>
    </row>
    <row r="5" spans="1:16" ht="20" customHeight="1">
      <c r="A5" s="4">
        <v>44833</v>
      </c>
      <c r="B5" s="6">
        <v>4</v>
      </c>
      <c r="C5" s="6">
        <v>14</v>
      </c>
      <c r="D5" s="6">
        <v>37</v>
      </c>
      <c r="E5" s="6">
        <v>62</v>
      </c>
      <c r="F5" s="6">
        <v>29</v>
      </c>
      <c r="G5" s="6">
        <v>62</v>
      </c>
      <c r="H5" s="6">
        <v>55</v>
      </c>
      <c r="I5" s="6">
        <v>40</v>
      </c>
      <c r="J5" s="6">
        <v>15</v>
      </c>
      <c r="K5" s="6">
        <v>24</v>
      </c>
      <c r="L5" s="6">
        <v>17</v>
      </c>
      <c r="M5" s="6">
        <v>10</v>
      </c>
      <c r="N5" s="6">
        <v>7</v>
      </c>
      <c r="O5" s="6">
        <v>0</v>
      </c>
      <c r="P5" s="8">
        <f t="shared" si="0"/>
        <v>376</v>
      </c>
    </row>
    <row r="6" spans="1:16" ht="20" customHeight="1">
      <c r="A6" s="4">
        <v>44834</v>
      </c>
      <c r="B6" s="6">
        <v>2</v>
      </c>
      <c r="C6" s="6">
        <v>15</v>
      </c>
      <c r="D6" s="6">
        <v>32</v>
      </c>
      <c r="E6" s="6">
        <v>40</v>
      </c>
      <c r="F6" s="6">
        <v>29</v>
      </c>
      <c r="G6" s="6">
        <v>34</v>
      </c>
      <c r="H6" s="6">
        <v>42</v>
      </c>
      <c r="I6" s="6">
        <v>28</v>
      </c>
      <c r="J6" s="6">
        <v>21</v>
      </c>
      <c r="K6" s="6">
        <v>18</v>
      </c>
      <c r="L6" s="6">
        <v>26</v>
      </c>
      <c r="M6" s="6">
        <v>19</v>
      </c>
      <c r="N6" s="6">
        <v>10</v>
      </c>
      <c r="O6" s="6">
        <v>0</v>
      </c>
      <c r="P6" s="8">
        <f t="shared" si="0"/>
        <v>316</v>
      </c>
    </row>
    <row r="7" spans="1:16" ht="20" customHeight="1">
      <c r="A7" s="4">
        <v>44835</v>
      </c>
      <c r="B7" s="6">
        <v>0</v>
      </c>
      <c r="C7" s="6">
        <v>30</v>
      </c>
      <c r="D7" s="6">
        <v>25</v>
      </c>
      <c r="E7" s="6">
        <v>38</v>
      </c>
      <c r="F7" s="6">
        <v>31</v>
      </c>
      <c r="G7" s="6">
        <v>33</v>
      </c>
      <c r="H7" s="6">
        <v>39</v>
      </c>
      <c r="I7" s="6">
        <v>26</v>
      </c>
      <c r="J7" s="6">
        <v>15</v>
      </c>
      <c r="K7" s="6">
        <v>14</v>
      </c>
      <c r="L7" s="6">
        <v>33</v>
      </c>
      <c r="M7" s="6">
        <v>14</v>
      </c>
      <c r="N7" s="6">
        <f>6+1</f>
        <v>7</v>
      </c>
      <c r="O7" s="6">
        <f>1-1</f>
        <v>0</v>
      </c>
      <c r="P7" s="8">
        <f t="shared" si="0"/>
        <v>305</v>
      </c>
    </row>
    <row r="8" spans="1:16" ht="20" customHeight="1">
      <c r="A8" s="4">
        <v>44836</v>
      </c>
      <c r="B8" s="6">
        <v>1</v>
      </c>
      <c r="C8" s="6">
        <v>10</v>
      </c>
      <c r="D8" s="6">
        <v>29</v>
      </c>
      <c r="E8" s="6">
        <v>30</v>
      </c>
      <c r="F8" s="6">
        <v>18</v>
      </c>
      <c r="G8" s="6">
        <v>25</v>
      </c>
      <c r="H8" s="6">
        <v>27</v>
      </c>
      <c r="I8" s="6">
        <v>24</v>
      </c>
      <c r="J8" s="6">
        <v>9</v>
      </c>
      <c r="K8" s="6">
        <v>14</v>
      </c>
      <c r="L8" s="6">
        <v>14</v>
      </c>
      <c r="M8" s="6">
        <v>6</v>
      </c>
      <c r="N8" s="6">
        <v>7</v>
      </c>
      <c r="O8" s="6">
        <v>0</v>
      </c>
      <c r="P8" s="8">
        <f t="shared" si="0"/>
        <v>214</v>
      </c>
    </row>
    <row r="9" spans="1:16" ht="20" customHeight="1">
      <c r="A9" s="4">
        <v>44837</v>
      </c>
      <c r="B9" s="6">
        <v>1</v>
      </c>
      <c r="C9" s="6">
        <v>3</v>
      </c>
      <c r="D9" s="6">
        <v>6</v>
      </c>
      <c r="E9" s="6">
        <v>9</v>
      </c>
      <c r="F9" s="6">
        <v>4</v>
      </c>
      <c r="G9" s="6">
        <v>6</v>
      </c>
      <c r="H9" s="6">
        <v>2</v>
      </c>
      <c r="I9" s="6">
        <v>4</v>
      </c>
      <c r="J9" s="6">
        <v>4</v>
      </c>
      <c r="K9" s="6">
        <v>0</v>
      </c>
      <c r="L9" s="6">
        <v>0</v>
      </c>
      <c r="M9" s="6">
        <v>4</v>
      </c>
      <c r="N9" s="6">
        <v>1</v>
      </c>
      <c r="O9" s="6">
        <v>0</v>
      </c>
      <c r="P9" s="8">
        <f t="shared" si="0"/>
        <v>44</v>
      </c>
    </row>
    <row r="10" spans="1:16" ht="20" customHeight="1">
      <c r="A10" s="4">
        <v>44838</v>
      </c>
      <c r="B10" s="6">
        <v>3</v>
      </c>
      <c r="C10" s="6">
        <v>54</v>
      </c>
      <c r="D10" s="6">
        <v>83</v>
      </c>
      <c r="E10" s="6">
        <v>80</v>
      </c>
      <c r="F10" s="6">
        <v>40</v>
      </c>
      <c r="G10" s="6">
        <v>71</v>
      </c>
      <c r="H10" s="6">
        <v>88</v>
      </c>
      <c r="I10" s="6">
        <v>58</v>
      </c>
      <c r="J10" s="6">
        <v>23</v>
      </c>
      <c r="K10" s="6">
        <f>29-1+1</f>
        <v>29</v>
      </c>
      <c r="L10" s="6">
        <v>33</v>
      </c>
      <c r="M10" s="6">
        <v>26</v>
      </c>
      <c r="N10" s="6">
        <f>8-1+1</f>
        <v>8</v>
      </c>
      <c r="O10" s="6">
        <v>0</v>
      </c>
      <c r="P10" s="8">
        <f t="shared" si="0"/>
        <v>596</v>
      </c>
    </row>
    <row r="11" spans="1:16" ht="20" customHeight="1">
      <c r="A11" s="4">
        <v>44839</v>
      </c>
      <c r="B11" s="6">
        <v>6</v>
      </c>
      <c r="C11" s="6">
        <v>40</v>
      </c>
      <c r="D11" s="6">
        <v>53</v>
      </c>
      <c r="E11" s="6">
        <v>58</v>
      </c>
      <c r="F11" s="6">
        <v>32</v>
      </c>
      <c r="G11" s="6">
        <v>58</v>
      </c>
      <c r="H11" s="6">
        <v>64</v>
      </c>
      <c r="I11" s="6">
        <v>36</v>
      </c>
      <c r="J11" s="6">
        <v>21</v>
      </c>
      <c r="K11" s="6">
        <v>16</v>
      </c>
      <c r="L11" s="6">
        <v>24</v>
      </c>
      <c r="M11" s="6">
        <v>24</v>
      </c>
      <c r="N11" s="6">
        <v>11</v>
      </c>
      <c r="O11" s="6">
        <v>0</v>
      </c>
      <c r="P11" s="8">
        <f t="shared" si="0"/>
        <v>443</v>
      </c>
    </row>
    <row r="12" spans="1:16" ht="20" customHeight="1">
      <c r="A12" s="4">
        <v>44840</v>
      </c>
      <c r="B12" s="6">
        <v>6</v>
      </c>
      <c r="C12" s="6">
        <v>20</v>
      </c>
      <c r="D12" s="6">
        <v>46</v>
      </c>
      <c r="E12" s="6">
        <v>49</v>
      </c>
      <c r="F12" s="6">
        <v>22</v>
      </c>
      <c r="G12" s="6">
        <v>52</v>
      </c>
      <c r="H12" s="6">
        <v>60</v>
      </c>
      <c r="I12" s="6">
        <v>33</v>
      </c>
      <c r="J12" s="6">
        <v>14</v>
      </c>
      <c r="K12" s="6">
        <v>14</v>
      </c>
      <c r="L12" s="6">
        <v>15</v>
      </c>
      <c r="M12" s="6">
        <v>11</v>
      </c>
      <c r="N12" s="6">
        <v>1</v>
      </c>
      <c r="O12" s="6">
        <v>0</v>
      </c>
      <c r="P12" s="8">
        <f t="shared" si="0"/>
        <v>343</v>
      </c>
    </row>
    <row r="13" spans="1:16" ht="20" customHeight="1">
      <c r="A13" s="4">
        <v>44841</v>
      </c>
      <c r="B13" s="6">
        <v>1</v>
      </c>
      <c r="C13" s="6">
        <v>23</v>
      </c>
      <c r="D13" s="6">
        <v>42</v>
      </c>
      <c r="E13" s="6">
        <f>43+1</f>
        <v>44</v>
      </c>
      <c r="F13" s="6">
        <v>31</v>
      </c>
      <c r="G13" s="6">
        <v>55</v>
      </c>
      <c r="H13" s="6">
        <v>38</v>
      </c>
      <c r="I13" s="6">
        <f>26+1</f>
        <v>27</v>
      </c>
      <c r="J13" s="6">
        <v>18</v>
      </c>
      <c r="K13" s="6">
        <v>10</v>
      </c>
      <c r="L13" s="6">
        <f>12+1</f>
        <v>13</v>
      </c>
      <c r="M13" s="6">
        <v>12</v>
      </c>
      <c r="N13" s="6">
        <f>15+3</f>
        <v>18</v>
      </c>
      <c r="O13" s="6">
        <v>0</v>
      </c>
      <c r="P13" s="8">
        <f t="shared" si="0"/>
        <v>332</v>
      </c>
    </row>
    <row r="14" spans="1:16" ht="20" customHeight="1">
      <c r="A14" s="4">
        <v>44842</v>
      </c>
      <c r="B14" s="6">
        <v>2</v>
      </c>
      <c r="C14" s="6">
        <v>27</v>
      </c>
      <c r="D14" s="6">
        <v>30</v>
      </c>
      <c r="E14" s="6">
        <v>47</v>
      </c>
      <c r="F14" s="6">
        <v>20</v>
      </c>
      <c r="G14" s="6">
        <v>38</v>
      </c>
      <c r="H14" s="6">
        <f>54+1</f>
        <v>55</v>
      </c>
      <c r="I14" s="6">
        <v>29</v>
      </c>
      <c r="J14" s="6">
        <v>16</v>
      </c>
      <c r="K14" s="6">
        <v>13</v>
      </c>
      <c r="L14" s="6">
        <v>16</v>
      </c>
      <c r="M14" s="6">
        <f>10+2</f>
        <v>12</v>
      </c>
      <c r="N14" s="6">
        <f>6+2</f>
        <v>8</v>
      </c>
      <c r="O14" s="6">
        <v>0</v>
      </c>
      <c r="P14" s="8">
        <f t="shared" si="0"/>
        <v>313</v>
      </c>
    </row>
    <row r="15" spans="1:16" ht="20" customHeight="1">
      <c r="A15" s="4">
        <v>44843</v>
      </c>
      <c r="B15" s="6">
        <v>0</v>
      </c>
      <c r="C15" s="6">
        <v>16</v>
      </c>
      <c r="D15" s="6">
        <v>23</v>
      </c>
      <c r="E15" s="6">
        <v>37</v>
      </c>
      <c r="F15" s="6">
        <v>15</v>
      </c>
      <c r="G15" s="6">
        <v>24</v>
      </c>
      <c r="H15" s="6">
        <v>33</v>
      </c>
      <c r="I15" s="6">
        <v>16</v>
      </c>
      <c r="J15" s="6">
        <v>10</v>
      </c>
      <c r="K15" s="6">
        <v>9</v>
      </c>
      <c r="L15" s="6">
        <v>9</v>
      </c>
      <c r="M15" s="6">
        <v>5</v>
      </c>
      <c r="N15" s="6">
        <v>1</v>
      </c>
      <c r="O15" s="6">
        <v>0</v>
      </c>
      <c r="P15" s="8">
        <f t="shared" si="0"/>
        <v>198</v>
      </c>
    </row>
    <row r="16" spans="1:16" ht="20" customHeight="1">
      <c r="A16" s="4">
        <v>44844</v>
      </c>
      <c r="B16" s="6">
        <v>1</v>
      </c>
      <c r="C16" s="6">
        <v>7</v>
      </c>
      <c r="D16" s="6">
        <v>17</v>
      </c>
      <c r="E16" s="6">
        <v>10</v>
      </c>
      <c r="F16" s="6">
        <v>4</v>
      </c>
      <c r="G16" s="6">
        <f>7+1</f>
        <v>8</v>
      </c>
      <c r="H16" s="6">
        <v>6</v>
      </c>
      <c r="I16" s="6">
        <v>4</v>
      </c>
      <c r="J16" s="6">
        <v>0</v>
      </c>
      <c r="K16" s="6">
        <v>4</v>
      </c>
      <c r="L16" s="6">
        <v>5</v>
      </c>
      <c r="M16" s="6">
        <v>2</v>
      </c>
      <c r="N16" s="6">
        <v>0</v>
      </c>
      <c r="O16" s="6">
        <v>0</v>
      </c>
      <c r="P16" s="8">
        <f t="shared" si="0"/>
        <v>68</v>
      </c>
    </row>
    <row r="17" spans="1:16" ht="20" customHeight="1">
      <c r="A17" s="4">
        <v>44845</v>
      </c>
      <c r="B17" s="6">
        <v>0</v>
      </c>
      <c r="C17" s="6">
        <v>7</v>
      </c>
      <c r="D17" s="6">
        <v>5</v>
      </c>
      <c r="E17" s="6">
        <v>11</v>
      </c>
      <c r="F17" s="6">
        <v>5</v>
      </c>
      <c r="G17" s="6">
        <v>6</v>
      </c>
      <c r="H17" s="6">
        <v>6</v>
      </c>
      <c r="I17" s="6">
        <v>4</v>
      </c>
      <c r="J17" s="6">
        <v>3</v>
      </c>
      <c r="K17" s="6">
        <v>1</v>
      </c>
      <c r="L17" s="6">
        <v>1</v>
      </c>
      <c r="M17" s="6">
        <v>1</v>
      </c>
      <c r="N17" s="6">
        <v>3</v>
      </c>
      <c r="O17" s="6">
        <v>0</v>
      </c>
      <c r="P17" s="8">
        <f t="shared" si="0"/>
        <v>53</v>
      </c>
    </row>
    <row r="18" spans="1:16" ht="20" customHeight="1">
      <c r="A18" s="4">
        <v>44846</v>
      </c>
      <c r="B18" s="6">
        <v>5</v>
      </c>
      <c r="C18" s="6">
        <v>42</v>
      </c>
      <c r="D18" s="6">
        <v>80</v>
      </c>
      <c r="E18" s="6">
        <f>144+1</f>
        <v>145</v>
      </c>
      <c r="F18" s="6">
        <v>69</v>
      </c>
      <c r="G18" s="6">
        <v>103</v>
      </c>
      <c r="H18" s="6">
        <v>129</v>
      </c>
      <c r="I18" s="6">
        <v>61</v>
      </c>
      <c r="J18" s="6">
        <v>39</v>
      </c>
      <c r="K18" s="6">
        <v>27</v>
      </c>
      <c r="L18" s="6">
        <v>47</v>
      </c>
      <c r="M18" s="6">
        <v>41</v>
      </c>
      <c r="N18" s="6">
        <v>30</v>
      </c>
      <c r="O18" s="6">
        <v>0</v>
      </c>
      <c r="P18" s="8">
        <f t="shared" si="0"/>
        <v>818</v>
      </c>
    </row>
    <row r="19" spans="1:16" ht="20" customHeight="1">
      <c r="A19" s="4">
        <v>44847</v>
      </c>
      <c r="B19" s="6">
        <v>6</v>
      </c>
      <c r="C19" s="6">
        <v>31</v>
      </c>
      <c r="D19" s="6">
        <v>63</v>
      </c>
      <c r="E19" s="6">
        <v>112</v>
      </c>
      <c r="F19" s="6">
        <v>37</v>
      </c>
      <c r="G19" s="6">
        <v>66</v>
      </c>
      <c r="H19" s="6">
        <v>73</v>
      </c>
      <c r="I19" s="6">
        <v>40</v>
      </c>
      <c r="J19" s="6">
        <v>19</v>
      </c>
      <c r="K19" s="6">
        <v>12</v>
      </c>
      <c r="L19" s="6">
        <v>26</v>
      </c>
      <c r="M19" s="6">
        <v>11</v>
      </c>
      <c r="N19" s="6">
        <v>13</v>
      </c>
      <c r="O19" s="6">
        <v>0</v>
      </c>
      <c r="P19" s="8">
        <f t="shared" si="0"/>
        <v>509</v>
      </c>
    </row>
    <row r="20" spans="1:16" ht="20" customHeight="1">
      <c r="A20" s="4">
        <v>44848</v>
      </c>
      <c r="B20" s="6">
        <v>4</v>
      </c>
      <c r="C20" s="6">
        <v>15</v>
      </c>
      <c r="D20" s="6">
        <v>38</v>
      </c>
      <c r="E20" s="6">
        <v>71</v>
      </c>
      <c r="F20" s="6">
        <v>32</v>
      </c>
      <c r="G20" s="6">
        <v>77</v>
      </c>
      <c r="H20" s="6">
        <f>76+1</f>
        <v>77</v>
      </c>
      <c r="I20" s="6">
        <v>39</v>
      </c>
      <c r="J20" s="6">
        <v>26</v>
      </c>
      <c r="K20" s="6">
        <v>19</v>
      </c>
      <c r="L20" s="6">
        <v>30</v>
      </c>
      <c r="M20" s="6">
        <v>24</v>
      </c>
      <c r="N20" s="6">
        <v>8</v>
      </c>
      <c r="O20" s="6">
        <v>0</v>
      </c>
      <c r="P20" s="8">
        <f t="shared" si="0"/>
        <v>460</v>
      </c>
    </row>
    <row r="21" spans="1:16" ht="20" customHeight="1">
      <c r="A21" s="4">
        <v>44849</v>
      </c>
      <c r="B21" s="6">
        <v>2</v>
      </c>
      <c r="C21" s="6">
        <f>17+1-1</f>
        <v>17</v>
      </c>
      <c r="D21" s="6">
        <f>42+1-1</f>
        <v>42</v>
      </c>
      <c r="E21" s="6">
        <v>78</v>
      </c>
      <c r="F21" s="6">
        <v>22</v>
      </c>
      <c r="G21" s="6">
        <v>48</v>
      </c>
      <c r="H21" s="6">
        <v>63</v>
      </c>
      <c r="I21" s="6">
        <v>27</v>
      </c>
      <c r="J21" s="6">
        <v>19</v>
      </c>
      <c r="K21" s="6">
        <v>23</v>
      </c>
      <c r="L21" s="6">
        <v>22</v>
      </c>
      <c r="M21" s="6">
        <v>16</v>
      </c>
      <c r="N21" s="6">
        <v>13</v>
      </c>
      <c r="O21" s="6">
        <v>0</v>
      </c>
      <c r="P21" s="8">
        <f t="shared" si="0"/>
        <v>392</v>
      </c>
    </row>
    <row r="22" spans="1:16" ht="20" customHeight="1">
      <c r="A22" s="4">
        <v>44850</v>
      </c>
      <c r="B22" s="6">
        <v>4</v>
      </c>
      <c r="C22" s="6">
        <f>13+1</f>
        <v>14</v>
      </c>
      <c r="D22" s="6">
        <f>30+1</f>
        <v>31</v>
      </c>
      <c r="E22" s="6">
        <v>55</v>
      </c>
      <c r="F22" s="6">
        <v>16</v>
      </c>
      <c r="G22" s="6">
        <v>28</v>
      </c>
      <c r="H22" s="6">
        <v>46</v>
      </c>
      <c r="I22" s="6">
        <v>28</v>
      </c>
      <c r="J22" s="6">
        <v>10</v>
      </c>
      <c r="K22" s="6">
        <v>9</v>
      </c>
      <c r="L22" s="6">
        <v>18</v>
      </c>
      <c r="M22" s="6">
        <v>9</v>
      </c>
      <c r="N22" s="6">
        <v>8</v>
      </c>
      <c r="O22" s="6">
        <v>0</v>
      </c>
      <c r="P22" s="8">
        <f t="shared" si="0"/>
        <v>276</v>
      </c>
    </row>
    <row r="23" spans="1:16" ht="20" customHeight="1">
      <c r="A23" s="4">
        <v>44851</v>
      </c>
      <c r="B23" s="6">
        <v>0</v>
      </c>
      <c r="C23" s="6">
        <v>2</v>
      </c>
      <c r="D23" s="6">
        <v>16</v>
      </c>
      <c r="E23" s="6">
        <v>21</v>
      </c>
      <c r="F23" s="6">
        <v>5</v>
      </c>
      <c r="G23" s="6">
        <v>6</v>
      </c>
      <c r="H23" s="6">
        <v>15</v>
      </c>
      <c r="I23" s="6">
        <v>6</v>
      </c>
      <c r="J23" s="6">
        <v>1</v>
      </c>
      <c r="K23" s="6">
        <v>2</v>
      </c>
      <c r="L23" s="6">
        <f>5+1</f>
        <v>6</v>
      </c>
      <c r="M23" s="6">
        <v>4</v>
      </c>
      <c r="N23" s="6">
        <v>1</v>
      </c>
      <c r="O23" s="6">
        <v>0</v>
      </c>
      <c r="P23" s="8">
        <f t="shared" si="0"/>
        <v>85</v>
      </c>
    </row>
    <row r="24" spans="1:16" ht="20" customHeight="1">
      <c r="A24" s="4">
        <v>44852</v>
      </c>
      <c r="B24" s="6">
        <v>2</v>
      </c>
      <c r="C24" s="6">
        <v>38</v>
      </c>
      <c r="D24" s="6">
        <v>97</v>
      </c>
      <c r="E24" s="6">
        <f>150+1</f>
        <v>151</v>
      </c>
      <c r="F24" s="6">
        <v>35</v>
      </c>
      <c r="G24" s="6">
        <v>95</v>
      </c>
      <c r="H24" s="6">
        <v>112</v>
      </c>
      <c r="I24" s="6">
        <v>65</v>
      </c>
      <c r="J24" s="6">
        <v>29</v>
      </c>
      <c r="K24" s="6">
        <v>30</v>
      </c>
      <c r="L24" s="6">
        <v>46</v>
      </c>
      <c r="M24" s="6">
        <v>44</v>
      </c>
      <c r="N24" s="6">
        <v>21</v>
      </c>
      <c r="O24" s="6">
        <v>0</v>
      </c>
      <c r="P24" s="8">
        <f t="shared" si="0"/>
        <v>765</v>
      </c>
    </row>
    <row r="25" spans="1:16" ht="20" customHeight="1">
      <c r="A25" s="4">
        <v>44853</v>
      </c>
      <c r="B25" s="6">
        <v>1</v>
      </c>
      <c r="C25" s="6">
        <v>15</v>
      </c>
      <c r="D25" s="6">
        <v>41</v>
      </c>
      <c r="E25" s="6">
        <v>109</v>
      </c>
      <c r="F25" s="6">
        <v>30</v>
      </c>
      <c r="G25" s="6">
        <v>58</v>
      </c>
      <c r="H25" s="6">
        <v>75</v>
      </c>
      <c r="I25" s="6">
        <v>45</v>
      </c>
      <c r="J25" s="6">
        <v>15</v>
      </c>
      <c r="K25" s="6">
        <v>17</v>
      </c>
      <c r="L25" s="6">
        <v>26</v>
      </c>
      <c r="M25" s="6">
        <v>19</v>
      </c>
      <c r="N25" s="6">
        <v>6</v>
      </c>
      <c r="O25" s="6">
        <v>0</v>
      </c>
      <c r="P25" s="8">
        <f t="shared" si="0"/>
        <v>457</v>
      </c>
    </row>
    <row r="26" spans="1:16" ht="20" customHeight="1">
      <c r="A26" s="4">
        <v>44854</v>
      </c>
      <c r="B26" s="6">
        <v>3</v>
      </c>
      <c r="C26" s="6">
        <v>22</v>
      </c>
      <c r="D26" s="6">
        <v>36</v>
      </c>
      <c r="E26" s="6">
        <v>69</v>
      </c>
      <c r="F26" s="6">
        <v>23</v>
      </c>
      <c r="G26" s="6">
        <v>64</v>
      </c>
      <c r="H26" s="6">
        <v>61</v>
      </c>
      <c r="I26" s="6">
        <v>42</v>
      </c>
      <c r="J26" s="6">
        <v>19</v>
      </c>
      <c r="K26" s="6">
        <f>25+1-1</f>
        <v>25</v>
      </c>
      <c r="L26" s="6">
        <v>22</v>
      </c>
      <c r="M26" s="6">
        <v>22</v>
      </c>
      <c r="N26" s="6">
        <v>10</v>
      </c>
      <c r="O26" s="6">
        <v>0</v>
      </c>
      <c r="P26" s="8">
        <f t="shared" si="0"/>
        <v>418</v>
      </c>
    </row>
    <row r="27" spans="1:16" ht="20" customHeight="1">
      <c r="A27" s="4">
        <v>44855</v>
      </c>
      <c r="B27" s="6">
        <v>2</v>
      </c>
      <c r="C27" s="6">
        <v>17</v>
      </c>
      <c r="D27" s="6">
        <v>42</v>
      </c>
      <c r="E27" s="6">
        <v>92</v>
      </c>
      <c r="F27" s="6">
        <v>38</v>
      </c>
      <c r="G27" s="6">
        <v>59</v>
      </c>
      <c r="H27" s="6">
        <v>60</v>
      </c>
      <c r="I27" s="6">
        <v>35</v>
      </c>
      <c r="J27" s="6">
        <v>25</v>
      </c>
      <c r="K27" s="6">
        <f>17+1</f>
        <v>18</v>
      </c>
      <c r="L27" s="6">
        <v>37</v>
      </c>
      <c r="M27" s="6">
        <v>21</v>
      </c>
      <c r="N27" s="6">
        <v>2</v>
      </c>
      <c r="O27" s="6">
        <v>0</v>
      </c>
      <c r="P27" s="8">
        <f t="shared" si="0"/>
        <v>448</v>
      </c>
    </row>
    <row r="28" spans="1:16" ht="20" customHeight="1">
      <c r="A28" s="4">
        <v>44856</v>
      </c>
      <c r="B28" s="6">
        <v>2</v>
      </c>
      <c r="C28" s="6">
        <v>18</v>
      </c>
      <c r="D28" s="6">
        <v>45</v>
      </c>
      <c r="E28" s="6">
        <v>85</v>
      </c>
      <c r="F28" s="6">
        <v>31</v>
      </c>
      <c r="G28" s="6">
        <v>45</v>
      </c>
      <c r="H28" s="6">
        <v>61</v>
      </c>
      <c r="I28" s="6">
        <v>47</v>
      </c>
      <c r="J28" s="6">
        <v>17</v>
      </c>
      <c r="K28" s="6">
        <v>26</v>
      </c>
      <c r="L28" s="6">
        <v>32</v>
      </c>
      <c r="M28" s="6">
        <v>18</v>
      </c>
      <c r="N28" s="6">
        <v>2</v>
      </c>
      <c r="O28" s="6">
        <v>0</v>
      </c>
      <c r="P28" s="8">
        <f t="shared" si="0"/>
        <v>429</v>
      </c>
    </row>
    <row r="29" spans="1:16" ht="20" customHeight="1">
      <c r="A29" s="4">
        <v>44857</v>
      </c>
      <c r="B29" s="6">
        <v>0</v>
      </c>
      <c r="C29" s="6">
        <v>20</v>
      </c>
      <c r="D29" s="6">
        <v>37</v>
      </c>
      <c r="E29" s="6">
        <f>44+1</f>
        <v>45</v>
      </c>
      <c r="F29" s="6">
        <f>20+1</f>
        <v>21</v>
      </c>
      <c r="G29" s="6">
        <v>27</v>
      </c>
      <c r="H29" s="6">
        <v>46</v>
      </c>
      <c r="I29" s="6">
        <v>25</v>
      </c>
      <c r="J29" s="6">
        <v>15</v>
      </c>
      <c r="K29" s="6">
        <v>7</v>
      </c>
      <c r="L29" s="6">
        <v>16</v>
      </c>
      <c r="M29" s="6">
        <v>8</v>
      </c>
      <c r="N29" s="6">
        <v>1</v>
      </c>
      <c r="O29" s="6">
        <v>0</v>
      </c>
      <c r="P29" s="8">
        <f t="shared" si="0"/>
        <v>268</v>
      </c>
    </row>
    <row r="30" spans="1:16" ht="20" customHeight="1">
      <c r="A30" s="4">
        <v>44858</v>
      </c>
      <c r="B30" s="6">
        <v>0</v>
      </c>
      <c r="C30" s="6">
        <v>7</v>
      </c>
      <c r="D30" s="6">
        <v>12</v>
      </c>
      <c r="E30" s="6">
        <v>10</v>
      </c>
      <c r="F30" s="6">
        <v>4</v>
      </c>
      <c r="G30" s="6">
        <v>4</v>
      </c>
      <c r="H30" s="6">
        <v>19</v>
      </c>
      <c r="I30" s="6">
        <v>11</v>
      </c>
      <c r="J30" s="6">
        <v>5</v>
      </c>
      <c r="K30" s="6">
        <v>4</v>
      </c>
      <c r="L30" s="6">
        <v>8</v>
      </c>
      <c r="M30" s="6">
        <v>2</v>
      </c>
      <c r="N30" s="6">
        <v>1</v>
      </c>
      <c r="O30" s="6">
        <v>0</v>
      </c>
      <c r="P30" s="8">
        <f t="shared" si="0"/>
        <v>87</v>
      </c>
    </row>
    <row r="31" spans="1:16" ht="20" customHeight="1">
      <c r="A31" s="4">
        <v>44859</v>
      </c>
      <c r="B31" s="6">
        <v>2</v>
      </c>
      <c r="C31" s="6">
        <v>42</v>
      </c>
      <c r="D31" s="6">
        <v>84</v>
      </c>
      <c r="E31" s="6">
        <v>119</v>
      </c>
      <c r="F31" s="6">
        <v>52</v>
      </c>
      <c r="G31" s="6">
        <v>89</v>
      </c>
      <c r="H31" s="6">
        <v>106</v>
      </c>
      <c r="I31" s="6">
        <v>75</v>
      </c>
      <c r="J31" s="6">
        <v>36</v>
      </c>
      <c r="K31" s="6">
        <v>37</v>
      </c>
      <c r="L31" s="6">
        <v>39</v>
      </c>
      <c r="M31" s="6">
        <v>25</v>
      </c>
      <c r="N31" s="6">
        <v>18</v>
      </c>
      <c r="O31" s="6">
        <v>0</v>
      </c>
      <c r="P31" s="8">
        <f t="shared" si="0"/>
        <v>724</v>
      </c>
    </row>
    <row r="32" spans="1:16" ht="20" customHeight="1">
      <c r="A32" s="4">
        <v>44860</v>
      </c>
      <c r="B32" s="6">
        <v>2</v>
      </c>
      <c r="C32" s="6">
        <v>16</v>
      </c>
      <c r="D32" s="6">
        <v>42</v>
      </c>
      <c r="E32" s="6">
        <v>106</v>
      </c>
      <c r="F32" s="6">
        <v>47</v>
      </c>
      <c r="G32" s="6">
        <v>65</v>
      </c>
      <c r="H32" s="6">
        <v>66</v>
      </c>
      <c r="I32" s="6">
        <v>42</v>
      </c>
      <c r="J32" s="6">
        <v>24</v>
      </c>
      <c r="K32" s="6">
        <v>24</v>
      </c>
      <c r="L32" s="6">
        <v>33</v>
      </c>
      <c r="M32" s="6">
        <v>23</v>
      </c>
      <c r="N32" s="6">
        <v>23</v>
      </c>
      <c r="O32" s="6">
        <v>0</v>
      </c>
      <c r="P32" s="8">
        <f t="shared" si="0"/>
        <v>513</v>
      </c>
    </row>
    <row r="33" spans="1:16" ht="20" customHeight="1">
      <c r="A33" s="4">
        <v>44861</v>
      </c>
      <c r="B33" s="6">
        <v>2</v>
      </c>
      <c r="C33" s="6">
        <v>16</v>
      </c>
      <c r="D33" s="6">
        <v>45</v>
      </c>
      <c r="E33" s="6">
        <v>89</v>
      </c>
      <c r="F33" s="6">
        <v>39</v>
      </c>
      <c r="G33" s="6">
        <v>58</v>
      </c>
      <c r="H33" s="6">
        <v>60</v>
      </c>
      <c r="I33" s="6">
        <v>46</v>
      </c>
      <c r="J33" s="6">
        <v>21</v>
      </c>
      <c r="K33" s="6">
        <v>17</v>
      </c>
      <c r="L33" s="6">
        <v>35</v>
      </c>
      <c r="M33" s="6">
        <v>31</v>
      </c>
      <c r="N33" s="6">
        <v>17</v>
      </c>
      <c r="O33" s="6">
        <v>0</v>
      </c>
      <c r="P33" s="8">
        <f t="shared" si="0"/>
        <v>476</v>
      </c>
    </row>
    <row r="34" spans="1:16" ht="20" customHeight="1">
      <c r="A34" s="4">
        <v>44862</v>
      </c>
      <c r="B34" s="6">
        <v>2</v>
      </c>
      <c r="C34" s="6">
        <v>26</v>
      </c>
      <c r="D34" s="6">
        <v>42</v>
      </c>
      <c r="E34" s="6">
        <v>108</v>
      </c>
      <c r="F34" s="6">
        <v>35</v>
      </c>
      <c r="G34" s="6">
        <v>53</v>
      </c>
      <c r="H34" s="6">
        <v>81</v>
      </c>
      <c r="I34" s="6">
        <v>51</v>
      </c>
      <c r="J34" s="6">
        <v>15</v>
      </c>
      <c r="K34" s="6">
        <v>15</v>
      </c>
      <c r="L34" s="6">
        <v>32</v>
      </c>
      <c r="M34" s="6">
        <v>27</v>
      </c>
      <c r="N34" s="6">
        <v>7</v>
      </c>
      <c r="O34" s="6">
        <v>0</v>
      </c>
      <c r="P34" s="8">
        <f t="shared" si="0"/>
        <v>494</v>
      </c>
    </row>
    <row r="35" spans="1:16" ht="20" customHeight="1">
      <c r="A35" s="4">
        <v>44863</v>
      </c>
      <c r="B35" s="6">
        <v>3</v>
      </c>
      <c r="C35" s="6">
        <v>26</v>
      </c>
      <c r="D35" s="6">
        <v>47</v>
      </c>
      <c r="E35" s="6">
        <v>112</v>
      </c>
      <c r="F35" s="6">
        <v>34</v>
      </c>
      <c r="G35" s="6">
        <v>53</v>
      </c>
      <c r="H35" s="6">
        <v>69</v>
      </c>
      <c r="I35" s="6">
        <v>62</v>
      </c>
      <c r="J35" s="6">
        <v>22</v>
      </c>
      <c r="K35" s="6">
        <v>15</v>
      </c>
      <c r="L35" s="6">
        <v>47</v>
      </c>
      <c r="M35" s="6">
        <v>29</v>
      </c>
      <c r="N35" s="6">
        <v>20</v>
      </c>
      <c r="O35" s="6">
        <v>0</v>
      </c>
      <c r="P35" s="8">
        <f t="shared" si="0"/>
        <v>539</v>
      </c>
    </row>
    <row r="36" spans="1:16" ht="20" customHeight="1">
      <c r="A36" s="4">
        <v>44864</v>
      </c>
      <c r="B36" s="6">
        <v>0</v>
      </c>
      <c r="C36" s="6">
        <f>15+1</f>
        <v>16</v>
      </c>
      <c r="D36" s="6">
        <f>48+1</f>
        <v>49</v>
      </c>
      <c r="E36" s="6">
        <f>73+1</f>
        <v>74</v>
      </c>
      <c r="F36" s="6">
        <f>26+2</f>
        <v>28</v>
      </c>
      <c r="G36" s="6">
        <v>41</v>
      </c>
      <c r="H36" s="6">
        <v>58</v>
      </c>
      <c r="I36" s="6">
        <f>38+3</f>
        <v>41</v>
      </c>
      <c r="J36" s="6">
        <v>18</v>
      </c>
      <c r="K36" s="6">
        <v>11</v>
      </c>
      <c r="L36" s="6">
        <f>18+1</f>
        <v>19</v>
      </c>
      <c r="M36" s="6">
        <v>18</v>
      </c>
      <c r="N36" s="6">
        <v>8</v>
      </c>
      <c r="O36" s="6">
        <v>0</v>
      </c>
      <c r="P36" s="8">
        <f t="shared" si="0"/>
        <v>381</v>
      </c>
    </row>
    <row r="37" spans="1:16" ht="20" customHeight="1">
      <c r="A37" s="4">
        <v>44865</v>
      </c>
      <c r="B37" s="6">
        <v>0</v>
      </c>
      <c r="C37" s="6">
        <v>4</v>
      </c>
      <c r="D37" s="6">
        <v>10</v>
      </c>
      <c r="E37" s="6">
        <v>24</v>
      </c>
      <c r="F37" s="6">
        <v>7</v>
      </c>
      <c r="G37" s="6">
        <f>7+1</f>
        <v>8</v>
      </c>
      <c r="H37" s="6">
        <v>10</v>
      </c>
      <c r="I37" s="6">
        <v>6</v>
      </c>
      <c r="J37" s="6">
        <f>5+1</f>
        <v>6</v>
      </c>
      <c r="K37" s="6">
        <v>1</v>
      </c>
      <c r="L37" s="6">
        <v>5</v>
      </c>
      <c r="M37" s="6">
        <v>6</v>
      </c>
      <c r="N37" s="6">
        <v>4</v>
      </c>
      <c r="O37" s="6">
        <v>0</v>
      </c>
      <c r="P37" s="8">
        <f t="shared" si="0"/>
        <v>91</v>
      </c>
    </row>
    <row r="38" spans="1:16" ht="20" customHeight="1">
      <c r="A38" s="4">
        <v>44866</v>
      </c>
      <c r="B38" s="6">
        <v>10</v>
      </c>
      <c r="C38" s="6">
        <v>45</v>
      </c>
      <c r="D38" s="6">
        <v>132</v>
      </c>
      <c r="E38" s="6">
        <v>181</v>
      </c>
      <c r="F38" s="6">
        <v>83</v>
      </c>
      <c r="G38" s="6">
        <v>135</v>
      </c>
      <c r="H38" s="6">
        <v>156</v>
      </c>
      <c r="I38" s="6">
        <f>112+1</f>
        <v>113</v>
      </c>
      <c r="J38" s="6">
        <v>53</v>
      </c>
      <c r="K38" s="6">
        <v>31</v>
      </c>
      <c r="L38" s="6">
        <v>71</v>
      </c>
      <c r="M38" s="6">
        <v>83</v>
      </c>
      <c r="N38" s="6">
        <v>44</v>
      </c>
      <c r="O38" s="6">
        <v>0</v>
      </c>
      <c r="P38" s="8">
        <f t="shared" si="0"/>
        <v>1137</v>
      </c>
    </row>
    <row r="39" spans="1:16" ht="20" customHeight="1">
      <c r="A39" s="4">
        <v>44867</v>
      </c>
      <c r="B39" s="6">
        <v>3</v>
      </c>
      <c r="C39" s="6">
        <f>36+1</f>
        <v>37</v>
      </c>
      <c r="D39" s="6">
        <v>85</v>
      </c>
      <c r="E39" s="6">
        <f>148+1</f>
        <v>149</v>
      </c>
      <c r="F39" s="6">
        <v>42</v>
      </c>
      <c r="G39" s="6">
        <f>84+1</f>
        <v>85</v>
      </c>
      <c r="H39" s="6">
        <v>117</v>
      </c>
      <c r="I39" s="6">
        <v>77</v>
      </c>
      <c r="J39" s="6">
        <v>27</v>
      </c>
      <c r="K39" s="6">
        <v>35</v>
      </c>
      <c r="L39" s="6">
        <v>42</v>
      </c>
      <c r="M39" s="6">
        <v>34</v>
      </c>
      <c r="N39" s="6">
        <v>9</v>
      </c>
      <c r="O39" s="6">
        <v>0</v>
      </c>
      <c r="P39" s="8">
        <f t="shared" si="0"/>
        <v>742</v>
      </c>
    </row>
    <row r="40" spans="1:16" ht="20" customHeight="1">
      <c r="A40" s="4">
        <v>44868</v>
      </c>
      <c r="B40" s="6">
        <v>4</v>
      </c>
      <c r="C40" s="6">
        <v>35</v>
      </c>
      <c r="D40" s="6">
        <v>72</v>
      </c>
      <c r="E40" s="6">
        <v>146</v>
      </c>
      <c r="F40" s="6">
        <v>60</v>
      </c>
      <c r="G40" s="6">
        <v>110</v>
      </c>
      <c r="H40" s="6">
        <v>115</v>
      </c>
      <c r="I40" s="6">
        <f>70+1</f>
        <v>71</v>
      </c>
      <c r="J40" s="6">
        <v>36</v>
      </c>
      <c r="K40" s="6">
        <v>29</v>
      </c>
      <c r="L40" s="6">
        <v>58</v>
      </c>
      <c r="M40" s="6">
        <v>34</v>
      </c>
      <c r="N40" s="6">
        <v>31</v>
      </c>
      <c r="O40" s="6">
        <v>0</v>
      </c>
      <c r="P40" s="8">
        <f t="shared" si="0"/>
        <v>801</v>
      </c>
    </row>
    <row r="41" spans="1:16" ht="20" customHeight="1">
      <c r="A41" s="4">
        <v>44869</v>
      </c>
      <c r="B41" s="6">
        <v>2</v>
      </c>
      <c r="C41" s="6">
        <v>3</v>
      </c>
      <c r="D41" s="6">
        <v>13</v>
      </c>
      <c r="E41" s="6">
        <v>20</v>
      </c>
      <c r="F41" s="6">
        <v>8</v>
      </c>
      <c r="G41" s="6">
        <v>17</v>
      </c>
      <c r="H41" s="6">
        <v>18</v>
      </c>
      <c r="I41" s="6">
        <v>9</v>
      </c>
      <c r="J41" s="6">
        <v>5</v>
      </c>
      <c r="K41" s="6">
        <v>2</v>
      </c>
      <c r="L41" s="6">
        <v>7</v>
      </c>
      <c r="M41" s="6">
        <v>2</v>
      </c>
      <c r="N41" s="6">
        <v>5</v>
      </c>
      <c r="O41" s="6">
        <v>0</v>
      </c>
      <c r="P41" s="8">
        <f t="shared" si="0"/>
        <v>111</v>
      </c>
    </row>
    <row r="42" spans="1:16" ht="20" customHeight="1">
      <c r="A42" s="4">
        <v>44870</v>
      </c>
      <c r="B42" s="6">
        <v>9</v>
      </c>
      <c r="C42" s="6">
        <f>66-1</f>
        <v>65</v>
      </c>
      <c r="D42" s="6">
        <v>93</v>
      </c>
      <c r="E42" s="6">
        <v>204</v>
      </c>
      <c r="F42" s="6">
        <v>83</v>
      </c>
      <c r="G42" s="6">
        <v>116</v>
      </c>
      <c r="H42" s="6">
        <f>160+1</f>
        <v>161</v>
      </c>
      <c r="I42" s="6">
        <v>106</v>
      </c>
      <c r="J42" s="6">
        <v>72</v>
      </c>
      <c r="K42" s="6">
        <v>45</v>
      </c>
      <c r="L42" s="6">
        <v>73</v>
      </c>
      <c r="M42" s="6">
        <v>54</v>
      </c>
      <c r="N42" s="6">
        <v>31</v>
      </c>
      <c r="O42" s="6">
        <v>0</v>
      </c>
      <c r="P42" s="8">
        <f t="shared" si="0"/>
        <v>1112</v>
      </c>
    </row>
    <row r="43" spans="1:16" ht="20" customHeight="1">
      <c r="A43" s="4">
        <v>44871</v>
      </c>
      <c r="B43" s="6">
        <v>3</v>
      </c>
      <c r="C43" s="6">
        <v>28</v>
      </c>
      <c r="D43" s="6">
        <v>50</v>
      </c>
      <c r="E43" s="6">
        <f>90+1</f>
        <v>91</v>
      </c>
      <c r="F43" s="6">
        <f>42+1</f>
        <v>43</v>
      </c>
      <c r="G43" s="6">
        <f>55+1</f>
        <v>56</v>
      </c>
      <c r="H43" s="6">
        <f>69+1</f>
        <v>70</v>
      </c>
      <c r="I43" s="6">
        <f>39+1</f>
        <v>40</v>
      </c>
      <c r="J43" s="6">
        <f>19+1-1</f>
        <v>19</v>
      </c>
      <c r="K43" s="6">
        <v>18</v>
      </c>
      <c r="L43" s="6">
        <v>37</v>
      </c>
      <c r="M43" s="6">
        <f>46+1-1</f>
        <v>46</v>
      </c>
      <c r="N43" s="6">
        <v>25</v>
      </c>
      <c r="O43" s="6">
        <v>0</v>
      </c>
      <c r="P43" s="8">
        <f t="shared" si="0"/>
        <v>526</v>
      </c>
    </row>
    <row r="44" spans="1:16" ht="20" customHeight="1">
      <c r="A44" s="4">
        <v>44872</v>
      </c>
      <c r="B44" s="6">
        <v>0</v>
      </c>
      <c r="C44" s="6">
        <v>9</v>
      </c>
      <c r="D44" s="6">
        <v>13</v>
      </c>
      <c r="E44" s="6">
        <v>26</v>
      </c>
      <c r="F44" s="6">
        <v>5</v>
      </c>
      <c r="G44" s="6">
        <v>8</v>
      </c>
      <c r="H44" s="6">
        <v>11</v>
      </c>
      <c r="I44" s="6">
        <v>8</v>
      </c>
      <c r="J44" s="6">
        <f>3-1+1</f>
        <v>3</v>
      </c>
      <c r="K44" s="6">
        <f>6+1</f>
        <v>7</v>
      </c>
      <c r="L44" s="6">
        <v>14</v>
      </c>
      <c r="M44" s="6">
        <f>12+1</f>
        <v>13</v>
      </c>
      <c r="N44" s="6">
        <v>13</v>
      </c>
      <c r="O44" s="6">
        <v>0</v>
      </c>
      <c r="P44" s="8">
        <f t="shared" si="0"/>
        <v>130</v>
      </c>
    </row>
    <row r="45" spans="1:16" ht="20" customHeight="1">
      <c r="A45" s="4">
        <v>44873</v>
      </c>
      <c r="B45" s="6">
        <v>10</v>
      </c>
      <c r="C45" s="6">
        <f>53+1</f>
        <v>54</v>
      </c>
      <c r="D45" s="6">
        <f>84+1</f>
        <v>85</v>
      </c>
      <c r="E45" s="6">
        <f>245+7</f>
        <v>252</v>
      </c>
      <c r="F45" s="6">
        <f>81+1</f>
        <v>82</v>
      </c>
      <c r="G45" s="6">
        <f>151+2</f>
        <v>153</v>
      </c>
      <c r="H45" s="6">
        <f>165+1+1+5</f>
        <v>172</v>
      </c>
      <c r="I45" s="6">
        <f>132+7</f>
        <v>139</v>
      </c>
      <c r="J45" s="6">
        <f>59+1</f>
        <v>60</v>
      </c>
      <c r="K45" s="6">
        <f>51+1</f>
        <v>52</v>
      </c>
      <c r="L45" s="6">
        <f>68+3</f>
        <v>71</v>
      </c>
      <c r="M45" s="6">
        <f>51+1</f>
        <v>52</v>
      </c>
      <c r="N45" s="6">
        <v>19</v>
      </c>
      <c r="O45" s="6">
        <v>0</v>
      </c>
      <c r="P45" s="8">
        <f t="shared" si="0"/>
        <v>1201</v>
      </c>
    </row>
    <row r="46" spans="1:16" ht="20" customHeight="1">
      <c r="A46" s="4">
        <v>44874</v>
      </c>
      <c r="B46" s="6">
        <v>7</v>
      </c>
      <c r="C46" s="6">
        <v>40</v>
      </c>
      <c r="D46" s="6">
        <v>65</v>
      </c>
      <c r="E46" s="6">
        <v>170</v>
      </c>
      <c r="F46" s="6">
        <v>62</v>
      </c>
      <c r="G46" s="6">
        <v>116</v>
      </c>
      <c r="H46" s="6">
        <v>144</v>
      </c>
      <c r="I46" s="6">
        <f>107+1</f>
        <v>108</v>
      </c>
      <c r="J46" s="6">
        <v>38</v>
      </c>
      <c r="K46" s="6">
        <v>44</v>
      </c>
      <c r="L46" s="6">
        <v>53</v>
      </c>
      <c r="M46" s="6">
        <v>42</v>
      </c>
      <c r="N46" s="6">
        <v>16</v>
      </c>
      <c r="O46" s="6">
        <v>0</v>
      </c>
      <c r="P46" s="8">
        <f t="shared" si="0"/>
        <v>905</v>
      </c>
    </row>
    <row r="47" spans="1:16" ht="20" customHeight="1">
      <c r="A47" s="4">
        <v>44875</v>
      </c>
      <c r="B47" s="6">
        <v>8</v>
      </c>
      <c r="C47" s="6">
        <v>35</v>
      </c>
      <c r="D47" s="6">
        <v>53</v>
      </c>
      <c r="E47" s="6">
        <v>133</v>
      </c>
      <c r="F47" s="6">
        <v>71</v>
      </c>
      <c r="G47" s="6">
        <v>97</v>
      </c>
      <c r="H47" s="6">
        <v>135</v>
      </c>
      <c r="I47" s="6">
        <v>84</v>
      </c>
      <c r="J47" s="6">
        <v>44</v>
      </c>
      <c r="K47" s="6">
        <v>45</v>
      </c>
      <c r="L47" s="6">
        <v>49</v>
      </c>
      <c r="M47" s="6">
        <v>32</v>
      </c>
      <c r="N47" s="6">
        <v>13</v>
      </c>
      <c r="O47" s="6">
        <v>0</v>
      </c>
      <c r="P47" s="8">
        <f t="shared" si="0"/>
        <v>799</v>
      </c>
    </row>
    <row r="48" spans="1:16" ht="20" customHeight="1">
      <c r="A48" s="4">
        <v>44876</v>
      </c>
      <c r="B48" s="6">
        <v>5</v>
      </c>
      <c r="C48" s="6">
        <v>32</v>
      </c>
      <c r="D48" s="6">
        <v>48</v>
      </c>
      <c r="E48" s="6">
        <v>132</v>
      </c>
      <c r="F48" s="6">
        <f>57+1</f>
        <v>58</v>
      </c>
      <c r="G48" s="6">
        <v>67</v>
      </c>
      <c r="H48" s="6">
        <f>97+1</f>
        <v>98</v>
      </c>
      <c r="I48" s="6">
        <f>76+1</f>
        <v>77</v>
      </c>
      <c r="J48" s="6">
        <f>31+1</f>
        <v>32</v>
      </c>
      <c r="K48" s="6">
        <f>34+1</f>
        <v>35</v>
      </c>
      <c r="L48" s="6">
        <v>66</v>
      </c>
      <c r="M48" s="6">
        <v>43</v>
      </c>
      <c r="N48" s="6">
        <f>20+1</f>
        <v>21</v>
      </c>
      <c r="O48" s="6">
        <v>0</v>
      </c>
      <c r="P48" s="8">
        <f t="shared" si="0"/>
        <v>714</v>
      </c>
    </row>
    <row r="49" spans="1:16" ht="20" customHeight="1">
      <c r="A49" s="4">
        <v>44877</v>
      </c>
      <c r="B49" s="6">
        <v>6</v>
      </c>
      <c r="C49" s="6">
        <v>45</v>
      </c>
      <c r="D49" s="6">
        <v>82</v>
      </c>
      <c r="E49" s="6">
        <v>155</v>
      </c>
      <c r="F49" s="6">
        <v>69</v>
      </c>
      <c r="G49" s="6">
        <f>105+1</f>
        <v>106</v>
      </c>
      <c r="H49" s="6">
        <v>114</v>
      </c>
      <c r="I49" s="6">
        <f>103+1</f>
        <v>104</v>
      </c>
      <c r="J49" s="6">
        <f>54+1</f>
        <v>55</v>
      </c>
      <c r="K49" s="6">
        <v>46</v>
      </c>
      <c r="L49" s="6">
        <f>74+1</f>
        <v>75</v>
      </c>
      <c r="M49" s="6">
        <v>52</v>
      </c>
      <c r="N49" s="6">
        <v>22</v>
      </c>
      <c r="O49" s="6">
        <v>0</v>
      </c>
      <c r="P49" s="8">
        <f t="shared" si="0"/>
        <v>931</v>
      </c>
    </row>
    <row r="50" spans="1:16" ht="20" customHeight="1">
      <c r="A50" s="4">
        <v>44878</v>
      </c>
      <c r="B50" s="6">
        <v>1</v>
      </c>
      <c r="C50" s="6">
        <v>37</v>
      </c>
      <c r="D50" s="6">
        <v>60</v>
      </c>
      <c r="E50" s="6">
        <v>95</v>
      </c>
      <c r="F50" s="6">
        <v>25</v>
      </c>
      <c r="G50" s="6">
        <v>47</v>
      </c>
      <c r="H50" s="6">
        <v>82</v>
      </c>
      <c r="I50" s="6">
        <v>50</v>
      </c>
      <c r="J50" s="6">
        <v>32</v>
      </c>
      <c r="K50" s="6">
        <v>21</v>
      </c>
      <c r="L50" s="6">
        <v>30</v>
      </c>
      <c r="M50" s="6">
        <v>25</v>
      </c>
      <c r="N50" s="6">
        <v>18</v>
      </c>
      <c r="O50" s="6">
        <v>0</v>
      </c>
      <c r="P50" s="8">
        <f t="shared" si="0"/>
        <v>523</v>
      </c>
    </row>
    <row r="51" spans="1:16" ht="20" customHeight="1">
      <c r="A51" s="4">
        <v>44879</v>
      </c>
      <c r="B51" s="6">
        <v>1</v>
      </c>
      <c r="C51" s="6">
        <v>14</v>
      </c>
      <c r="D51" s="6">
        <v>22</v>
      </c>
      <c r="E51" s="6">
        <v>35</v>
      </c>
      <c r="F51" s="6">
        <v>4</v>
      </c>
      <c r="G51" s="6">
        <v>9</v>
      </c>
      <c r="H51" s="6">
        <v>20</v>
      </c>
      <c r="I51" s="6">
        <v>11</v>
      </c>
      <c r="J51" s="6">
        <v>4</v>
      </c>
      <c r="K51" s="6">
        <v>8</v>
      </c>
      <c r="L51" s="6">
        <v>12</v>
      </c>
      <c r="M51" s="6">
        <v>16</v>
      </c>
      <c r="N51" s="6">
        <v>4</v>
      </c>
      <c r="O51" s="6">
        <v>0</v>
      </c>
      <c r="P51" s="8">
        <f t="shared" si="0"/>
        <v>160</v>
      </c>
    </row>
    <row r="52" spans="1:16" ht="20" customHeight="1">
      <c r="A52" s="4">
        <v>44880</v>
      </c>
      <c r="B52" s="6">
        <v>10</v>
      </c>
      <c r="C52" s="6">
        <v>65</v>
      </c>
      <c r="D52" s="6">
        <v>133</v>
      </c>
      <c r="E52" s="6">
        <v>350</v>
      </c>
      <c r="F52" s="6">
        <v>106</v>
      </c>
      <c r="G52" s="6">
        <v>196</v>
      </c>
      <c r="H52" s="6">
        <v>216</v>
      </c>
      <c r="I52" s="6">
        <v>155</v>
      </c>
      <c r="J52" s="6">
        <v>87</v>
      </c>
      <c r="K52" s="6">
        <v>78</v>
      </c>
      <c r="L52" s="6">
        <v>118</v>
      </c>
      <c r="M52" s="6">
        <v>63</v>
      </c>
      <c r="N52" s="6">
        <v>47</v>
      </c>
      <c r="O52" s="6">
        <v>0</v>
      </c>
      <c r="P52" s="8">
        <f t="shared" si="0"/>
        <v>1624</v>
      </c>
    </row>
    <row r="53" spans="1:16" ht="20" customHeight="1">
      <c r="A53" s="4">
        <v>44881</v>
      </c>
      <c r="B53" s="6">
        <v>7</v>
      </c>
      <c r="C53" s="6">
        <v>47</v>
      </c>
      <c r="D53" s="6">
        <v>88</v>
      </c>
      <c r="E53" s="6">
        <v>230</v>
      </c>
      <c r="F53" s="6">
        <v>87</v>
      </c>
      <c r="G53" s="6">
        <v>123</v>
      </c>
      <c r="H53" s="6">
        <f>168+1</f>
        <v>169</v>
      </c>
      <c r="I53" s="6">
        <v>101</v>
      </c>
      <c r="J53" s="6">
        <v>45</v>
      </c>
      <c r="K53" s="6">
        <v>50</v>
      </c>
      <c r="L53" s="6">
        <f>81+1+1</f>
        <v>83</v>
      </c>
      <c r="M53" s="6">
        <v>39</v>
      </c>
      <c r="N53" s="6">
        <v>26</v>
      </c>
      <c r="O53" s="6">
        <v>0</v>
      </c>
      <c r="P53" s="8">
        <f t="shared" si="0"/>
        <v>1095</v>
      </c>
    </row>
    <row r="54" spans="1:16" ht="20" customHeight="1">
      <c r="A54" s="4">
        <v>44882</v>
      </c>
      <c r="B54" s="6">
        <v>2</v>
      </c>
      <c r="C54" s="6">
        <v>45</v>
      </c>
      <c r="D54" s="6">
        <v>72</v>
      </c>
      <c r="E54" s="6">
        <v>156</v>
      </c>
      <c r="F54" s="6">
        <v>83</v>
      </c>
      <c r="G54" s="6">
        <v>133</v>
      </c>
      <c r="H54" s="6">
        <v>167</v>
      </c>
      <c r="I54" s="6">
        <v>119</v>
      </c>
      <c r="J54" s="6">
        <v>37</v>
      </c>
      <c r="K54" s="6">
        <v>38</v>
      </c>
      <c r="L54" s="6">
        <f>75+1</f>
        <v>76</v>
      </c>
      <c r="M54" s="6">
        <f>48+1</f>
        <v>49</v>
      </c>
      <c r="N54" s="6">
        <f>15+1</f>
        <v>16</v>
      </c>
      <c r="O54" s="6">
        <v>0</v>
      </c>
      <c r="P54" s="8">
        <f t="shared" si="0"/>
        <v>993</v>
      </c>
    </row>
    <row r="55" spans="1:16" ht="20" customHeight="1">
      <c r="A55" s="4">
        <v>44883</v>
      </c>
      <c r="B55" s="6">
        <v>9</v>
      </c>
      <c r="C55" s="6">
        <v>39</v>
      </c>
      <c r="D55" s="6">
        <v>89</v>
      </c>
      <c r="E55" s="6">
        <v>133</v>
      </c>
      <c r="F55" s="6">
        <v>76</v>
      </c>
      <c r="G55" s="6">
        <v>106</v>
      </c>
      <c r="H55" s="6">
        <v>121</v>
      </c>
      <c r="I55" s="6">
        <v>83</v>
      </c>
      <c r="J55" s="6">
        <v>43</v>
      </c>
      <c r="K55" s="6">
        <v>50</v>
      </c>
      <c r="L55" s="6">
        <v>67</v>
      </c>
      <c r="M55" s="6">
        <v>43</v>
      </c>
      <c r="N55" s="6">
        <v>28</v>
      </c>
      <c r="O55" s="6">
        <v>0</v>
      </c>
      <c r="P55" s="8">
        <f t="shared" si="0"/>
        <v>887</v>
      </c>
    </row>
    <row r="56" spans="1:16" ht="20" customHeight="1">
      <c r="A56" s="4">
        <v>44884</v>
      </c>
      <c r="B56" s="6">
        <v>9</v>
      </c>
      <c r="C56" s="6">
        <v>36</v>
      </c>
      <c r="D56" s="6">
        <v>91</v>
      </c>
      <c r="E56" s="6">
        <v>182</v>
      </c>
      <c r="F56" s="6">
        <v>71</v>
      </c>
      <c r="G56" s="6">
        <f>120+1</f>
        <v>121</v>
      </c>
      <c r="H56" s="6">
        <v>160</v>
      </c>
      <c r="I56" s="6">
        <v>108</v>
      </c>
      <c r="J56" s="6">
        <v>46</v>
      </c>
      <c r="K56" s="6">
        <v>49</v>
      </c>
      <c r="L56" s="6">
        <v>66</v>
      </c>
      <c r="M56" s="6">
        <v>52</v>
      </c>
      <c r="N56" s="6">
        <v>19</v>
      </c>
      <c r="O56" s="6">
        <v>0</v>
      </c>
      <c r="P56" s="8">
        <f t="shared" si="0"/>
        <v>1010</v>
      </c>
    </row>
    <row r="57" spans="1:16" ht="20" customHeight="1">
      <c r="A57" s="4">
        <v>44885</v>
      </c>
      <c r="B57" s="6">
        <v>5</v>
      </c>
      <c r="C57" s="6">
        <v>22</v>
      </c>
      <c r="D57" s="6">
        <v>65</v>
      </c>
      <c r="E57" s="6">
        <v>104</v>
      </c>
      <c r="F57" s="6">
        <v>41</v>
      </c>
      <c r="G57" s="6">
        <v>61</v>
      </c>
      <c r="H57" s="6">
        <v>72</v>
      </c>
      <c r="I57" s="6">
        <f>70+1</f>
        <v>71</v>
      </c>
      <c r="J57" s="6">
        <f>35+1</f>
        <v>36</v>
      </c>
      <c r="K57" s="6">
        <v>22</v>
      </c>
      <c r="L57" s="6">
        <v>35</v>
      </c>
      <c r="M57" s="6">
        <v>22</v>
      </c>
      <c r="N57" s="6">
        <v>8</v>
      </c>
      <c r="O57" s="6">
        <v>0</v>
      </c>
      <c r="P57" s="8">
        <f t="shared" si="0"/>
        <v>564</v>
      </c>
    </row>
    <row r="58" spans="1:16" ht="20" customHeight="1">
      <c r="A58" s="4">
        <v>44886</v>
      </c>
      <c r="B58" s="6">
        <v>0</v>
      </c>
      <c r="C58" s="6">
        <v>19</v>
      </c>
      <c r="D58" s="6">
        <v>29</v>
      </c>
      <c r="E58" s="6">
        <v>39</v>
      </c>
      <c r="F58" s="6">
        <v>7</v>
      </c>
      <c r="G58" s="6">
        <v>17</v>
      </c>
      <c r="H58" s="6">
        <v>16</v>
      </c>
      <c r="I58" s="6">
        <v>6</v>
      </c>
      <c r="J58" s="6">
        <v>4</v>
      </c>
      <c r="K58" s="6">
        <v>1</v>
      </c>
      <c r="L58" s="6">
        <v>9</v>
      </c>
      <c r="M58" s="6">
        <v>7</v>
      </c>
      <c r="N58" s="6">
        <f>3-1</f>
        <v>2</v>
      </c>
      <c r="O58" s="6">
        <v>0</v>
      </c>
      <c r="P58" s="8">
        <f t="shared" si="0"/>
        <v>156</v>
      </c>
    </row>
    <row r="59" spans="1:16" ht="20" customHeight="1">
      <c r="A59" s="4">
        <v>44887</v>
      </c>
      <c r="B59" s="6">
        <v>12</v>
      </c>
      <c r="C59" s="6">
        <v>85</v>
      </c>
      <c r="D59" s="6">
        <v>152</v>
      </c>
      <c r="E59" s="6">
        <v>275</v>
      </c>
      <c r="F59" s="6">
        <v>122</v>
      </c>
      <c r="G59" s="6">
        <v>198</v>
      </c>
      <c r="H59" s="6">
        <f>239+2</f>
        <v>241</v>
      </c>
      <c r="I59" s="6">
        <v>166</v>
      </c>
      <c r="J59" s="6">
        <v>93</v>
      </c>
      <c r="K59" s="6">
        <v>92</v>
      </c>
      <c r="L59" s="6">
        <v>116</v>
      </c>
      <c r="M59" s="6">
        <v>80</v>
      </c>
      <c r="N59" s="6">
        <v>37</v>
      </c>
      <c r="O59" s="6">
        <v>0</v>
      </c>
      <c r="P59" s="8">
        <f t="shared" si="0"/>
        <v>1669</v>
      </c>
    </row>
    <row r="60" spans="1:16" ht="20" customHeight="1">
      <c r="A60" s="4">
        <v>44888</v>
      </c>
      <c r="B60" s="6">
        <f>11+1</f>
        <v>12</v>
      </c>
      <c r="C60" s="6">
        <v>61</v>
      </c>
      <c r="D60" s="6">
        <f>132+1</f>
        <v>133</v>
      </c>
      <c r="E60" s="6">
        <f>193+2</f>
        <v>195</v>
      </c>
      <c r="F60" s="6">
        <v>107</v>
      </c>
      <c r="G60" s="6">
        <f>168+1</f>
        <v>169</v>
      </c>
      <c r="H60" s="6">
        <f>195+1</f>
        <v>196</v>
      </c>
      <c r="I60" s="6">
        <v>123</v>
      </c>
      <c r="J60" s="6">
        <f>69+1</f>
        <v>70</v>
      </c>
      <c r="K60" s="6">
        <f>50+1</f>
        <v>51</v>
      </c>
      <c r="L60" s="6">
        <v>102</v>
      </c>
      <c r="M60" s="6">
        <f>79+1</f>
        <v>80</v>
      </c>
      <c r="N60" s="6">
        <f>28+2</f>
        <v>30</v>
      </c>
      <c r="O60" s="6">
        <v>0</v>
      </c>
      <c r="P60" s="8">
        <f t="shared" si="0"/>
        <v>1329</v>
      </c>
    </row>
    <row r="61" spans="1:16" ht="20" customHeight="1">
      <c r="A61" s="4">
        <v>44889</v>
      </c>
      <c r="B61" s="6">
        <v>0</v>
      </c>
      <c r="C61" s="6">
        <v>4</v>
      </c>
      <c r="D61" s="6">
        <v>16</v>
      </c>
      <c r="E61" s="6">
        <v>14</v>
      </c>
      <c r="F61" s="6">
        <v>8</v>
      </c>
      <c r="G61" s="6">
        <v>14</v>
      </c>
      <c r="H61" s="6">
        <v>14</v>
      </c>
      <c r="I61" s="6">
        <v>12</v>
      </c>
      <c r="J61" s="6">
        <v>6</v>
      </c>
      <c r="K61" s="6">
        <v>2</v>
      </c>
      <c r="L61" s="6">
        <v>10</v>
      </c>
      <c r="M61" s="6">
        <v>5</v>
      </c>
      <c r="N61" s="6">
        <v>8</v>
      </c>
      <c r="O61" s="6">
        <v>0</v>
      </c>
      <c r="P61" s="8">
        <f t="shared" si="0"/>
        <v>113</v>
      </c>
    </row>
    <row r="62" spans="1:16" ht="20" customHeight="1">
      <c r="A62" s="4">
        <v>44890</v>
      </c>
      <c r="B62" s="6">
        <v>10</v>
      </c>
      <c r="C62" s="6">
        <v>71</v>
      </c>
      <c r="D62" s="6">
        <v>120</v>
      </c>
      <c r="E62" s="6">
        <v>175</v>
      </c>
      <c r="F62" s="6">
        <v>118</v>
      </c>
      <c r="G62" s="6">
        <v>184</v>
      </c>
      <c r="H62" s="6">
        <v>230</v>
      </c>
      <c r="I62" s="6">
        <v>148</v>
      </c>
      <c r="J62" s="6">
        <v>87</v>
      </c>
      <c r="K62" s="6">
        <v>95</v>
      </c>
      <c r="L62" s="6">
        <v>135</v>
      </c>
      <c r="M62" s="6">
        <v>101</v>
      </c>
      <c r="N62" s="6">
        <v>59</v>
      </c>
      <c r="O62" s="6">
        <v>0</v>
      </c>
      <c r="P62" s="8">
        <f t="shared" si="0"/>
        <v>1533</v>
      </c>
    </row>
    <row r="63" spans="1:16" ht="20" customHeight="1">
      <c r="A63" s="4">
        <v>44891</v>
      </c>
      <c r="B63" s="6">
        <v>17</v>
      </c>
      <c r="C63" s="6">
        <v>46</v>
      </c>
      <c r="D63" s="6">
        <v>101</v>
      </c>
      <c r="E63" s="6">
        <v>137</v>
      </c>
      <c r="F63" s="6">
        <v>95</v>
      </c>
      <c r="G63" s="6">
        <v>146</v>
      </c>
      <c r="H63" s="6">
        <v>156</v>
      </c>
      <c r="I63" s="6">
        <v>136</v>
      </c>
      <c r="J63" s="6">
        <v>71</v>
      </c>
      <c r="K63" s="6">
        <v>72</v>
      </c>
      <c r="L63" s="6">
        <v>103</v>
      </c>
      <c r="M63" s="6">
        <v>66</v>
      </c>
      <c r="N63" s="6">
        <v>41</v>
      </c>
      <c r="O63" s="6">
        <v>0</v>
      </c>
      <c r="P63" s="8">
        <f t="shared" si="0"/>
        <v>1187</v>
      </c>
    </row>
    <row r="64" spans="1:16" ht="20" customHeight="1">
      <c r="A64" s="4">
        <v>44892</v>
      </c>
      <c r="B64" s="6">
        <v>10</v>
      </c>
      <c r="C64" s="6">
        <v>47</v>
      </c>
      <c r="D64" s="6">
        <v>61</v>
      </c>
      <c r="E64" s="6">
        <v>70</v>
      </c>
      <c r="F64" s="6">
        <v>48</v>
      </c>
      <c r="G64" s="6">
        <v>69</v>
      </c>
      <c r="H64" s="6">
        <v>82</v>
      </c>
      <c r="I64" s="6">
        <v>68</v>
      </c>
      <c r="J64" s="6">
        <v>46</v>
      </c>
      <c r="K64" s="6">
        <v>28</v>
      </c>
      <c r="L64" s="6">
        <v>50</v>
      </c>
      <c r="M64" s="6">
        <v>44</v>
      </c>
      <c r="N64" s="6">
        <v>26</v>
      </c>
      <c r="O64" s="6">
        <v>0</v>
      </c>
      <c r="P64" s="8">
        <f t="shared" si="0"/>
        <v>649</v>
      </c>
    </row>
    <row r="65" spans="1:16" ht="20" customHeight="1">
      <c r="A65" s="4">
        <v>44893</v>
      </c>
      <c r="B65" s="6">
        <v>0</v>
      </c>
      <c r="C65" s="6">
        <v>16</v>
      </c>
      <c r="D65" s="6">
        <v>23</v>
      </c>
      <c r="E65" s="6">
        <v>26</v>
      </c>
      <c r="F65" s="6">
        <v>10</v>
      </c>
      <c r="G65" s="6">
        <v>18</v>
      </c>
      <c r="H65" s="6">
        <v>21</v>
      </c>
      <c r="I65" s="6">
        <v>14</v>
      </c>
      <c r="J65" s="6">
        <v>11</v>
      </c>
      <c r="K65" s="6">
        <v>9</v>
      </c>
      <c r="L65" s="6">
        <v>12</v>
      </c>
      <c r="M65" s="6">
        <v>14</v>
      </c>
      <c r="N65" s="6">
        <v>13</v>
      </c>
      <c r="O65" s="6">
        <v>0</v>
      </c>
      <c r="P65" s="8">
        <f t="shared" si="0"/>
        <v>187</v>
      </c>
    </row>
    <row r="66" spans="1:16" ht="20" customHeight="1">
      <c r="A66" s="4">
        <v>44894</v>
      </c>
      <c r="B66" s="6">
        <v>13</v>
      </c>
      <c r="C66" s="6">
        <v>84</v>
      </c>
      <c r="D66" s="6">
        <v>167</v>
      </c>
      <c r="E66" s="6">
        <f>197+1</f>
        <v>198</v>
      </c>
      <c r="F66" s="6">
        <f>138+1</f>
        <v>139</v>
      </c>
      <c r="G66" s="6">
        <v>195</v>
      </c>
      <c r="H66" s="6">
        <v>220</v>
      </c>
      <c r="I66" s="6">
        <v>170</v>
      </c>
      <c r="J66" s="6">
        <v>77</v>
      </c>
      <c r="K66" s="6">
        <v>119</v>
      </c>
      <c r="L66" s="6">
        <f>179+1</f>
        <v>180</v>
      </c>
      <c r="M66" s="6">
        <v>120</v>
      </c>
      <c r="N66" s="6">
        <f>73+2</f>
        <v>75</v>
      </c>
      <c r="O66" s="6">
        <f>2-2</f>
        <v>0</v>
      </c>
      <c r="P66" s="8">
        <f t="shared" si="0"/>
        <v>1757</v>
      </c>
    </row>
    <row r="67" spans="1:16" ht="20" customHeight="1">
      <c r="A67" s="4">
        <v>44895</v>
      </c>
      <c r="B67" s="6">
        <v>11</v>
      </c>
      <c r="C67" s="6">
        <v>64</v>
      </c>
      <c r="D67" s="6">
        <v>115</v>
      </c>
      <c r="E67" s="6">
        <v>127</v>
      </c>
      <c r="F67" s="6">
        <v>100</v>
      </c>
      <c r="G67" s="6">
        <v>152</v>
      </c>
      <c r="H67" s="6">
        <f>164+1</f>
        <v>165</v>
      </c>
      <c r="I67" s="6">
        <v>138</v>
      </c>
      <c r="J67" s="6">
        <v>81</v>
      </c>
      <c r="K67" s="6">
        <f>71+1</f>
        <v>72</v>
      </c>
      <c r="L67" s="6">
        <v>132</v>
      </c>
      <c r="M67" s="6">
        <v>105</v>
      </c>
      <c r="N67" s="6">
        <f>70+1</f>
        <v>71</v>
      </c>
      <c r="O67" s="6">
        <v>0</v>
      </c>
      <c r="P67" s="8">
        <f t="shared" ref="P67:P130" si="1">SUM(B67:O67)</f>
        <v>1333</v>
      </c>
    </row>
    <row r="68" spans="1:16" ht="20" customHeight="1">
      <c r="A68" s="4">
        <v>44896</v>
      </c>
      <c r="B68" s="6">
        <v>11</v>
      </c>
      <c r="C68" s="6">
        <v>70</v>
      </c>
      <c r="D68" s="6">
        <v>72</v>
      </c>
      <c r="E68" s="6">
        <v>126</v>
      </c>
      <c r="F68" s="6">
        <v>92</v>
      </c>
      <c r="G68" s="6">
        <v>147</v>
      </c>
      <c r="H68" s="6">
        <v>145</v>
      </c>
      <c r="I68" s="6">
        <v>112</v>
      </c>
      <c r="J68" s="6">
        <v>77</v>
      </c>
      <c r="K68" s="6">
        <v>73</v>
      </c>
      <c r="L68" s="6">
        <v>124</v>
      </c>
      <c r="M68" s="6">
        <v>108</v>
      </c>
      <c r="N68" s="6">
        <v>62</v>
      </c>
      <c r="O68" s="6">
        <v>0</v>
      </c>
      <c r="P68" s="8">
        <f t="shared" si="1"/>
        <v>1219</v>
      </c>
    </row>
    <row r="69" spans="1:16" ht="20" customHeight="1">
      <c r="A69" s="4">
        <v>44897</v>
      </c>
      <c r="B69" s="6">
        <v>8</v>
      </c>
      <c r="C69" s="6">
        <v>61</v>
      </c>
      <c r="D69" s="6">
        <v>93</v>
      </c>
      <c r="E69" s="6">
        <f>122+1</f>
        <v>123</v>
      </c>
      <c r="F69" s="6">
        <f>83+1</f>
        <v>84</v>
      </c>
      <c r="G69" s="6">
        <v>132</v>
      </c>
      <c r="H69" s="6">
        <f>140+1</f>
        <v>141</v>
      </c>
      <c r="I69" s="6">
        <v>99</v>
      </c>
      <c r="J69" s="6">
        <v>66</v>
      </c>
      <c r="K69" s="6">
        <v>63</v>
      </c>
      <c r="L69" s="6">
        <v>116</v>
      </c>
      <c r="M69" s="6">
        <v>88</v>
      </c>
      <c r="N69" s="6">
        <v>78</v>
      </c>
      <c r="O69" s="6">
        <v>0</v>
      </c>
      <c r="P69" s="8">
        <f t="shared" si="1"/>
        <v>1152</v>
      </c>
    </row>
    <row r="70" spans="1:16" ht="20" customHeight="1">
      <c r="A70" s="4">
        <v>44898</v>
      </c>
      <c r="B70" s="6">
        <v>8</v>
      </c>
      <c r="C70" s="6">
        <v>76</v>
      </c>
      <c r="D70" s="6">
        <v>105</v>
      </c>
      <c r="E70" s="6">
        <v>117</v>
      </c>
      <c r="F70" s="6">
        <v>82</v>
      </c>
      <c r="G70" s="6">
        <v>116</v>
      </c>
      <c r="H70" s="6">
        <f>145+1</f>
        <v>146</v>
      </c>
      <c r="I70" s="6">
        <v>113</v>
      </c>
      <c r="J70" s="6">
        <v>58</v>
      </c>
      <c r="K70" s="6">
        <v>55</v>
      </c>
      <c r="L70" s="6">
        <v>133</v>
      </c>
      <c r="M70" s="6">
        <v>75</v>
      </c>
      <c r="N70" s="6">
        <v>44</v>
      </c>
      <c r="O70" s="6">
        <v>0</v>
      </c>
      <c r="P70" s="8">
        <f t="shared" si="1"/>
        <v>1128</v>
      </c>
    </row>
    <row r="71" spans="1:16" ht="20" customHeight="1">
      <c r="A71" s="4">
        <v>44899</v>
      </c>
      <c r="B71" s="6">
        <v>9</v>
      </c>
      <c r="C71" s="6">
        <v>38</v>
      </c>
      <c r="D71" s="6">
        <v>65</v>
      </c>
      <c r="E71" s="6">
        <v>68</v>
      </c>
      <c r="F71" s="6">
        <v>50</v>
      </c>
      <c r="G71" s="6">
        <f>72+1</f>
        <v>73</v>
      </c>
      <c r="H71" s="6">
        <v>86</v>
      </c>
      <c r="I71" s="6">
        <f>68+1</f>
        <v>69</v>
      </c>
      <c r="J71" s="6">
        <f>34+3</f>
        <v>37</v>
      </c>
      <c r="K71" s="6">
        <f>24+1</f>
        <v>25</v>
      </c>
      <c r="L71" s="6">
        <v>52</v>
      </c>
      <c r="M71" s="6">
        <f>53+2</f>
        <v>55</v>
      </c>
      <c r="N71" s="6">
        <f>43+1-1</f>
        <v>43</v>
      </c>
      <c r="O71" s="6">
        <f>1-1</f>
        <v>0</v>
      </c>
      <c r="P71" s="8">
        <f t="shared" si="1"/>
        <v>670</v>
      </c>
    </row>
    <row r="72" spans="1:16" ht="20" customHeight="1">
      <c r="A72" s="4">
        <v>44900</v>
      </c>
      <c r="B72" s="6">
        <v>7</v>
      </c>
      <c r="C72" s="6">
        <v>22</v>
      </c>
      <c r="D72" s="6">
        <v>27</v>
      </c>
      <c r="E72" s="6">
        <v>17</v>
      </c>
      <c r="F72" s="6">
        <v>12</v>
      </c>
      <c r="G72" s="6">
        <v>17</v>
      </c>
      <c r="H72" s="6">
        <v>20</v>
      </c>
      <c r="I72" s="6">
        <v>12</v>
      </c>
      <c r="J72" s="6">
        <v>6</v>
      </c>
      <c r="K72" s="6">
        <v>7</v>
      </c>
      <c r="L72" s="6">
        <v>18</v>
      </c>
      <c r="M72" s="6">
        <v>14</v>
      </c>
      <c r="N72" s="6">
        <v>17</v>
      </c>
      <c r="O72" s="6">
        <v>0</v>
      </c>
      <c r="P72" s="8">
        <f t="shared" si="1"/>
        <v>196</v>
      </c>
    </row>
    <row r="73" spans="1:16" ht="20" customHeight="1">
      <c r="A73" s="4">
        <v>44901</v>
      </c>
      <c r="B73" s="6">
        <v>20</v>
      </c>
      <c r="C73" s="6">
        <v>120</v>
      </c>
      <c r="D73" s="6">
        <v>158</v>
      </c>
      <c r="E73" s="6">
        <v>219</v>
      </c>
      <c r="F73" s="6">
        <v>120</v>
      </c>
      <c r="G73" s="6">
        <v>234</v>
      </c>
      <c r="H73" s="6">
        <v>251</v>
      </c>
      <c r="I73" s="6">
        <v>175</v>
      </c>
      <c r="J73" s="6">
        <v>105</v>
      </c>
      <c r="K73" s="6">
        <v>104</v>
      </c>
      <c r="L73" s="6">
        <v>139</v>
      </c>
      <c r="M73" s="6">
        <v>139</v>
      </c>
      <c r="N73" s="6">
        <v>77</v>
      </c>
      <c r="O73" s="6">
        <v>0</v>
      </c>
      <c r="P73" s="8">
        <f t="shared" si="1"/>
        <v>1861</v>
      </c>
    </row>
    <row r="74" spans="1:16" ht="20" customHeight="1">
      <c r="A74" s="4">
        <v>44902</v>
      </c>
      <c r="B74" s="6">
        <v>8</v>
      </c>
      <c r="C74" s="6">
        <v>74</v>
      </c>
      <c r="D74" s="6">
        <v>111</v>
      </c>
      <c r="E74" s="6">
        <v>174</v>
      </c>
      <c r="F74" s="6">
        <v>88</v>
      </c>
      <c r="G74" s="6">
        <v>165</v>
      </c>
      <c r="H74" s="6">
        <v>165</v>
      </c>
      <c r="I74" s="6">
        <v>101</v>
      </c>
      <c r="J74" s="6">
        <v>79</v>
      </c>
      <c r="K74" s="6">
        <v>63</v>
      </c>
      <c r="L74" s="6">
        <v>107</v>
      </c>
      <c r="M74" s="6">
        <f>99+1</f>
        <v>100</v>
      </c>
      <c r="N74" s="6">
        <v>55</v>
      </c>
      <c r="O74" s="6">
        <v>0</v>
      </c>
      <c r="P74" s="8">
        <f t="shared" si="1"/>
        <v>1290</v>
      </c>
    </row>
    <row r="75" spans="1:16" ht="20" customHeight="1">
      <c r="A75" s="4">
        <v>44903</v>
      </c>
      <c r="B75" s="6">
        <v>6</v>
      </c>
      <c r="C75" s="6">
        <v>59</v>
      </c>
      <c r="D75" s="6">
        <v>98</v>
      </c>
      <c r="E75" s="6">
        <v>114</v>
      </c>
      <c r="F75" s="6">
        <v>104</v>
      </c>
      <c r="G75" s="6">
        <v>137</v>
      </c>
      <c r="H75" s="6">
        <v>159</v>
      </c>
      <c r="I75" s="6">
        <v>114</v>
      </c>
      <c r="J75" s="6">
        <v>79</v>
      </c>
      <c r="K75" s="6">
        <v>54</v>
      </c>
      <c r="L75" s="6">
        <v>89</v>
      </c>
      <c r="M75" s="6">
        <v>61</v>
      </c>
      <c r="N75" s="6">
        <v>37</v>
      </c>
      <c r="O75" s="6">
        <v>0</v>
      </c>
      <c r="P75" s="8">
        <f t="shared" si="1"/>
        <v>1111</v>
      </c>
    </row>
    <row r="76" spans="1:16" ht="20" customHeight="1">
      <c r="A76" s="4">
        <v>44904</v>
      </c>
      <c r="B76" s="6">
        <v>12</v>
      </c>
      <c r="C76" s="6">
        <v>76</v>
      </c>
      <c r="D76" s="6">
        <v>94</v>
      </c>
      <c r="E76" s="6">
        <v>125</v>
      </c>
      <c r="F76" s="6">
        <v>94</v>
      </c>
      <c r="G76" s="6">
        <f>133+2</f>
        <v>135</v>
      </c>
      <c r="H76" s="6">
        <f>138+1</f>
        <v>139</v>
      </c>
      <c r="I76" s="6">
        <v>112</v>
      </c>
      <c r="J76" s="6">
        <v>67</v>
      </c>
      <c r="K76" s="6">
        <f>63+1+2</f>
        <v>66</v>
      </c>
      <c r="L76" s="6">
        <f>86+5</f>
        <v>91</v>
      </c>
      <c r="M76" s="6">
        <f>95+16</f>
        <v>111</v>
      </c>
      <c r="N76" s="6">
        <f>44+17</f>
        <v>61</v>
      </c>
      <c r="O76" s="6">
        <v>0</v>
      </c>
      <c r="P76" s="8">
        <f t="shared" si="1"/>
        <v>1183</v>
      </c>
    </row>
    <row r="77" spans="1:16" ht="20" customHeight="1">
      <c r="A77" s="4">
        <v>44905</v>
      </c>
      <c r="B77" s="6">
        <v>15</v>
      </c>
      <c r="C77" s="6">
        <v>48</v>
      </c>
      <c r="D77" s="6">
        <f>105+1</f>
        <v>106</v>
      </c>
      <c r="E77" s="6">
        <f>132+1</f>
        <v>133</v>
      </c>
      <c r="F77" s="6">
        <f>74+1</f>
        <v>75</v>
      </c>
      <c r="G77" s="6">
        <f>136+2</f>
        <v>138</v>
      </c>
      <c r="H77" s="6">
        <v>128</v>
      </c>
      <c r="I77" s="6">
        <v>130</v>
      </c>
      <c r="J77" s="6">
        <v>67</v>
      </c>
      <c r="K77" s="6">
        <v>54</v>
      </c>
      <c r="L77" s="6">
        <v>86</v>
      </c>
      <c r="M77" s="6">
        <v>78</v>
      </c>
      <c r="N77" s="6">
        <v>48</v>
      </c>
      <c r="O77" s="6">
        <v>0</v>
      </c>
      <c r="P77" s="8">
        <f t="shared" si="1"/>
        <v>1106</v>
      </c>
    </row>
    <row r="78" spans="1:16" ht="20" customHeight="1">
      <c r="A78" s="4">
        <v>44906</v>
      </c>
      <c r="B78" s="6">
        <v>10</v>
      </c>
      <c r="C78" s="6">
        <v>62</v>
      </c>
      <c r="D78" s="6">
        <v>62</v>
      </c>
      <c r="E78" s="6">
        <f>97+1</f>
        <v>98</v>
      </c>
      <c r="F78" s="6">
        <v>56</v>
      </c>
      <c r="G78" s="6">
        <f>91+1</f>
        <v>92</v>
      </c>
      <c r="H78" s="6">
        <v>87</v>
      </c>
      <c r="I78" s="6">
        <v>65</v>
      </c>
      <c r="J78" s="6">
        <v>46</v>
      </c>
      <c r="K78" s="6">
        <v>43</v>
      </c>
      <c r="L78" s="6">
        <v>58</v>
      </c>
      <c r="M78" s="6">
        <f>52+1</f>
        <v>53</v>
      </c>
      <c r="N78" s="6">
        <f>31+1</f>
        <v>32</v>
      </c>
      <c r="O78" s="6">
        <v>0</v>
      </c>
      <c r="P78" s="8">
        <f t="shared" si="1"/>
        <v>764</v>
      </c>
    </row>
    <row r="79" spans="1:16" ht="20" customHeight="1">
      <c r="A79" s="4">
        <v>44907</v>
      </c>
      <c r="B79" s="6">
        <v>3</v>
      </c>
      <c r="C79" s="6">
        <v>13</v>
      </c>
      <c r="D79" s="6">
        <v>25</v>
      </c>
      <c r="E79" s="6">
        <v>20</v>
      </c>
      <c r="F79" s="6">
        <v>6</v>
      </c>
      <c r="G79" s="6">
        <v>19</v>
      </c>
      <c r="H79" s="6">
        <v>16</v>
      </c>
      <c r="I79" s="6">
        <v>11</v>
      </c>
      <c r="J79" s="6">
        <v>5</v>
      </c>
      <c r="K79" s="6">
        <v>4</v>
      </c>
      <c r="L79" s="6">
        <v>16</v>
      </c>
      <c r="M79" s="6">
        <v>16</v>
      </c>
      <c r="N79" s="6">
        <v>9</v>
      </c>
      <c r="O79" s="6">
        <v>0</v>
      </c>
      <c r="P79" s="8">
        <f t="shared" si="1"/>
        <v>163</v>
      </c>
    </row>
    <row r="80" spans="1:16" ht="20" customHeight="1">
      <c r="A80" s="4">
        <v>44908</v>
      </c>
      <c r="B80" s="6">
        <v>9</v>
      </c>
      <c r="C80" s="6">
        <v>121</v>
      </c>
      <c r="D80" s="6">
        <v>147</v>
      </c>
      <c r="E80" s="6">
        <v>205</v>
      </c>
      <c r="F80" s="6">
        <v>151</v>
      </c>
      <c r="G80" s="6">
        <f>207+1</f>
        <v>208</v>
      </c>
      <c r="H80" s="6">
        <v>213</v>
      </c>
      <c r="I80" s="6">
        <v>207</v>
      </c>
      <c r="J80" s="6">
        <f>94+2</f>
        <v>96</v>
      </c>
      <c r="K80" s="6">
        <v>84</v>
      </c>
      <c r="L80" s="6">
        <v>158</v>
      </c>
      <c r="M80" s="6">
        <v>116</v>
      </c>
      <c r="N80" s="6">
        <f>81+1</f>
        <v>82</v>
      </c>
      <c r="O80" s="6">
        <v>0</v>
      </c>
      <c r="P80" s="8">
        <f t="shared" si="1"/>
        <v>1797</v>
      </c>
    </row>
    <row r="81" spans="1:16" ht="20" customHeight="1">
      <c r="A81" s="4">
        <v>44909</v>
      </c>
      <c r="B81" s="6">
        <v>6</v>
      </c>
      <c r="C81" s="6">
        <v>84</v>
      </c>
      <c r="D81" s="6">
        <v>102</v>
      </c>
      <c r="E81" s="6">
        <v>161</v>
      </c>
      <c r="F81" s="6">
        <f>100+1</f>
        <v>101</v>
      </c>
      <c r="G81" s="6">
        <v>136</v>
      </c>
      <c r="H81" s="6">
        <v>145</v>
      </c>
      <c r="I81" s="6">
        <v>136</v>
      </c>
      <c r="J81" s="6">
        <v>68</v>
      </c>
      <c r="K81" s="6">
        <v>51</v>
      </c>
      <c r="L81" s="6">
        <v>103</v>
      </c>
      <c r="M81" s="6">
        <f>94+1</f>
        <v>95</v>
      </c>
      <c r="N81" s="6">
        <v>47</v>
      </c>
      <c r="O81" s="6">
        <v>0</v>
      </c>
      <c r="P81" s="8">
        <f t="shared" si="1"/>
        <v>1235</v>
      </c>
    </row>
    <row r="82" spans="1:16" ht="20" customHeight="1">
      <c r="A82" s="4">
        <v>44910</v>
      </c>
      <c r="B82" s="6">
        <v>14</v>
      </c>
      <c r="C82" s="6">
        <v>54</v>
      </c>
      <c r="D82" s="6">
        <v>80</v>
      </c>
      <c r="E82" s="6">
        <v>130</v>
      </c>
      <c r="F82" s="6">
        <v>83</v>
      </c>
      <c r="G82" s="6">
        <v>116</v>
      </c>
      <c r="H82" s="6">
        <v>130</v>
      </c>
      <c r="I82" s="6">
        <v>96</v>
      </c>
      <c r="J82" s="6">
        <v>45</v>
      </c>
      <c r="K82" s="6">
        <v>43</v>
      </c>
      <c r="L82" s="6">
        <f>77+1</f>
        <v>78</v>
      </c>
      <c r="M82" s="6">
        <f>62+1</f>
        <v>63</v>
      </c>
      <c r="N82" s="6">
        <v>45</v>
      </c>
      <c r="O82" s="6">
        <v>0</v>
      </c>
      <c r="P82" s="8">
        <f t="shared" si="1"/>
        <v>977</v>
      </c>
    </row>
    <row r="83" spans="1:16" ht="20" customHeight="1">
      <c r="A83" s="4">
        <v>44911</v>
      </c>
      <c r="B83" s="6">
        <v>5</v>
      </c>
      <c r="C83" s="6">
        <v>49</v>
      </c>
      <c r="D83" s="6">
        <v>71</v>
      </c>
      <c r="E83" s="6">
        <v>143</v>
      </c>
      <c r="F83" s="6">
        <v>87</v>
      </c>
      <c r="G83" s="6">
        <v>121</v>
      </c>
      <c r="H83" s="6">
        <v>132</v>
      </c>
      <c r="I83" s="6">
        <v>73</v>
      </c>
      <c r="J83" s="6">
        <v>52</v>
      </c>
      <c r="K83" s="6">
        <v>53</v>
      </c>
      <c r="L83" s="6">
        <v>92</v>
      </c>
      <c r="M83" s="6">
        <v>69</v>
      </c>
      <c r="N83" s="6">
        <v>42</v>
      </c>
      <c r="O83" s="6">
        <v>0</v>
      </c>
      <c r="P83" s="8">
        <f t="shared" si="1"/>
        <v>989</v>
      </c>
    </row>
    <row r="84" spans="1:16" ht="20" customHeight="1">
      <c r="A84" s="4">
        <v>44912</v>
      </c>
      <c r="B84" s="6">
        <v>12</v>
      </c>
      <c r="C84" s="6">
        <v>68</v>
      </c>
      <c r="D84" s="6">
        <v>99</v>
      </c>
      <c r="E84" s="6">
        <f>156+1</f>
        <v>157</v>
      </c>
      <c r="F84" s="6">
        <v>65</v>
      </c>
      <c r="G84" s="6">
        <v>80</v>
      </c>
      <c r="H84" s="6">
        <f>131+1</f>
        <v>132</v>
      </c>
      <c r="I84" s="6">
        <v>87</v>
      </c>
      <c r="J84" s="6">
        <v>51</v>
      </c>
      <c r="K84" s="6">
        <v>52</v>
      </c>
      <c r="L84" s="6">
        <f>73+1</f>
        <v>74</v>
      </c>
      <c r="M84" s="6">
        <v>70</v>
      </c>
      <c r="N84" s="6">
        <v>46</v>
      </c>
      <c r="O84" s="6">
        <v>0</v>
      </c>
      <c r="P84" s="8">
        <f t="shared" si="1"/>
        <v>993</v>
      </c>
    </row>
    <row r="85" spans="1:16" ht="20" customHeight="1">
      <c r="A85" s="4">
        <v>44913</v>
      </c>
      <c r="B85" s="6">
        <v>5</v>
      </c>
      <c r="C85" s="6">
        <v>41</v>
      </c>
      <c r="D85" s="6">
        <v>53</v>
      </c>
      <c r="E85" s="6">
        <v>78</v>
      </c>
      <c r="F85" s="6">
        <v>56</v>
      </c>
      <c r="G85" s="6">
        <v>61</v>
      </c>
      <c r="H85" s="6">
        <v>64</v>
      </c>
      <c r="I85" s="6">
        <v>69</v>
      </c>
      <c r="J85" s="6">
        <v>29</v>
      </c>
      <c r="K85" s="6">
        <v>28</v>
      </c>
      <c r="L85" s="6">
        <v>52</v>
      </c>
      <c r="M85" s="6">
        <v>37</v>
      </c>
      <c r="N85" s="6">
        <v>28</v>
      </c>
      <c r="O85" s="6">
        <v>0</v>
      </c>
      <c r="P85" s="8">
        <f t="shared" si="1"/>
        <v>601</v>
      </c>
    </row>
    <row r="86" spans="1:16" ht="20" customHeight="1">
      <c r="A86" s="4">
        <v>44914</v>
      </c>
      <c r="B86" s="6">
        <v>2</v>
      </c>
      <c r="C86" s="6">
        <v>11</v>
      </c>
      <c r="D86" s="6">
        <v>26</v>
      </c>
      <c r="E86" s="6">
        <v>30</v>
      </c>
      <c r="F86" s="6">
        <v>5</v>
      </c>
      <c r="G86" s="6">
        <v>14</v>
      </c>
      <c r="H86" s="6">
        <v>8</v>
      </c>
      <c r="I86" s="6">
        <v>7</v>
      </c>
      <c r="J86" s="6">
        <v>6</v>
      </c>
      <c r="K86" s="6">
        <v>5</v>
      </c>
      <c r="L86" s="6">
        <f>6+1</f>
        <v>7</v>
      </c>
      <c r="M86" s="6">
        <f>7+3+1</f>
        <v>11</v>
      </c>
      <c r="N86" s="6">
        <f>2+4</f>
        <v>6</v>
      </c>
      <c r="O86" s="6">
        <v>0</v>
      </c>
      <c r="P86" s="8">
        <f t="shared" si="1"/>
        <v>138</v>
      </c>
    </row>
    <row r="87" spans="1:16" ht="20" customHeight="1">
      <c r="A87" s="4">
        <v>44915</v>
      </c>
      <c r="B87" s="6">
        <v>17</v>
      </c>
      <c r="C87" s="6">
        <v>105</v>
      </c>
      <c r="D87" s="6">
        <v>127</v>
      </c>
      <c r="E87" s="6">
        <f>231+1</f>
        <v>232</v>
      </c>
      <c r="F87" s="6">
        <v>94</v>
      </c>
      <c r="G87" s="6">
        <f>164+1</f>
        <v>165</v>
      </c>
      <c r="H87" s="6">
        <f>206+1</f>
        <v>207</v>
      </c>
      <c r="I87" s="6">
        <v>148</v>
      </c>
      <c r="J87" s="6">
        <v>70</v>
      </c>
      <c r="K87" s="6">
        <v>80</v>
      </c>
      <c r="L87" s="6">
        <f>126+1</f>
        <v>127</v>
      </c>
      <c r="M87" s="6">
        <v>103</v>
      </c>
      <c r="N87" s="6">
        <v>63</v>
      </c>
      <c r="O87" s="6">
        <v>0</v>
      </c>
      <c r="P87" s="8">
        <f t="shared" si="1"/>
        <v>1538</v>
      </c>
    </row>
    <row r="88" spans="1:16" ht="20" customHeight="1">
      <c r="A88" s="4">
        <v>44916</v>
      </c>
      <c r="B88" s="6">
        <v>9</v>
      </c>
      <c r="C88" s="6">
        <v>62</v>
      </c>
      <c r="D88" s="6">
        <v>97</v>
      </c>
      <c r="E88" s="6">
        <v>150</v>
      </c>
      <c r="F88" s="6">
        <v>82</v>
      </c>
      <c r="G88" s="6">
        <v>123</v>
      </c>
      <c r="H88" s="6">
        <v>127</v>
      </c>
      <c r="I88" s="6">
        <v>97</v>
      </c>
      <c r="J88" s="6">
        <f>37+1</f>
        <v>38</v>
      </c>
      <c r="K88" s="6">
        <v>50</v>
      </c>
      <c r="L88" s="6">
        <f>96+1</f>
        <v>97</v>
      </c>
      <c r="M88" s="6">
        <v>54</v>
      </c>
      <c r="N88" s="6">
        <f>46+1</f>
        <v>47</v>
      </c>
      <c r="O88" s="6">
        <v>0</v>
      </c>
      <c r="P88" s="8">
        <f t="shared" si="1"/>
        <v>1033</v>
      </c>
    </row>
    <row r="89" spans="1:16" ht="20" customHeight="1">
      <c r="A89" s="4">
        <v>44917</v>
      </c>
      <c r="B89" s="6">
        <v>6</v>
      </c>
      <c r="C89" s="6">
        <v>35</v>
      </c>
      <c r="D89" s="6">
        <v>64</v>
      </c>
      <c r="E89" s="6">
        <v>94</v>
      </c>
      <c r="F89" s="6">
        <v>66</v>
      </c>
      <c r="G89" s="6">
        <v>112</v>
      </c>
      <c r="H89" s="6">
        <v>116</v>
      </c>
      <c r="I89" s="6">
        <v>81</v>
      </c>
      <c r="J89" s="6">
        <v>46</v>
      </c>
      <c r="K89" s="6">
        <v>46</v>
      </c>
      <c r="L89" s="6">
        <f>72+1</f>
        <v>73</v>
      </c>
      <c r="M89" s="6">
        <f>62+3</f>
        <v>65</v>
      </c>
      <c r="N89" s="6">
        <f>32+1</f>
        <v>33</v>
      </c>
      <c r="O89" s="6">
        <v>0</v>
      </c>
      <c r="P89" s="8">
        <f t="shared" si="1"/>
        <v>837</v>
      </c>
    </row>
    <row r="90" spans="1:16" ht="20" customHeight="1">
      <c r="A90" s="4">
        <v>44918</v>
      </c>
      <c r="B90" s="6">
        <v>9</v>
      </c>
      <c r="C90" s="6">
        <v>49</v>
      </c>
      <c r="D90" s="6">
        <v>58</v>
      </c>
      <c r="E90" s="6">
        <v>92</v>
      </c>
      <c r="F90" s="6">
        <v>68</v>
      </c>
      <c r="G90" s="6">
        <v>75</v>
      </c>
      <c r="H90" s="6">
        <v>118</v>
      </c>
      <c r="I90" s="6">
        <v>63</v>
      </c>
      <c r="J90" s="6">
        <f>58+1</f>
        <v>59</v>
      </c>
      <c r="K90" s="6">
        <v>43</v>
      </c>
      <c r="L90" s="6">
        <f>93+1</f>
        <v>94</v>
      </c>
      <c r="M90" s="6">
        <v>72</v>
      </c>
      <c r="N90" s="6">
        <v>43</v>
      </c>
      <c r="O90" s="6">
        <v>0</v>
      </c>
      <c r="P90" s="8">
        <f t="shared" si="1"/>
        <v>843</v>
      </c>
    </row>
    <row r="91" spans="1:16" ht="20" customHeight="1">
      <c r="A91" s="4">
        <v>44919</v>
      </c>
      <c r="B91" s="6">
        <v>8</v>
      </c>
      <c r="C91" s="6">
        <v>55</v>
      </c>
      <c r="D91" s="6">
        <v>66</v>
      </c>
      <c r="E91" s="6">
        <f>97+1</f>
        <v>98</v>
      </c>
      <c r="F91" s="6">
        <v>48</v>
      </c>
      <c r="G91" s="6">
        <f>101+1</f>
        <v>102</v>
      </c>
      <c r="H91" s="6">
        <v>110</v>
      </c>
      <c r="I91" s="6">
        <v>84</v>
      </c>
      <c r="J91" s="6">
        <v>46</v>
      </c>
      <c r="K91" s="6">
        <f>51+1</f>
        <v>52</v>
      </c>
      <c r="L91" s="6">
        <f>70+1</f>
        <v>71</v>
      </c>
      <c r="M91" s="6">
        <f>67+13</f>
        <v>80</v>
      </c>
      <c r="N91" s="6">
        <f>54+13</f>
        <v>67</v>
      </c>
      <c r="O91" s="6">
        <v>0</v>
      </c>
      <c r="P91" s="8">
        <f t="shared" si="1"/>
        <v>887</v>
      </c>
    </row>
    <row r="92" spans="1:16" ht="20" customHeight="1">
      <c r="A92" s="4">
        <v>44920</v>
      </c>
      <c r="B92" s="6">
        <v>5</v>
      </c>
      <c r="C92" s="6">
        <f>26+1</f>
        <v>27</v>
      </c>
      <c r="D92" s="6">
        <v>42</v>
      </c>
      <c r="E92" s="6">
        <v>56</v>
      </c>
      <c r="F92" s="6">
        <v>36</v>
      </c>
      <c r="G92" s="6">
        <v>51</v>
      </c>
      <c r="H92" s="6">
        <v>49</v>
      </c>
      <c r="I92" s="6">
        <v>40</v>
      </c>
      <c r="J92" s="6">
        <v>28</v>
      </c>
      <c r="K92" s="6">
        <v>28</v>
      </c>
      <c r="L92" s="6">
        <v>37</v>
      </c>
      <c r="M92" s="6">
        <v>30</v>
      </c>
      <c r="N92" s="6">
        <f>24+1</f>
        <v>25</v>
      </c>
      <c r="O92" s="6">
        <v>0</v>
      </c>
      <c r="P92" s="8">
        <f t="shared" si="1"/>
        <v>454</v>
      </c>
    </row>
    <row r="93" spans="1:16" ht="20" customHeight="1">
      <c r="A93" s="4">
        <v>44921</v>
      </c>
      <c r="B93" s="6">
        <v>5</v>
      </c>
      <c r="C93" s="6">
        <v>18</v>
      </c>
      <c r="D93" s="6">
        <v>25</v>
      </c>
      <c r="E93" s="6">
        <v>19</v>
      </c>
      <c r="F93" s="6">
        <v>11</v>
      </c>
      <c r="G93" s="6">
        <f>10+2</f>
        <v>12</v>
      </c>
      <c r="H93" s="6">
        <f>11+1</f>
        <v>12</v>
      </c>
      <c r="I93" s="6">
        <v>7</v>
      </c>
      <c r="J93" s="6">
        <v>7</v>
      </c>
      <c r="K93" s="6">
        <f>6+1</f>
        <v>7</v>
      </c>
      <c r="L93" s="6">
        <f>11+1</f>
        <v>12</v>
      </c>
      <c r="M93" s="6">
        <f>18+1</f>
        <v>19</v>
      </c>
      <c r="N93" s="6">
        <v>9</v>
      </c>
      <c r="O93" s="6">
        <v>0</v>
      </c>
      <c r="P93" s="8">
        <f t="shared" si="1"/>
        <v>163</v>
      </c>
    </row>
    <row r="94" spans="1:16" ht="20" customHeight="1">
      <c r="A94" s="4">
        <v>44922</v>
      </c>
      <c r="B94" s="6">
        <v>5</v>
      </c>
      <c r="C94" s="6">
        <v>90</v>
      </c>
      <c r="D94" s="6">
        <v>92</v>
      </c>
      <c r="E94" s="6">
        <v>136</v>
      </c>
      <c r="F94" s="6">
        <v>80</v>
      </c>
      <c r="G94" s="6">
        <v>157</v>
      </c>
      <c r="H94" s="6">
        <v>178</v>
      </c>
      <c r="I94" s="6">
        <v>136</v>
      </c>
      <c r="J94" s="6">
        <v>69</v>
      </c>
      <c r="K94" s="6">
        <v>80</v>
      </c>
      <c r="L94" s="6">
        <v>110</v>
      </c>
      <c r="M94" s="6">
        <v>98</v>
      </c>
      <c r="N94" s="6">
        <v>67</v>
      </c>
      <c r="O94" s="6">
        <v>0</v>
      </c>
      <c r="P94" s="8">
        <f t="shared" si="1"/>
        <v>1298</v>
      </c>
    </row>
    <row r="95" spans="1:16" ht="20" customHeight="1">
      <c r="A95" s="4">
        <v>44923</v>
      </c>
      <c r="B95" s="6">
        <v>5</v>
      </c>
      <c r="C95" s="6">
        <v>50</v>
      </c>
      <c r="D95" s="6">
        <v>53</v>
      </c>
      <c r="E95" s="6">
        <v>84</v>
      </c>
      <c r="F95" s="6">
        <v>61</v>
      </c>
      <c r="G95" s="6">
        <v>95</v>
      </c>
      <c r="H95" s="6">
        <f>103+1</f>
        <v>104</v>
      </c>
      <c r="I95" s="6">
        <f>75+2</f>
        <v>77</v>
      </c>
      <c r="J95" s="6">
        <f>44+1</f>
        <v>45</v>
      </c>
      <c r="K95" s="6">
        <v>30</v>
      </c>
      <c r="L95" s="6">
        <v>61</v>
      </c>
      <c r="M95" s="6">
        <v>49</v>
      </c>
      <c r="N95" s="6">
        <v>28</v>
      </c>
      <c r="O95" s="6">
        <v>0</v>
      </c>
      <c r="P95" s="8">
        <f t="shared" si="1"/>
        <v>742</v>
      </c>
    </row>
    <row r="96" spans="1:16" ht="20" customHeight="1">
      <c r="A96" s="4">
        <v>44924</v>
      </c>
      <c r="B96" s="6">
        <v>10</v>
      </c>
      <c r="C96" s="6">
        <v>22</v>
      </c>
      <c r="D96" s="6">
        <v>33</v>
      </c>
      <c r="E96" s="6">
        <v>58</v>
      </c>
      <c r="F96" s="6">
        <v>52</v>
      </c>
      <c r="G96" s="6">
        <v>75</v>
      </c>
      <c r="H96" s="6">
        <v>88</v>
      </c>
      <c r="I96" s="6">
        <f>50+1</f>
        <v>51</v>
      </c>
      <c r="J96" s="6">
        <v>39</v>
      </c>
      <c r="K96" s="6">
        <v>43</v>
      </c>
      <c r="L96" s="6">
        <v>56</v>
      </c>
      <c r="M96" s="6">
        <v>41</v>
      </c>
      <c r="N96" s="6">
        <v>26</v>
      </c>
      <c r="O96" s="6">
        <v>0</v>
      </c>
      <c r="P96" s="8">
        <f t="shared" si="1"/>
        <v>594</v>
      </c>
    </row>
    <row r="97" spans="1:16" ht="20" customHeight="1">
      <c r="A97" s="4">
        <v>44925</v>
      </c>
      <c r="B97" s="6">
        <f>5+1</f>
        <v>6</v>
      </c>
      <c r="C97" s="6">
        <f>29+1</f>
        <v>30</v>
      </c>
      <c r="D97" s="6">
        <v>36</v>
      </c>
      <c r="E97" s="6">
        <v>60</v>
      </c>
      <c r="F97" s="6">
        <v>57</v>
      </c>
      <c r="G97" s="6">
        <v>58</v>
      </c>
      <c r="H97" s="6">
        <v>66</v>
      </c>
      <c r="I97" s="6">
        <v>73</v>
      </c>
      <c r="J97" s="6">
        <v>28</v>
      </c>
      <c r="K97" s="6">
        <v>40</v>
      </c>
      <c r="L97" s="6">
        <v>69</v>
      </c>
      <c r="M97" s="6">
        <f>62+1</f>
        <v>63</v>
      </c>
      <c r="N97" s="6">
        <v>33</v>
      </c>
      <c r="O97" s="6">
        <v>0</v>
      </c>
      <c r="P97" s="8">
        <f t="shared" si="1"/>
        <v>619</v>
      </c>
    </row>
    <row r="98" spans="1:16" ht="20" customHeight="1">
      <c r="A98" s="4">
        <v>44926</v>
      </c>
      <c r="B98" s="6">
        <v>3</v>
      </c>
      <c r="C98" s="6">
        <v>18</v>
      </c>
      <c r="D98" s="6">
        <v>24</v>
      </c>
      <c r="E98" s="6">
        <v>28</v>
      </c>
      <c r="F98" s="6">
        <v>28</v>
      </c>
      <c r="G98" s="6">
        <v>25</v>
      </c>
      <c r="H98" s="6">
        <v>40</v>
      </c>
      <c r="I98" s="6">
        <v>32</v>
      </c>
      <c r="J98" s="6">
        <v>14</v>
      </c>
      <c r="K98" s="6">
        <v>20</v>
      </c>
      <c r="L98" s="6">
        <f>35+1</f>
        <v>36</v>
      </c>
      <c r="M98" s="6">
        <v>31</v>
      </c>
      <c r="N98" s="6">
        <v>17</v>
      </c>
      <c r="O98" s="6">
        <v>0</v>
      </c>
      <c r="P98" s="8">
        <f t="shared" si="1"/>
        <v>316</v>
      </c>
    </row>
    <row r="99" spans="1:16" ht="20" customHeight="1">
      <c r="A99" s="4">
        <v>44927</v>
      </c>
      <c r="B99" s="6">
        <v>3</v>
      </c>
      <c r="C99" s="6">
        <v>12</v>
      </c>
      <c r="D99" s="6">
        <f>8+2</f>
        <v>10</v>
      </c>
      <c r="E99" s="6">
        <f>11+2+4</f>
        <v>17</v>
      </c>
      <c r="F99" s="6">
        <f>22+1+5</f>
        <v>28</v>
      </c>
      <c r="G99" s="6">
        <f>27+1+7</f>
        <v>35</v>
      </c>
      <c r="H99" s="6">
        <f>19+8</f>
        <v>27</v>
      </c>
      <c r="I99" s="6">
        <f>21+3+8</f>
        <v>32</v>
      </c>
      <c r="J99" s="6">
        <f>11+4</f>
        <v>15</v>
      </c>
      <c r="K99" s="6">
        <f>20+12</f>
        <v>32</v>
      </c>
      <c r="L99" s="6">
        <f>23-1+5</f>
        <v>27</v>
      </c>
      <c r="M99" s="6">
        <f>18+2</f>
        <v>20</v>
      </c>
      <c r="N99" s="6">
        <f>13+1</f>
        <v>14</v>
      </c>
      <c r="O99" s="6">
        <v>0</v>
      </c>
      <c r="P99" s="8">
        <f t="shared" si="1"/>
        <v>272</v>
      </c>
    </row>
    <row r="100" spans="1:16" ht="20" customHeight="1">
      <c r="A100" s="4">
        <v>44928</v>
      </c>
      <c r="B100" s="6">
        <v>1</v>
      </c>
      <c r="C100" s="6">
        <v>2</v>
      </c>
      <c r="D100" s="6">
        <v>8</v>
      </c>
      <c r="E100" s="6">
        <v>9</v>
      </c>
      <c r="F100" s="6">
        <v>17</v>
      </c>
      <c r="G100" s="6">
        <f>17+2</f>
        <v>19</v>
      </c>
      <c r="H100" s="6">
        <f>17+1</f>
        <v>18</v>
      </c>
      <c r="I100" s="6">
        <v>27</v>
      </c>
      <c r="J100" s="6">
        <v>10</v>
      </c>
      <c r="K100" s="6">
        <f>9+1</f>
        <v>10</v>
      </c>
      <c r="L100" s="6">
        <f>26+1</f>
        <v>27</v>
      </c>
      <c r="M100" s="6">
        <v>28</v>
      </c>
      <c r="N100" s="6">
        <v>12</v>
      </c>
      <c r="O100" s="6">
        <v>0</v>
      </c>
      <c r="P100" s="8">
        <f t="shared" si="1"/>
        <v>188</v>
      </c>
    </row>
    <row r="101" spans="1:16" ht="20" customHeight="1">
      <c r="A101" s="4">
        <v>44929</v>
      </c>
      <c r="B101" s="6">
        <v>1</v>
      </c>
      <c r="C101" s="6">
        <v>10</v>
      </c>
      <c r="D101" s="6">
        <v>7</v>
      </c>
      <c r="E101" s="6">
        <f>17+2</f>
        <v>19</v>
      </c>
      <c r="F101" s="6">
        <f>33+11</f>
        <v>44</v>
      </c>
      <c r="G101" s="6">
        <f>35+1+14</f>
        <v>50</v>
      </c>
      <c r="H101" s="6">
        <f>26+10</f>
        <v>36</v>
      </c>
      <c r="I101" s="6">
        <f>24+5</f>
        <v>29</v>
      </c>
      <c r="J101" s="6">
        <f>20+7</f>
        <v>27</v>
      </c>
      <c r="K101" s="6">
        <f>20+8</f>
        <v>28</v>
      </c>
      <c r="L101" s="6">
        <f>28+1+7</f>
        <v>36</v>
      </c>
      <c r="M101" s="6">
        <v>27</v>
      </c>
      <c r="N101" s="6">
        <f>6+1</f>
        <v>7</v>
      </c>
      <c r="O101" s="6">
        <v>0</v>
      </c>
      <c r="P101" s="8">
        <f t="shared" si="1"/>
        <v>321</v>
      </c>
    </row>
    <row r="102" spans="1:16" ht="20" customHeight="1">
      <c r="A102" s="4">
        <v>44930</v>
      </c>
      <c r="B102" s="6">
        <v>2</v>
      </c>
      <c r="C102" s="6">
        <v>4</v>
      </c>
      <c r="D102" s="6">
        <v>5</v>
      </c>
      <c r="E102" s="6">
        <v>14</v>
      </c>
      <c r="F102" s="6">
        <v>55</v>
      </c>
      <c r="G102" s="6">
        <v>42</v>
      </c>
      <c r="H102" s="6">
        <v>47</v>
      </c>
      <c r="I102" s="6">
        <v>24</v>
      </c>
      <c r="J102" s="6">
        <v>12</v>
      </c>
      <c r="K102" s="6">
        <v>15</v>
      </c>
      <c r="L102" s="6">
        <v>29</v>
      </c>
      <c r="M102" s="6">
        <f>21+1</f>
        <v>22</v>
      </c>
      <c r="N102" s="6">
        <v>17</v>
      </c>
      <c r="O102" s="6">
        <v>0</v>
      </c>
      <c r="P102" s="8">
        <f t="shared" si="1"/>
        <v>288</v>
      </c>
    </row>
    <row r="103" spans="1:16" s="2" customFormat="1" ht="20" customHeight="1">
      <c r="A103" s="4">
        <v>44931</v>
      </c>
      <c r="B103" s="6">
        <v>12</v>
      </c>
      <c r="C103" s="6">
        <v>56</v>
      </c>
      <c r="D103" s="6">
        <v>37</v>
      </c>
      <c r="E103" s="6">
        <v>68</v>
      </c>
      <c r="F103" s="6">
        <f>156+1</f>
        <v>157</v>
      </c>
      <c r="G103" s="6">
        <v>115</v>
      </c>
      <c r="H103" s="6">
        <f>108+1</f>
        <v>109</v>
      </c>
      <c r="I103" s="6">
        <f>118+1+1+1</f>
        <v>121</v>
      </c>
      <c r="J103" s="6">
        <v>69</v>
      </c>
      <c r="K103" s="6">
        <f>74+1</f>
        <v>75</v>
      </c>
      <c r="L103" s="6">
        <v>106</v>
      </c>
      <c r="M103" s="6">
        <v>91</v>
      </c>
      <c r="N103" s="6">
        <v>61</v>
      </c>
      <c r="O103" s="6">
        <v>0</v>
      </c>
      <c r="P103" s="8">
        <f t="shared" si="1"/>
        <v>1077</v>
      </c>
    </row>
    <row r="104" spans="1:16" ht="20" customHeight="1">
      <c r="A104" s="4">
        <v>44932</v>
      </c>
      <c r="B104" s="6">
        <v>6</v>
      </c>
      <c r="C104" s="6">
        <v>36</v>
      </c>
      <c r="D104" s="6">
        <v>36</v>
      </c>
      <c r="E104" s="6">
        <v>48</v>
      </c>
      <c r="F104" s="6">
        <v>104</v>
      </c>
      <c r="G104" s="6">
        <v>100</v>
      </c>
      <c r="H104" s="6">
        <v>103</v>
      </c>
      <c r="I104" s="6">
        <v>95</v>
      </c>
      <c r="J104" s="6">
        <v>53</v>
      </c>
      <c r="K104" s="6">
        <v>44</v>
      </c>
      <c r="L104" s="6">
        <v>89</v>
      </c>
      <c r="M104" s="6">
        <v>79</v>
      </c>
      <c r="N104" s="6">
        <v>33</v>
      </c>
      <c r="O104" s="6">
        <v>0</v>
      </c>
      <c r="P104" s="8">
        <f t="shared" si="1"/>
        <v>826</v>
      </c>
    </row>
    <row r="105" spans="1:16" ht="20" customHeight="1">
      <c r="A105" s="4">
        <v>44933</v>
      </c>
      <c r="B105" s="6">
        <v>6</v>
      </c>
      <c r="C105" s="6">
        <v>17</v>
      </c>
      <c r="D105" s="6">
        <v>13</v>
      </c>
      <c r="E105" s="6">
        <v>46</v>
      </c>
      <c r="F105" s="6">
        <f>130+1+2</f>
        <v>133</v>
      </c>
      <c r="G105" s="6">
        <f>88+1</f>
        <v>89</v>
      </c>
      <c r="H105" s="6">
        <f>85+1</f>
        <v>86</v>
      </c>
      <c r="I105" s="6">
        <v>92</v>
      </c>
      <c r="J105" s="6">
        <v>52</v>
      </c>
      <c r="K105" s="6">
        <v>55</v>
      </c>
      <c r="L105" s="6">
        <f>74+2</f>
        <v>76</v>
      </c>
      <c r="M105" s="6">
        <v>61</v>
      </c>
      <c r="N105" s="6">
        <v>28</v>
      </c>
      <c r="O105" s="6">
        <v>0</v>
      </c>
      <c r="P105" s="8">
        <f t="shared" si="1"/>
        <v>754</v>
      </c>
    </row>
    <row r="106" spans="1:16" ht="20" customHeight="1">
      <c r="A106" s="4">
        <v>44934</v>
      </c>
      <c r="B106" s="6">
        <v>4</v>
      </c>
      <c r="C106" s="6">
        <v>12</v>
      </c>
      <c r="D106" s="6">
        <v>16</v>
      </c>
      <c r="E106" s="6">
        <v>28</v>
      </c>
      <c r="F106" s="6">
        <v>85</v>
      </c>
      <c r="G106" s="6">
        <v>42</v>
      </c>
      <c r="H106" s="6">
        <v>64</v>
      </c>
      <c r="I106" s="6">
        <v>64</v>
      </c>
      <c r="J106" s="6">
        <v>22</v>
      </c>
      <c r="K106" s="6">
        <f>21-1</f>
        <v>20</v>
      </c>
      <c r="L106" s="6">
        <v>41</v>
      </c>
      <c r="M106" s="6">
        <f>37+1</f>
        <v>38</v>
      </c>
      <c r="N106" s="6">
        <v>13</v>
      </c>
      <c r="O106" s="6">
        <v>0</v>
      </c>
      <c r="P106" s="8">
        <f t="shared" si="1"/>
        <v>449</v>
      </c>
    </row>
    <row r="107" spans="1:16" ht="20" customHeight="1">
      <c r="A107" s="4">
        <v>44935</v>
      </c>
      <c r="B107" s="6">
        <v>8</v>
      </c>
      <c r="C107" s="6">
        <v>13</v>
      </c>
      <c r="D107" s="6">
        <v>8</v>
      </c>
      <c r="E107" s="6">
        <v>10</v>
      </c>
      <c r="F107" s="6">
        <v>17</v>
      </c>
      <c r="G107" s="6">
        <v>17</v>
      </c>
      <c r="H107" s="6">
        <v>23</v>
      </c>
      <c r="I107" s="6">
        <v>10</v>
      </c>
      <c r="J107" s="6">
        <v>13</v>
      </c>
      <c r="K107" s="6">
        <v>11</v>
      </c>
      <c r="L107" s="6">
        <v>6</v>
      </c>
      <c r="M107" s="6">
        <f>12+1</f>
        <v>13</v>
      </c>
      <c r="N107" s="6">
        <v>16</v>
      </c>
      <c r="O107" s="6">
        <v>0</v>
      </c>
      <c r="P107" s="8">
        <f t="shared" si="1"/>
        <v>165</v>
      </c>
    </row>
    <row r="108" spans="1:16" ht="20" customHeight="1">
      <c r="A108" s="4">
        <v>44936</v>
      </c>
      <c r="B108" s="6">
        <v>0</v>
      </c>
      <c r="C108" s="6">
        <v>3</v>
      </c>
      <c r="D108" s="6">
        <v>2</v>
      </c>
      <c r="E108" s="6">
        <v>3</v>
      </c>
      <c r="F108" s="6">
        <v>19</v>
      </c>
      <c r="G108" s="6">
        <v>17</v>
      </c>
      <c r="H108" s="6">
        <v>10</v>
      </c>
      <c r="I108" s="6">
        <v>15</v>
      </c>
      <c r="J108" s="6">
        <v>8</v>
      </c>
      <c r="K108" s="6">
        <v>5</v>
      </c>
      <c r="L108" s="6">
        <v>6</v>
      </c>
      <c r="M108" s="6">
        <v>10</v>
      </c>
      <c r="N108" s="6">
        <v>15</v>
      </c>
      <c r="O108" s="6">
        <v>0</v>
      </c>
      <c r="P108" s="8">
        <f t="shared" si="1"/>
        <v>113</v>
      </c>
    </row>
    <row r="109" spans="1:16" ht="20" customHeight="1">
      <c r="A109" s="4">
        <v>44937</v>
      </c>
      <c r="B109" s="6">
        <v>17</v>
      </c>
      <c r="C109" s="6">
        <v>39</v>
      </c>
      <c r="D109" s="6">
        <v>28</v>
      </c>
      <c r="E109" s="6">
        <v>63</v>
      </c>
      <c r="F109" s="6">
        <v>118</v>
      </c>
      <c r="G109" s="6">
        <v>94</v>
      </c>
      <c r="H109" s="6">
        <v>120</v>
      </c>
      <c r="I109" s="6">
        <v>136</v>
      </c>
      <c r="J109" s="6">
        <v>69</v>
      </c>
      <c r="K109" s="6">
        <v>76</v>
      </c>
      <c r="L109" s="6">
        <v>98</v>
      </c>
      <c r="M109" s="6">
        <v>92</v>
      </c>
      <c r="N109" s="6">
        <v>56</v>
      </c>
      <c r="O109" s="6">
        <v>0</v>
      </c>
      <c r="P109" s="8">
        <f t="shared" si="1"/>
        <v>1006</v>
      </c>
    </row>
    <row r="110" spans="1:16" ht="20" customHeight="1">
      <c r="A110" s="4">
        <v>44938</v>
      </c>
      <c r="B110" s="6">
        <v>7</v>
      </c>
      <c r="C110" s="6">
        <v>12</v>
      </c>
      <c r="D110" s="6">
        <v>20</v>
      </c>
      <c r="E110" s="6">
        <v>40</v>
      </c>
      <c r="F110" s="6">
        <v>72</v>
      </c>
      <c r="G110" s="6">
        <v>62</v>
      </c>
      <c r="H110" s="6">
        <v>57</v>
      </c>
      <c r="I110" s="6">
        <v>61</v>
      </c>
      <c r="J110" s="6">
        <v>27</v>
      </c>
      <c r="K110" s="6">
        <v>25</v>
      </c>
      <c r="L110" s="6">
        <v>46</v>
      </c>
      <c r="M110" s="6">
        <v>23</v>
      </c>
      <c r="N110" s="6">
        <v>23</v>
      </c>
      <c r="O110" s="6">
        <v>0</v>
      </c>
      <c r="P110" s="8">
        <f t="shared" si="1"/>
        <v>475</v>
      </c>
    </row>
    <row r="111" spans="1:16" ht="20" customHeight="1">
      <c r="A111" s="4">
        <v>44939</v>
      </c>
      <c r="B111" s="6">
        <v>3</v>
      </c>
      <c r="C111" s="6">
        <v>17</v>
      </c>
      <c r="D111" s="6">
        <v>17</v>
      </c>
      <c r="E111" s="6">
        <v>41</v>
      </c>
      <c r="F111" s="6">
        <v>74</v>
      </c>
      <c r="G111" s="6">
        <v>45</v>
      </c>
      <c r="H111" s="6">
        <v>60</v>
      </c>
      <c r="I111" s="6">
        <v>63</v>
      </c>
      <c r="J111" s="6">
        <v>32</v>
      </c>
      <c r="K111" s="6">
        <v>28</v>
      </c>
      <c r="L111" s="6">
        <v>50</v>
      </c>
      <c r="M111" s="6">
        <v>47</v>
      </c>
      <c r="N111" s="6">
        <v>28</v>
      </c>
      <c r="O111" s="6">
        <v>0</v>
      </c>
      <c r="P111" s="8">
        <f t="shared" si="1"/>
        <v>505</v>
      </c>
    </row>
    <row r="112" spans="1:16" ht="20" customHeight="1">
      <c r="A112" s="4">
        <v>44940</v>
      </c>
      <c r="B112" s="6">
        <v>2</v>
      </c>
      <c r="C112" s="6">
        <v>24</v>
      </c>
      <c r="D112" s="6">
        <v>22</v>
      </c>
      <c r="E112" s="6">
        <v>38</v>
      </c>
      <c r="F112" s="6">
        <v>64</v>
      </c>
      <c r="G112" s="6">
        <f>51+1</f>
        <v>52</v>
      </c>
      <c r="H112" s="6">
        <v>60</v>
      </c>
      <c r="I112" s="6">
        <v>47</v>
      </c>
      <c r="J112" s="6">
        <v>25</v>
      </c>
      <c r="K112" s="6">
        <v>30</v>
      </c>
      <c r="L112" s="6">
        <v>42</v>
      </c>
      <c r="M112" s="6">
        <v>56</v>
      </c>
      <c r="N112" s="6">
        <v>30</v>
      </c>
      <c r="O112" s="6">
        <v>0</v>
      </c>
      <c r="P112" s="8">
        <f t="shared" si="1"/>
        <v>492</v>
      </c>
    </row>
    <row r="113" spans="1:16" ht="20" customHeight="1">
      <c r="A113" s="4">
        <v>44941</v>
      </c>
      <c r="B113" s="6">
        <v>3</v>
      </c>
      <c r="C113" s="6">
        <v>18</v>
      </c>
      <c r="D113" s="6">
        <v>20</v>
      </c>
      <c r="E113" s="6">
        <v>21</v>
      </c>
      <c r="F113" s="6">
        <v>34</v>
      </c>
      <c r="G113" s="6">
        <v>43</v>
      </c>
      <c r="H113" s="6">
        <v>32</v>
      </c>
      <c r="I113" s="6">
        <v>33</v>
      </c>
      <c r="J113" s="6">
        <v>22</v>
      </c>
      <c r="K113" s="6">
        <v>20</v>
      </c>
      <c r="L113" s="6">
        <v>29</v>
      </c>
      <c r="M113" s="6">
        <v>31</v>
      </c>
      <c r="N113" s="6">
        <v>12</v>
      </c>
      <c r="O113" s="6">
        <v>0</v>
      </c>
      <c r="P113" s="8">
        <f t="shared" si="1"/>
        <v>318</v>
      </c>
    </row>
    <row r="114" spans="1:16" ht="20" customHeight="1">
      <c r="A114" s="4">
        <v>44942</v>
      </c>
      <c r="B114" s="6">
        <v>0</v>
      </c>
      <c r="C114" s="6">
        <v>13</v>
      </c>
      <c r="D114" s="6">
        <v>7</v>
      </c>
      <c r="E114" s="6">
        <v>4</v>
      </c>
      <c r="F114" s="6">
        <v>9</v>
      </c>
      <c r="G114" s="6">
        <v>6</v>
      </c>
      <c r="H114" s="6">
        <v>6</v>
      </c>
      <c r="I114" s="6">
        <v>3</v>
      </c>
      <c r="J114" s="6">
        <v>4</v>
      </c>
      <c r="K114" s="6">
        <v>5</v>
      </c>
      <c r="L114" s="6">
        <v>5</v>
      </c>
      <c r="M114" s="6">
        <v>10</v>
      </c>
      <c r="N114" s="6">
        <v>5</v>
      </c>
      <c r="O114" s="6">
        <v>0</v>
      </c>
      <c r="P114" s="8">
        <f t="shared" si="1"/>
        <v>77</v>
      </c>
    </row>
    <row r="115" spans="1:16" ht="20" customHeight="1">
      <c r="A115" s="4">
        <v>44943</v>
      </c>
      <c r="B115" s="6">
        <f>6+2</f>
        <v>8</v>
      </c>
      <c r="C115" s="6">
        <f>55+3</f>
        <v>58</v>
      </c>
      <c r="D115" s="6">
        <f>40+3</f>
        <v>43</v>
      </c>
      <c r="E115" s="6">
        <f>49+1</f>
        <v>50</v>
      </c>
      <c r="F115" s="6">
        <v>52</v>
      </c>
      <c r="G115" s="6">
        <f>64+2</f>
        <v>66</v>
      </c>
      <c r="H115" s="6">
        <v>89</v>
      </c>
      <c r="I115" s="6">
        <v>61</v>
      </c>
      <c r="J115" s="6">
        <v>44</v>
      </c>
      <c r="K115" s="6">
        <v>32</v>
      </c>
      <c r="L115" s="6">
        <v>52</v>
      </c>
      <c r="M115" s="6">
        <v>67</v>
      </c>
      <c r="N115" s="6">
        <v>31</v>
      </c>
      <c r="O115" s="6">
        <v>0</v>
      </c>
      <c r="P115" s="8">
        <f t="shared" si="1"/>
        <v>653</v>
      </c>
    </row>
    <row r="116" spans="1:16" ht="20" customHeight="1">
      <c r="A116" s="4">
        <v>44944</v>
      </c>
      <c r="B116" s="6">
        <v>5</v>
      </c>
      <c r="C116" s="6">
        <v>27</v>
      </c>
      <c r="D116" s="6">
        <v>20</v>
      </c>
      <c r="E116" s="6">
        <v>33</v>
      </c>
      <c r="F116" s="6">
        <v>38</v>
      </c>
      <c r="G116" s="6">
        <v>58</v>
      </c>
      <c r="H116" s="6">
        <v>43</v>
      </c>
      <c r="I116" s="6">
        <v>43</v>
      </c>
      <c r="J116" s="6">
        <v>30</v>
      </c>
      <c r="K116" s="6">
        <f>17+1</f>
        <v>18</v>
      </c>
      <c r="L116" s="6">
        <v>34</v>
      </c>
      <c r="M116" s="6">
        <v>32</v>
      </c>
      <c r="N116" s="6">
        <f>14+2</f>
        <v>16</v>
      </c>
      <c r="O116" s="6">
        <v>0</v>
      </c>
      <c r="P116" s="8">
        <f t="shared" si="1"/>
        <v>397</v>
      </c>
    </row>
    <row r="117" spans="1:16" ht="20" customHeight="1">
      <c r="A117" s="4">
        <v>44945</v>
      </c>
      <c r="B117" s="6">
        <v>6</v>
      </c>
      <c r="C117" s="6">
        <v>20</v>
      </c>
      <c r="D117" s="6">
        <v>23</v>
      </c>
      <c r="E117" s="6">
        <v>26</v>
      </c>
      <c r="F117" s="6">
        <f>38+1</f>
        <v>39</v>
      </c>
      <c r="G117" s="6">
        <v>39</v>
      </c>
      <c r="H117" s="6">
        <v>30</v>
      </c>
      <c r="I117" s="6">
        <v>45</v>
      </c>
      <c r="J117" s="6">
        <f>16+1</f>
        <v>17</v>
      </c>
      <c r="K117" s="6">
        <v>24</v>
      </c>
      <c r="L117" s="6">
        <f>30+1</f>
        <v>31</v>
      </c>
      <c r="M117" s="6">
        <v>18</v>
      </c>
      <c r="N117" s="6">
        <v>17</v>
      </c>
      <c r="O117" s="6">
        <v>0</v>
      </c>
      <c r="P117" s="8">
        <f t="shared" si="1"/>
        <v>335</v>
      </c>
    </row>
    <row r="118" spans="1:16" ht="20" customHeight="1">
      <c r="A118" s="4">
        <v>44946</v>
      </c>
      <c r="B118" s="6">
        <v>6</v>
      </c>
      <c r="C118" s="6">
        <v>16</v>
      </c>
      <c r="D118" s="6">
        <v>16</v>
      </c>
      <c r="E118" s="6">
        <v>22</v>
      </c>
      <c r="F118" s="6">
        <v>34</v>
      </c>
      <c r="G118" s="6">
        <v>35</v>
      </c>
      <c r="H118" s="6">
        <v>46</v>
      </c>
      <c r="I118" s="6">
        <v>35</v>
      </c>
      <c r="J118" s="6">
        <v>23</v>
      </c>
      <c r="K118" s="6">
        <v>14</v>
      </c>
      <c r="L118" s="6">
        <v>24</v>
      </c>
      <c r="M118" s="6">
        <f>31+2</f>
        <v>33</v>
      </c>
      <c r="N118" s="6">
        <f>15+1</f>
        <v>16</v>
      </c>
      <c r="O118" s="6">
        <v>0</v>
      </c>
      <c r="P118" s="8">
        <f t="shared" si="1"/>
        <v>320</v>
      </c>
    </row>
    <row r="119" spans="1:16" ht="20" customHeight="1">
      <c r="A119" s="4">
        <v>44947</v>
      </c>
      <c r="B119" s="6">
        <v>5</v>
      </c>
      <c r="C119" s="6">
        <v>28</v>
      </c>
      <c r="D119" s="6">
        <v>37</v>
      </c>
      <c r="E119" s="6">
        <f>30+1</f>
        <v>31</v>
      </c>
      <c r="F119" s="6">
        <v>25</v>
      </c>
      <c r="G119" s="6">
        <v>34</v>
      </c>
      <c r="H119" s="6">
        <f>44+1</f>
        <v>45</v>
      </c>
      <c r="I119" s="6">
        <v>37</v>
      </c>
      <c r="J119" s="6">
        <v>13</v>
      </c>
      <c r="K119" s="6">
        <v>22</v>
      </c>
      <c r="L119" s="6">
        <f>29+1</f>
        <v>30</v>
      </c>
      <c r="M119" s="6">
        <v>35</v>
      </c>
      <c r="N119" s="6">
        <v>31</v>
      </c>
      <c r="O119" s="6">
        <v>0</v>
      </c>
      <c r="P119" s="8">
        <f t="shared" si="1"/>
        <v>373</v>
      </c>
    </row>
    <row r="120" spans="1:16" ht="20" customHeight="1">
      <c r="A120" s="4">
        <v>44948</v>
      </c>
      <c r="B120" s="6">
        <v>4</v>
      </c>
      <c r="C120" s="6">
        <v>17</v>
      </c>
      <c r="D120" s="6">
        <v>9</v>
      </c>
      <c r="E120" s="6">
        <v>11</v>
      </c>
      <c r="F120" s="6">
        <v>16</v>
      </c>
      <c r="G120" s="6">
        <v>14</v>
      </c>
      <c r="H120" s="6">
        <v>13</v>
      </c>
      <c r="I120" s="6">
        <v>15</v>
      </c>
      <c r="J120" s="6">
        <v>17</v>
      </c>
      <c r="K120" s="6">
        <f>15+2</f>
        <v>17</v>
      </c>
      <c r="L120" s="6">
        <v>19</v>
      </c>
      <c r="M120" s="6">
        <v>12</v>
      </c>
      <c r="N120" s="6">
        <v>12</v>
      </c>
      <c r="O120" s="6">
        <v>0</v>
      </c>
      <c r="P120" s="8">
        <f t="shared" si="1"/>
        <v>176</v>
      </c>
    </row>
    <row r="121" spans="1:16" ht="20" customHeight="1">
      <c r="A121" s="4">
        <v>44949</v>
      </c>
      <c r="B121" s="6">
        <v>0</v>
      </c>
      <c r="C121" s="6">
        <v>9</v>
      </c>
      <c r="D121" s="6">
        <v>8</v>
      </c>
      <c r="E121" s="6">
        <v>5</v>
      </c>
      <c r="F121" s="6">
        <v>0</v>
      </c>
      <c r="G121" s="6">
        <v>4</v>
      </c>
      <c r="H121" s="6">
        <v>2</v>
      </c>
      <c r="I121" s="6">
        <v>1</v>
      </c>
      <c r="J121" s="6">
        <v>3</v>
      </c>
      <c r="K121" s="6">
        <v>0</v>
      </c>
      <c r="L121" s="6">
        <v>0</v>
      </c>
      <c r="M121" s="6">
        <v>4</v>
      </c>
      <c r="N121" s="6">
        <v>1</v>
      </c>
      <c r="O121" s="6">
        <v>0</v>
      </c>
      <c r="P121" s="8">
        <f t="shared" si="1"/>
        <v>37</v>
      </c>
    </row>
    <row r="122" spans="1:16" ht="20" customHeight="1">
      <c r="A122" s="4">
        <v>44950</v>
      </c>
      <c r="B122" s="6">
        <v>6</v>
      </c>
      <c r="C122" s="6">
        <f>35+3</f>
        <v>38</v>
      </c>
      <c r="D122" s="6">
        <v>48</v>
      </c>
      <c r="E122" s="6">
        <v>26</v>
      </c>
      <c r="F122" s="6">
        <v>44</v>
      </c>
      <c r="G122" s="6">
        <f>59+1</f>
        <v>60</v>
      </c>
      <c r="H122" s="6">
        <f>68+1</f>
        <v>69</v>
      </c>
      <c r="I122" s="6">
        <f>55+1</f>
        <v>56</v>
      </c>
      <c r="J122" s="6">
        <v>30</v>
      </c>
      <c r="K122" s="6">
        <v>29</v>
      </c>
      <c r="L122" s="6">
        <f>27+1</f>
        <v>28</v>
      </c>
      <c r="M122" s="6">
        <f>51+1</f>
        <v>52</v>
      </c>
      <c r="N122" s="6">
        <v>37</v>
      </c>
      <c r="O122" s="6">
        <v>0</v>
      </c>
      <c r="P122" s="8">
        <f t="shared" si="1"/>
        <v>523</v>
      </c>
    </row>
    <row r="123" spans="1:16" ht="20" customHeight="1">
      <c r="A123" s="4">
        <v>44951</v>
      </c>
      <c r="B123" s="6">
        <v>5</v>
      </c>
      <c r="C123" s="6">
        <v>16</v>
      </c>
      <c r="D123" s="6">
        <v>22</v>
      </c>
      <c r="E123" s="6">
        <v>26</v>
      </c>
      <c r="F123" s="6">
        <v>24</v>
      </c>
      <c r="G123" s="6">
        <v>33</v>
      </c>
      <c r="H123" s="6">
        <v>39</v>
      </c>
      <c r="I123" s="6">
        <v>32</v>
      </c>
      <c r="J123" s="6">
        <v>21</v>
      </c>
      <c r="K123" s="6">
        <v>19</v>
      </c>
      <c r="L123" s="6">
        <v>33</v>
      </c>
      <c r="M123" s="6">
        <v>36</v>
      </c>
      <c r="N123" s="6">
        <v>28</v>
      </c>
      <c r="O123" s="6">
        <v>0</v>
      </c>
      <c r="P123" s="8">
        <f t="shared" si="1"/>
        <v>334</v>
      </c>
    </row>
    <row r="124" spans="1:16" ht="20" customHeight="1">
      <c r="A124" s="4">
        <v>44952</v>
      </c>
      <c r="B124" s="6">
        <v>0</v>
      </c>
      <c r="C124" s="6">
        <v>7</v>
      </c>
      <c r="D124" s="6">
        <v>17</v>
      </c>
      <c r="E124" s="6">
        <v>18</v>
      </c>
      <c r="F124" s="6">
        <v>18</v>
      </c>
      <c r="G124" s="6">
        <f>24+1</f>
        <v>25</v>
      </c>
      <c r="H124" s="6">
        <v>25</v>
      </c>
      <c r="I124" s="6">
        <v>22</v>
      </c>
      <c r="J124" s="6">
        <v>14</v>
      </c>
      <c r="K124" s="6">
        <v>11</v>
      </c>
      <c r="L124" s="6">
        <v>16</v>
      </c>
      <c r="M124" s="6">
        <v>21</v>
      </c>
      <c r="N124" s="6">
        <v>12</v>
      </c>
      <c r="O124" s="6">
        <f>1-1</f>
        <v>0</v>
      </c>
      <c r="P124" s="8">
        <f t="shared" si="1"/>
        <v>206</v>
      </c>
    </row>
    <row r="125" spans="1:16" ht="20" customHeight="1">
      <c r="A125" s="4">
        <v>44953</v>
      </c>
      <c r="B125" s="6">
        <v>4</v>
      </c>
      <c r="C125" s="6">
        <v>15</v>
      </c>
      <c r="D125" s="6">
        <v>17</v>
      </c>
      <c r="E125" s="6">
        <v>24</v>
      </c>
      <c r="F125" s="6">
        <v>17</v>
      </c>
      <c r="G125" s="6">
        <v>26</v>
      </c>
      <c r="H125" s="6">
        <v>39</v>
      </c>
      <c r="I125" s="6">
        <v>24</v>
      </c>
      <c r="J125" s="6">
        <v>9</v>
      </c>
      <c r="K125" s="6">
        <v>13</v>
      </c>
      <c r="L125" s="6">
        <v>21</v>
      </c>
      <c r="M125" s="6">
        <v>31</v>
      </c>
      <c r="N125" s="6">
        <v>9</v>
      </c>
      <c r="O125" s="6">
        <v>0</v>
      </c>
      <c r="P125" s="8">
        <f t="shared" si="1"/>
        <v>249</v>
      </c>
    </row>
    <row r="126" spans="1:16" ht="20" customHeight="1">
      <c r="A126" s="4">
        <v>44954</v>
      </c>
      <c r="B126" s="6">
        <v>1</v>
      </c>
      <c r="C126" s="6">
        <v>18</v>
      </c>
      <c r="D126" s="6">
        <v>26</v>
      </c>
      <c r="E126" s="6">
        <v>33</v>
      </c>
      <c r="F126" s="6">
        <f>19+1</f>
        <v>20</v>
      </c>
      <c r="G126" s="6">
        <v>26</v>
      </c>
      <c r="H126" s="6">
        <v>33</v>
      </c>
      <c r="I126" s="6">
        <v>24</v>
      </c>
      <c r="J126" s="6">
        <f>10+1</f>
        <v>11</v>
      </c>
      <c r="K126" s="6">
        <v>13</v>
      </c>
      <c r="L126" s="6">
        <v>19</v>
      </c>
      <c r="M126" s="6">
        <v>9</v>
      </c>
      <c r="N126" s="6">
        <v>6</v>
      </c>
      <c r="O126" s="6">
        <v>0</v>
      </c>
      <c r="P126" s="8">
        <f t="shared" si="1"/>
        <v>239</v>
      </c>
    </row>
    <row r="127" spans="1:16" ht="20" customHeight="1">
      <c r="A127" s="4">
        <v>44955</v>
      </c>
      <c r="B127" s="6">
        <v>2</v>
      </c>
      <c r="C127" s="6">
        <v>17</v>
      </c>
      <c r="D127" s="6">
        <v>22</v>
      </c>
      <c r="E127" s="6">
        <v>20</v>
      </c>
      <c r="F127" s="6">
        <v>16</v>
      </c>
      <c r="G127" s="6">
        <v>9</v>
      </c>
      <c r="H127" s="6">
        <v>8</v>
      </c>
      <c r="I127" s="6">
        <v>26</v>
      </c>
      <c r="J127" s="6">
        <v>13</v>
      </c>
      <c r="K127" s="6">
        <v>2</v>
      </c>
      <c r="L127" s="6">
        <v>9</v>
      </c>
      <c r="M127" s="6">
        <v>11</v>
      </c>
      <c r="N127" s="6">
        <v>7</v>
      </c>
      <c r="O127" s="6">
        <v>0</v>
      </c>
      <c r="P127" s="8">
        <f t="shared" si="1"/>
        <v>162</v>
      </c>
    </row>
    <row r="128" spans="1:16" ht="20" customHeight="1">
      <c r="A128" s="4">
        <v>44956</v>
      </c>
      <c r="B128" s="6">
        <v>1</v>
      </c>
      <c r="C128" s="6">
        <v>6</v>
      </c>
      <c r="D128" s="6">
        <v>6</v>
      </c>
      <c r="E128" s="6">
        <v>8</v>
      </c>
      <c r="F128" s="6">
        <v>1</v>
      </c>
      <c r="G128" s="6">
        <v>3</v>
      </c>
      <c r="H128" s="6">
        <v>4</v>
      </c>
      <c r="I128" s="6">
        <v>5</v>
      </c>
      <c r="J128" s="6">
        <v>0</v>
      </c>
      <c r="K128" s="6">
        <v>5</v>
      </c>
      <c r="L128" s="6">
        <v>3</v>
      </c>
      <c r="M128" s="6">
        <v>3</v>
      </c>
      <c r="N128" s="6">
        <v>4</v>
      </c>
      <c r="O128" s="6">
        <v>0</v>
      </c>
      <c r="P128" s="8">
        <f t="shared" si="1"/>
        <v>49</v>
      </c>
    </row>
    <row r="129" spans="1:16" ht="20" customHeight="1">
      <c r="A129" s="4">
        <v>44957</v>
      </c>
      <c r="B129" s="6">
        <v>3</v>
      </c>
      <c r="C129" s="6">
        <v>24</v>
      </c>
      <c r="D129" s="6">
        <v>28</v>
      </c>
      <c r="E129" s="6">
        <v>53</v>
      </c>
      <c r="F129" s="6">
        <v>20</v>
      </c>
      <c r="G129" s="6">
        <f>48+1</f>
        <v>49</v>
      </c>
      <c r="H129" s="6">
        <v>42</v>
      </c>
      <c r="I129" s="6">
        <v>42</v>
      </c>
      <c r="J129" s="6">
        <v>23</v>
      </c>
      <c r="K129" s="6">
        <v>23</v>
      </c>
      <c r="L129" s="6">
        <v>24</v>
      </c>
      <c r="M129" s="6">
        <v>23</v>
      </c>
      <c r="N129" s="6">
        <v>16</v>
      </c>
      <c r="O129" s="6">
        <v>0</v>
      </c>
      <c r="P129" s="8">
        <f t="shared" si="1"/>
        <v>370</v>
      </c>
    </row>
    <row r="130" spans="1:16" ht="20" customHeight="1">
      <c r="A130" s="4">
        <v>44958</v>
      </c>
      <c r="B130" s="6">
        <v>0</v>
      </c>
      <c r="C130" s="6">
        <v>11</v>
      </c>
      <c r="D130" s="6">
        <v>8</v>
      </c>
      <c r="E130" s="6">
        <v>29</v>
      </c>
      <c r="F130" s="6">
        <v>20</v>
      </c>
      <c r="G130" s="6">
        <v>21</v>
      </c>
      <c r="H130" s="6">
        <v>25</v>
      </c>
      <c r="I130" s="6">
        <v>15</v>
      </c>
      <c r="J130" s="6">
        <v>14</v>
      </c>
      <c r="K130" s="6">
        <v>18</v>
      </c>
      <c r="L130" s="6">
        <v>6</v>
      </c>
      <c r="M130" s="6">
        <v>8</v>
      </c>
      <c r="N130" s="6">
        <v>6</v>
      </c>
      <c r="O130" s="6">
        <v>0</v>
      </c>
      <c r="P130" s="8">
        <f t="shared" si="1"/>
        <v>181</v>
      </c>
    </row>
    <row r="131" spans="1:16" ht="20" customHeight="1">
      <c r="A131" s="4">
        <v>44959</v>
      </c>
      <c r="B131" s="6">
        <v>2</v>
      </c>
      <c r="C131" s="6">
        <v>11</v>
      </c>
      <c r="D131" s="6">
        <v>13</v>
      </c>
      <c r="E131" s="6">
        <v>20</v>
      </c>
      <c r="F131" s="6">
        <v>4</v>
      </c>
      <c r="G131" s="6">
        <f>23+2</f>
        <v>25</v>
      </c>
      <c r="H131" s="6">
        <v>31</v>
      </c>
      <c r="I131" s="6">
        <v>19</v>
      </c>
      <c r="J131" s="6">
        <v>7</v>
      </c>
      <c r="K131" s="6">
        <v>6</v>
      </c>
      <c r="L131" s="6">
        <v>12</v>
      </c>
      <c r="M131" s="6">
        <v>14</v>
      </c>
      <c r="N131" s="6">
        <v>6</v>
      </c>
      <c r="O131" s="6">
        <v>0</v>
      </c>
      <c r="P131" s="8">
        <f t="shared" ref="P131:P194" si="2">SUM(B131:O131)</f>
        <v>170</v>
      </c>
    </row>
    <row r="132" spans="1:16" ht="20" customHeight="1">
      <c r="A132" s="4">
        <v>44960</v>
      </c>
      <c r="B132" s="6">
        <v>2</v>
      </c>
      <c r="C132" s="6">
        <v>10</v>
      </c>
      <c r="D132" s="6">
        <v>8</v>
      </c>
      <c r="E132" s="6">
        <v>23</v>
      </c>
      <c r="F132" s="6">
        <v>11</v>
      </c>
      <c r="G132" s="6">
        <v>26</v>
      </c>
      <c r="H132" s="6">
        <v>23</v>
      </c>
      <c r="I132" s="6">
        <v>16</v>
      </c>
      <c r="J132" s="6">
        <v>9</v>
      </c>
      <c r="K132" s="6">
        <v>6</v>
      </c>
      <c r="L132" s="6">
        <v>17</v>
      </c>
      <c r="M132" s="6">
        <v>12</v>
      </c>
      <c r="N132" s="6">
        <v>6</v>
      </c>
      <c r="O132" s="6">
        <v>0</v>
      </c>
      <c r="P132" s="8">
        <f t="shared" si="2"/>
        <v>169</v>
      </c>
    </row>
    <row r="133" spans="1:16" ht="20" customHeight="1">
      <c r="A133" s="4">
        <v>44961</v>
      </c>
      <c r="B133" s="6">
        <v>4</v>
      </c>
      <c r="C133" s="6">
        <v>9</v>
      </c>
      <c r="D133" s="6">
        <v>16</v>
      </c>
      <c r="E133" s="6">
        <v>31</v>
      </c>
      <c r="F133" s="6">
        <v>18</v>
      </c>
      <c r="G133" s="6">
        <v>25</v>
      </c>
      <c r="H133" s="6">
        <v>23</v>
      </c>
      <c r="I133" s="6">
        <v>16</v>
      </c>
      <c r="J133" s="6">
        <v>6</v>
      </c>
      <c r="K133" s="6">
        <v>6</v>
      </c>
      <c r="L133" s="6">
        <v>17</v>
      </c>
      <c r="M133" s="6">
        <v>15</v>
      </c>
      <c r="N133" s="6">
        <v>8</v>
      </c>
      <c r="O133" s="6">
        <v>0</v>
      </c>
      <c r="P133" s="8">
        <f t="shared" si="2"/>
        <v>194</v>
      </c>
    </row>
    <row r="134" spans="1:16" ht="20" customHeight="1">
      <c r="A134" s="4">
        <v>44962</v>
      </c>
      <c r="B134" s="6">
        <v>0</v>
      </c>
      <c r="C134" s="6">
        <v>9</v>
      </c>
      <c r="D134" s="6">
        <v>5</v>
      </c>
      <c r="E134" s="6">
        <v>20</v>
      </c>
      <c r="F134" s="6">
        <f>8+2</f>
        <v>10</v>
      </c>
      <c r="G134" s="6">
        <v>13</v>
      </c>
      <c r="H134" s="6">
        <v>9</v>
      </c>
      <c r="I134" s="6">
        <v>17</v>
      </c>
      <c r="J134" s="6">
        <v>8</v>
      </c>
      <c r="K134" s="6">
        <v>4</v>
      </c>
      <c r="L134" s="6">
        <f>11+1</f>
        <v>12</v>
      </c>
      <c r="M134" s="6">
        <f>10+1</f>
        <v>11</v>
      </c>
      <c r="N134" s="6">
        <v>6</v>
      </c>
      <c r="O134" s="6">
        <v>0</v>
      </c>
      <c r="P134" s="8">
        <f t="shared" si="2"/>
        <v>124</v>
      </c>
    </row>
    <row r="135" spans="1:16" ht="20" customHeight="1">
      <c r="A135" s="4">
        <v>44963</v>
      </c>
      <c r="B135" s="7">
        <v>1</v>
      </c>
      <c r="C135" s="7">
        <v>4</v>
      </c>
      <c r="D135" s="7">
        <v>5</v>
      </c>
      <c r="E135" s="7">
        <v>7</v>
      </c>
      <c r="F135" s="7">
        <v>4</v>
      </c>
      <c r="G135" s="7">
        <v>4</v>
      </c>
      <c r="H135" s="7">
        <v>5</v>
      </c>
      <c r="I135" s="7">
        <v>3</v>
      </c>
      <c r="J135" s="7">
        <v>3</v>
      </c>
      <c r="K135" s="7">
        <v>1</v>
      </c>
      <c r="L135" s="7">
        <v>3</v>
      </c>
      <c r="M135" s="7">
        <v>1</v>
      </c>
      <c r="N135" s="7">
        <v>0</v>
      </c>
      <c r="O135" s="7">
        <v>0</v>
      </c>
      <c r="P135" s="8">
        <f t="shared" si="2"/>
        <v>41</v>
      </c>
    </row>
    <row r="136" spans="1:16" ht="20" customHeight="1">
      <c r="A136" s="4">
        <v>44964</v>
      </c>
      <c r="B136" s="7">
        <v>2</v>
      </c>
      <c r="C136" s="7">
        <v>11</v>
      </c>
      <c r="D136" s="7">
        <v>16</v>
      </c>
      <c r="E136" s="7">
        <v>46</v>
      </c>
      <c r="F136" s="7">
        <v>19</v>
      </c>
      <c r="G136" s="7">
        <v>39</v>
      </c>
      <c r="H136" s="7">
        <v>31</v>
      </c>
      <c r="I136" s="7">
        <v>30</v>
      </c>
      <c r="J136" s="7">
        <v>12</v>
      </c>
      <c r="K136" s="7">
        <v>16</v>
      </c>
      <c r="L136" s="7">
        <v>23</v>
      </c>
      <c r="M136" s="7">
        <v>13</v>
      </c>
      <c r="N136" s="7">
        <v>11</v>
      </c>
      <c r="O136" s="7">
        <v>0</v>
      </c>
      <c r="P136" s="8">
        <f t="shared" si="2"/>
        <v>269</v>
      </c>
    </row>
    <row r="137" spans="1:16" ht="20" customHeight="1">
      <c r="A137" s="4">
        <v>44965</v>
      </c>
      <c r="B137" s="7">
        <v>0</v>
      </c>
      <c r="C137" s="7">
        <v>12</v>
      </c>
      <c r="D137" s="7">
        <v>14</v>
      </c>
      <c r="E137" s="7">
        <v>25</v>
      </c>
      <c r="F137" s="7">
        <v>11</v>
      </c>
      <c r="G137" s="7">
        <v>20</v>
      </c>
      <c r="H137" s="7">
        <v>33</v>
      </c>
      <c r="I137" s="7">
        <v>20</v>
      </c>
      <c r="J137" s="7">
        <v>7</v>
      </c>
      <c r="K137" s="7">
        <v>5</v>
      </c>
      <c r="L137" s="7">
        <v>12</v>
      </c>
      <c r="M137" s="7">
        <v>10</v>
      </c>
      <c r="N137" s="7">
        <v>9</v>
      </c>
      <c r="O137" s="7">
        <v>0</v>
      </c>
      <c r="P137" s="8">
        <f t="shared" si="2"/>
        <v>178</v>
      </c>
    </row>
    <row r="138" spans="1:16" ht="20" customHeight="1">
      <c r="A138" s="4">
        <v>44966</v>
      </c>
      <c r="B138" s="7">
        <v>4</v>
      </c>
      <c r="C138" s="7">
        <v>8</v>
      </c>
      <c r="D138" s="7">
        <v>15</v>
      </c>
      <c r="E138" s="7">
        <v>23</v>
      </c>
      <c r="F138" s="7">
        <v>14</v>
      </c>
      <c r="G138" s="7">
        <v>19</v>
      </c>
      <c r="H138" s="7">
        <v>14</v>
      </c>
      <c r="I138" s="7">
        <v>15</v>
      </c>
      <c r="J138" s="7">
        <v>2</v>
      </c>
      <c r="K138" s="7">
        <v>6</v>
      </c>
      <c r="L138" s="7">
        <v>14</v>
      </c>
      <c r="M138" s="7">
        <v>10</v>
      </c>
      <c r="N138" s="7">
        <v>7</v>
      </c>
      <c r="O138" s="7">
        <v>0</v>
      </c>
      <c r="P138" s="8">
        <f t="shared" si="2"/>
        <v>151</v>
      </c>
    </row>
    <row r="139" spans="1:16" ht="20" customHeight="1">
      <c r="A139" s="4">
        <v>44967</v>
      </c>
      <c r="B139" s="7">
        <v>1</v>
      </c>
      <c r="C139" s="7">
        <v>6</v>
      </c>
      <c r="D139" s="7">
        <v>13</v>
      </c>
      <c r="E139" s="7">
        <v>19</v>
      </c>
      <c r="F139" s="7">
        <v>8</v>
      </c>
      <c r="G139" s="7">
        <v>18</v>
      </c>
      <c r="H139" s="7">
        <v>22</v>
      </c>
      <c r="I139" s="7">
        <v>20</v>
      </c>
      <c r="J139" s="7">
        <v>7</v>
      </c>
      <c r="K139" s="7">
        <v>3</v>
      </c>
      <c r="L139" s="7">
        <v>6</v>
      </c>
      <c r="M139" s="7">
        <v>9</v>
      </c>
      <c r="N139" s="7">
        <v>3</v>
      </c>
      <c r="O139" s="7">
        <v>0</v>
      </c>
      <c r="P139" s="8">
        <f t="shared" si="2"/>
        <v>135</v>
      </c>
    </row>
    <row r="140" spans="1:16" ht="20" customHeight="1">
      <c r="A140" s="4">
        <v>44968</v>
      </c>
      <c r="B140" s="7">
        <v>1</v>
      </c>
      <c r="C140" s="7">
        <v>24</v>
      </c>
      <c r="D140" s="7">
        <v>16</v>
      </c>
      <c r="E140" s="7">
        <v>21</v>
      </c>
      <c r="F140" s="7">
        <v>18</v>
      </c>
      <c r="G140" s="7">
        <v>13</v>
      </c>
      <c r="H140" s="7">
        <v>23</v>
      </c>
      <c r="I140" s="7">
        <v>20</v>
      </c>
      <c r="J140" s="7">
        <v>11</v>
      </c>
      <c r="K140" s="7">
        <v>9</v>
      </c>
      <c r="L140" s="7">
        <v>9</v>
      </c>
      <c r="M140" s="7">
        <v>12</v>
      </c>
      <c r="N140" s="7">
        <v>7</v>
      </c>
      <c r="O140" s="7">
        <v>0</v>
      </c>
      <c r="P140" s="8">
        <f t="shared" si="2"/>
        <v>184</v>
      </c>
    </row>
    <row r="141" spans="1:16" ht="20" customHeight="1">
      <c r="A141" s="4">
        <v>44969</v>
      </c>
      <c r="B141" s="7">
        <v>1</v>
      </c>
      <c r="C141" s="7">
        <v>1</v>
      </c>
      <c r="D141" s="7">
        <v>1</v>
      </c>
      <c r="E141" s="7">
        <v>0</v>
      </c>
      <c r="F141" s="7">
        <v>0</v>
      </c>
      <c r="G141" s="7">
        <v>0</v>
      </c>
      <c r="H141" s="7">
        <v>2</v>
      </c>
      <c r="I141" s="7">
        <v>0</v>
      </c>
      <c r="J141" s="7">
        <v>0</v>
      </c>
      <c r="K141" s="7">
        <v>0</v>
      </c>
      <c r="L141" s="7">
        <v>5</v>
      </c>
      <c r="M141" s="7">
        <v>3</v>
      </c>
      <c r="N141" s="7">
        <v>2</v>
      </c>
      <c r="O141" s="7">
        <v>0</v>
      </c>
      <c r="P141" s="8">
        <f t="shared" si="2"/>
        <v>15</v>
      </c>
    </row>
    <row r="142" spans="1:16" ht="20" customHeight="1">
      <c r="A142" s="4">
        <v>44970</v>
      </c>
      <c r="B142" s="7">
        <v>0</v>
      </c>
      <c r="C142" s="7">
        <v>2</v>
      </c>
      <c r="D142" s="7">
        <v>3</v>
      </c>
      <c r="E142" s="7">
        <v>4</v>
      </c>
      <c r="F142" s="7">
        <v>2</v>
      </c>
      <c r="G142" s="7">
        <v>2</v>
      </c>
      <c r="H142" s="7">
        <v>5</v>
      </c>
      <c r="I142" s="7">
        <v>0</v>
      </c>
      <c r="J142" s="7">
        <f>2-1</f>
        <v>1</v>
      </c>
      <c r="K142" s="7">
        <v>1</v>
      </c>
      <c r="L142" s="7">
        <v>1</v>
      </c>
      <c r="M142" s="7">
        <v>4</v>
      </c>
      <c r="N142" s="7">
        <v>1</v>
      </c>
      <c r="O142" s="7">
        <v>0</v>
      </c>
      <c r="P142" s="8">
        <f t="shared" si="2"/>
        <v>26</v>
      </c>
    </row>
    <row r="143" spans="1:16" ht="20" customHeight="1">
      <c r="A143" s="4">
        <v>44971</v>
      </c>
      <c r="B143" s="7">
        <v>2</v>
      </c>
      <c r="C143" s="7">
        <v>13</v>
      </c>
      <c r="D143" s="7">
        <v>20</v>
      </c>
      <c r="E143" s="7">
        <v>33</v>
      </c>
      <c r="F143" s="7">
        <v>17</v>
      </c>
      <c r="G143" s="7">
        <v>15</v>
      </c>
      <c r="H143" s="7">
        <v>32</v>
      </c>
      <c r="I143" s="7">
        <v>34</v>
      </c>
      <c r="J143" s="7">
        <v>15</v>
      </c>
      <c r="K143" s="7">
        <v>8</v>
      </c>
      <c r="L143" s="7">
        <v>19</v>
      </c>
      <c r="M143" s="7">
        <v>20</v>
      </c>
      <c r="N143" s="7">
        <v>18</v>
      </c>
      <c r="O143" s="7">
        <v>0</v>
      </c>
      <c r="P143" s="8">
        <f t="shared" si="2"/>
        <v>246</v>
      </c>
    </row>
    <row r="144" spans="1:16" ht="20" customHeight="1">
      <c r="A144" s="4">
        <v>44972</v>
      </c>
      <c r="B144" s="7">
        <v>2</v>
      </c>
      <c r="C144" s="7">
        <v>15</v>
      </c>
      <c r="D144" s="7">
        <v>17</v>
      </c>
      <c r="E144" s="7">
        <v>15</v>
      </c>
      <c r="F144" s="7">
        <v>13</v>
      </c>
      <c r="G144" s="7">
        <v>18</v>
      </c>
      <c r="H144" s="7">
        <v>27</v>
      </c>
      <c r="I144" s="7">
        <v>11</v>
      </c>
      <c r="J144" s="7">
        <v>9</v>
      </c>
      <c r="K144" s="7">
        <v>5</v>
      </c>
      <c r="L144" s="7">
        <v>11</v>
      </c>
      <c r="M144" s="7">
        <v>8</v>
      </c>
      <c r="N144" s="7">
        <v>10</v>
      </c>
      <c r="O144" s="7">
        <v>0</v>
      </c>
      <c r="P144" s="8">
        <f t="shared" si="2"/>
        <v>161</v>
      </c>
    </row>
    <row r="145" spans="1:16" ht="20" customHeight="1">
      <c r="A145" s="4">
        <v>44973</v>
      </c>
      <c r="B145" s="7">
        <v>1</v>
      </c>
      <c r="C145" s="7">
        <v>3</v>
      </c>
      <c r="D145" s="7">
        <v>5</v>
      </c>
      <c r="E145" s="7">
        <v>19</v>
      </c>
      <c r="F145" s="7">
        <v>7</v>
      </c>
      <c r="G145" s="7">
        <v>20</v>
      </c>
      <c r="H145" s="7">
        <v>14</v>
      </c>
      <c r="I145" s="7">
        <v>14</v>
      </c>
      <c r="J145" s="7">
        <v>5</v>
      </c>
      <c r="K145" s="7">
        <v>5</v>
      </c>
      <c r="L145" s="7">
        <v>11</v>
      </c>
      <c r="M145" s="7">
        <f>8-1</f>
        <v>7</v>
      </c>
      <c r="N145" s="7">
        <v>4</v>
      </c>
      <c r="O145" s="7">
        <v>0</v>
      </c>
      <c r="P145" s="8">
        <f t="shared" si="2"/>
        <v>115</v>
      </c>
    </row>
    <row r="146" spans="1:16" ht="20" customHeight="1">
      <c r="A146" s="4">
        <v>44974</v>
      </c>
      <c r="B146" s="7">
        <v>2</v>
      </c>
      <c r="C146" s="7">
        <v>8</v>
      </c>
      <c r="D146" s="7">
        <v>13</v>
      </c>
      <c r="E146" s="7">
        <v>6</v>
      </c>
      <c r="F146" s="7">
        <v>5</v>
      </c>
      <c r="G146" s="7">
        <v>14</v>
      </c>
      <c r="H146" s="7">
        <v>11</v>
      </c>
      <c r="I146" s="7">
        <v>8</v>
      </c>
      <c r="J146" s="7">
        <v>6</v>
      </c>
      <c r="K146" s="7">
        <v>3</v>
      </c>
      <c r="L146" s="7">
        <v>8</v>
      </c>
      <c r="M146" s="7">
        <v>6</v>
      </c>
      <c r="N146" s="7">
        <v>2</v>
      </c>
      <c r="O146" s="7">
        <v>0</v>
      </c>
      <c r="P146" s="8">
        <f t="shared" si="2"/>
        <v>92</v>
      </c>
    </row>
    <row r="147" spans="1:16" ht="20" customHeight="1">
      <c r="A147" s="4">
        <v>44975</v>
      </c>
      <c r="B147" s="7">
        <v>0</v>
      </c>
      <c r="C147" s="7">
        <v>2</v>
      </c>
      <c r="D147" s="7">
        <v>5</v>
      </c>
      <c r="E147" s="7">
        <v>4</v>
      </c>
      <c r="F147" s="7">
        <v>6</v>
      </c>
      <c r="G147" s="7">
        <v>12</v>
      </c>
      <c r="H147" s="7">
        <v>9</v>
      </c>
      <c r="I147" s="7">
        <v>9</v>
      </c>
      <c r="J147" s="7">
        <v>9</v>
      </c>
      <c r="K147" s="7">
        <v>4</v>
      </c>
      <c r="L147" s="7">
        <v>8</v>
      </c>
      <c r="M147" s="7">
        <v>13</v>
      </c>
      <c r="N147" s="7">
        <v>7</v>
      </c>
      <c r="O147" s="7">
        <v>0</v>
      </c>
      <c r="P147" s="8">
        <f t="shared" si="2"/>
        <v>88</v>
      </c>
    </row>
    <row r="148" spans="1:16" ht="20" customHeight="1">
      <c r="A148" s="4">
        <v>44976</v>
      </c>
      <c r="B148" s="7">
        <v>0</v>
      </c>
      <c r="C148" s="7">
        <v>3</v>
      </c>
      <c r="D148" s="7">
        <v>5</v>
      </c>
      <c r="E148" s="7">
        <v>4</v>
      </c>
      <c r="F148" s="7">
        <v>4</v>
      </c>
      <c r="G148" s="7">
        <v>2</v>
      </c>
      <c r="H148" s="7">
        <v>7</v>
      </c>
      <c r="I148" s="7">
        <v>6</v>
      </c>
      <c r="J148" s="7">
        <v>2</v>
      </c>
      <c r="K148" s="7">
        <v>1</v>
      </c>
      <c r="L148" s="7">
        <v>3</v>
      </c>
      <c r="M148" s="7">
        <v>1</v>
      </c>
      <c r="N148" s="7">
        <v>1</v>
      </c>
      <c r="O148" s="7">
        <v>0</v>
      </c>
      <c r="P148" s="8">
        <f t="shared" si="2"/>
        <v>39</v>
      </c>
    </row>
    <row r="149" spans="1:16" ht="20" customHeight="1">
      <c r="A149" s="4">
        <v>44977</v>
      </c>
      <c r="B149" s="7">
        <v>0</v>
      </c>
      <c r="C149" s="7">
        <v>2</v>
      </c>
      <c r="D149" s="7">
        <v>5</v>
      </c>
      <c r="E149" s="7">
        <v>1</v>
      </c>
      <c r="F149" s="7">
        <v>0</v>
      </c>
      <c r="G149" s="7">
        <v>1</v>
      </c>
      <c r="H149" s="7">
        <v>1</v>
      </c>
      <c r="I149" s="7">
        <v>1</v>
      </c>
      <c r="J149" s="7">
        <v>1</v>
      </c>
      <c r="K149" s="7">
        <v>0</v>
      </c>
      <c r="L149" s="7">
        <v>2</v>
      </c>
      <c r="M149" s="7">
        <v>2</v>
      </c>
      <c r="N149" s="7">
        <v>0</v>
      </c>
      <c r="O149" s="7">
        <v>0</v>
      </c>
      <c r="P149" s="8">
        <f t="shared" si="2"/>
        <v>16</v>
      </c>
    </row>
    <row r="150" spans="1:16" ht="20" customHeight="1">
      <c r="A150" s="4">
        <v>44978</v>
      </c>
      <c r="B150" s="7">
        <v>4</v>
      </c>
      <c r="C150" s="7">
        <v>6</v>
      </c>
      <c r="D150" s="7">
        <v>8</v>
      </c>
      <c r="E150" s="7">
        <v>12</v>
      </c>
      <c r="F150" s="7">
        <v>9</v>
      </c>
      <c r="G150" s="7">
        <v>15</v>
      </c>
      <c r="H150" s="7">
        <v>22</v>
      </c>
      <c r="I150" s="7">
        <v>10</v>
      </c>
      <c r="J150" s="7">
        <v>11</v>
      </c>
      <c r="K150" s="7">
        <v>3</v>
      </c>
      <c r="L150" s="7">
        <v>9</v>
      </c>
      <c r="M150" s="7">
        <v>16</v>
      </c>
      <c r="N150" s="7">
        <f>12+1</f>
        <v>13</v>
      </c>
      <c r="O150" s="7">
        <v>0</v>
      </c>
      <c r="P150" s="8">
        <f t="shared" si="2"/>
        <v>138</v>
      </c>
    </row>
    <row r="151" spans="1:16" ht="20" customHeight="1">
      <c r="A151" s="4">
        <v>44979</v>
      </c>
      <c r="B151" s="7">
        <v>0</v>
      </c>
      <c r="C151" s="7">
        <v>5</v>
      </c>
      <c r="D151" s="7">
        <v>10</v>
      </c>
      <c r="E151" s="7">
        <v>15</v>
      </c>
      <c r="F151" s="7">
        <v>7</v>
      </c>
      <c r="G151" s="7">
        <v>6</v>
      </c>
      <c r="H151" s="7">
        <v>14</v>
      </c>
      <c r="I151" s="7">
        <v>14</v>
      </c>
      <c r="J151" s="7">
        <v>3</v>
      </c>
      <c r="K151" s="7">
        <v>7</v>
      </c>
      <c r="L151" s="7">
        <v>8</v>
      </c>
      <c r="M151" s="7">
        <v>11</v>
      </c>
      <c r="N151" s="7">
        <v>8</v>
      </c>
      <c r="O151" s="7">
        <v>0</v>
      </c>
      <c r="P151" s="8">
        <f t="shared" si="2"/>
        <v>108</v>
      </c>
    </row>
    <row r="152" spans="1:16" ht="20" customHeight="1">
      <c r="A152" s="4">
        <v>44980</v>
      </c>
      <c r="B152" s="7">
        <v>2</v>
      </c>
      <c r="C152" s="7">
        <v>3</v>
      </c>
      <c r="D152" s="7">
        <v>0</v>
      </c>
      <c r="E152" s="7">
        <v>6</v>
      </c>
      <c r="F152" s="7">
        <v>6</v>
      </c>
      <c r="G152" s="7">
        <v>11</v>
      </c>
      <c r="H152" s="7">
        <v>14</v>
      </c>
      <c r="I152" s="7">
        <v>12</v>
      </c>
      <c r="J152" s="7">
        <v>4</v>
      </c>
      <c r="K152" s="7">
        <f>1+1</f>
        <v>2</v>
      </c>
      <c r="L152" s="7">
        <v>5</v>
      </c>
      <c r="M152" s="7">
        <v>9</v>
      </c>
      <c r="N152" s="7">
        <v>7</v>
      </c>
      <c r="O152" s="7">
        <v>0</v>
      </c>
      <c r="P152" s="8">
        <f t="shared" si="2"/>
        <v>81</v>
      </c>
    </row>
    <row r="153" spans="1:16" ht="20" customHeight="1">
      <c r="A153" s="4">
        <v>44981</v>
      </c>
      <c r="B153" s="7">
        <v>0</v>
      </c>
      <c r="C153" s="7">
        <v>1</v>
      </c>
      <c r="D153" s="7">
        <v>0</v>
      </c>
      <c r="E153" s="7">
        <v>2</v>
      </c>
      <c r="F153" s="7">
        <v>2</v>
      </c>
      <c r="G153" s="7">
        <v>1</v>
      </c>
      <c r="H153" s="7">
        <v>6</v>
      </c>
      <c r="I153" s="7">
        <v>1</v>
      </c>
      <c r="J153" s="7">
        <v>0</v>
      </c>
      <c r="K153" s="7">
        <v>0</v>
      </c>
      <c r="L153" s="7">
        <v>4</v>
      </c>
      <c r="M153" s="7">
        <v>2</v>
      </c>
      <c r="N153" s="7">
        <v>2</v>
      </c>
      <c r="O153" s="7">
        <v>0</v>
      </c>
      <c r="P153" s="8">
        <f t="shared" si="2"/>
        <v>21</v>
      </c>
    </row>
    <row r="154" spans="1:16" ht="20" customHeight="1">
      <c r="A154" s="4">
        <v>44982</v>
      </c>
      <c r="B154" s="7">
        <v>0</v>
      </c>
      <c r="C154" s="7">
        <v>5</v>
      </c>
      <c r="D154" s="7">
        <v>10</v>
      </c>
      <c r="E154" s="7">
        <v>15</v>
      </c>
      <c r="F154" s="7">
        <v>12</v>
      </c>
      <c r="G154" s="7">
        <v>14</v>
      </c>
      <c r="H154" s="7">
        <v>15</v>
      </c>
      <c r="I154" s="7">
        <v>14</v>
      </c>
      <c r="J154" s="7">
        <v>11</v>
      </c>
      <c r="K154" s="7">
        <v>4</v>
      </c>
      <c r="L154" s="7">
        <v>14</v>
      </c>
      <c r="M154" s="7">
        <v>3</v>
      </c>
      <c r="N154" s="7">
        <v>6</v>
      </c>
      <c r="O154" s="7">
        <v>0</v>
      </c>
      <c r="P154" s="8">
        <f t="shared" si="2"/>
        <v>123</v>
      </c>
    </row>
    <row r="155" spans="1:16" ht="20" customHeight="1">
      <c r="A155" s="4">
        <v>44983</v>
      </c>
      <c r="B155" s="7">
        <v>0</v>
      </c>
      <c r="C155" s="7">
        <v>1</v>
      </c>
      <c r="D155" s="7">
        <v>7</v>
      </c>
      <c r="E155" s="7">
        <f>6+1</f>
        <v>7</v>
      </c>
      <c r="F155" s="7">
        <v>6</v>
      </c>
      <c r="G155" s="7">
        <v>8</v>
      </c>
      <c r="H155" s="7">
        <v>11</v>
      </c>
      <c r="I155" s="7">
        <v>5</v>
      </c>
      <c r="J155" s="7">
        <v>4</v>
      </c>
      <c r="K155" s="7">
        <v>2</v>
      </c>
      <c r="L155" s="7">
        <v>5</v>
      </c>
      <c r="M155" s="7">
        <f>4+1</f>
        <v>5</v>
      </c>
      <c r="N155" s="7">
        <v>2</v>
      </c>
      <c r="O155" s="7">
        <v>0</v>
      </c>
      <c r="P155" s="8">
        <f t="shared" si="2"/>
        <v>63</v>
      </c>
    </row>
    <row r="156" spans="1:16" ht="20" customHeight="1">
      <c r="A156" s="4">
        <v>44984</v>
      </c>
      <c r="B156" s="7">
        <v>1</v>
      </c>
      <c r="C156" s="7">
        <v>0</v>
      </c>
      <c r="D156" s="7">
        <v>1</v>
      </c>
      <c r="E156" s="7">
        <v>1</v>
      </c>
      <c r="F156" s="7">
        <v>2</v>
      </c>
      <c r="G156" s="7">
        <v>3</v>
      </c>
      <c r="H156" s="7">
        <v>1</v>
      </c>
      <c r="I156" s="7">
        <v>0</v>
      </c>
      <c r="J156" s="7">
        <v>0</v>
      </c>
      <c r="K156" s="7">
        <v>0</v>
      </c>
      <c r="L156" s="7">
        <v>0</v>
      </c>
      <c r="M156" s="7">
        <v>2</v>
      </c>
      <c r="N156" s="7">
        <v>1</v>
      </c>
      <c r="O156" s="7">
        <v>0</v>
      </c>
      <c r="P156" s="8">
        <f t="shared" si="2"/>
        <v>12</v>
      </c>
    </row>
    <row r="157" spans="1:16" ht="20" customHeight="1">
      <c r="A157" s="4">
        <v>44985</v>
      </c>
      <c r="B157" s="7">
        <v>0</v>
      </c>
      <c r="C157" s="7">
        <v>3</v>
      </c>
      <c r="D157" s="7">
        <v>8</v>
      </c>
      <c r="E157" s="7">
        <v>11</v>
      </c>
      <c r="F157" s="7">
        <v>20</v>
      </c>
      <c r="G157" s="7">
        <v>16</v>
      </c>
      <c r="H157" s="7">
        <v>18</v>
      </c>
      <c r="I157" s="7">
        <v>20</v>
      </c>
      <c r="J157" s="7">
        <v>22</v>
      </c>
      <c r="K157" s="7">
        <v>9</v>
      </c>
      <c r="L157" s="7">
        <v>10</v>
      </c>
      <c r="M157" s="7">
        <v>13</v>
      </c>
      <c r="N157" s="7">
        <v>16</v>
      </c>
      <c r="O157" s="7">
        <v>0</v>
      </c>
      <c r="P157" s="8">
        <f t="shared" si="2"/>
        <v>166</v>
      </c>
    </row>
    <row r="158" spans="1:16" ht="20" customHeight="1">
      <c r="A158" s="4">
        <v>44986</v>
      </c>
      <c r="B158" s="7">
        <v>0</v>
      </c>
      <c r="C158" s="7">
        <v>8</v>
      </c>
      <c r="D158" s="7">
        <v>6</v>
      </c>
      <c r="E158" s="7">
        <v>15</v>
      </c>
      <c r="F158" s="7">
        <v>9</v>
      </c>
      <c r="G158" s="7">
        <v>14</v>
      </c>
      <c r="H158" s="7">
        <v>9</v>
      </c>
      <c r="I158" s="7">
        <v>11</v>
      </c>
      <c r="J158" s="7">
        <v>7</v>
      </c>
      <c r="K158" s="7">
        <v>5</v>
      </c>
      <c r="L158" s="7">
        <v>5</v>
      </c>
      <c r="M158" s="7">
        <v>20</v>
      </c>
      <c r="N158" s="7">
        <v>12</v>
      </c>
      <c r="O158" s="7">
        <v>0</v>
      </c>
      <c r="P158" s="8">
        <f t="shared" si="2"/>
        <v>121</v>
      </c>
    </row>
    <row r="159" spans="1:16" ht="20" customHeight="1">
      <c r="A159" s="4">
        <v>44987</v>
      </c>
      <c r="B159" s="7">
        <v>0</v>
      </c>
      <c r="C159" s="7">
        <v>3</v>
      </c>
      <c r="D159" s="7">
        <v>2</v>
      </c>
      <c r="E159" s="7">
        <v>11</v>
      </c>
      <c r="F159" s="7">
        <v>8</v>
      </c>
      <c r="G159" s="7">
        <v>11</v>
      </c>
      <c r="H159" s="7">
        <v>14</v>
      </c>
      <c r="I159" s="7">
        <v>5</v>
      </c>
      <c r="J159" s="7">
        <v>8</v>
      </c>
      <c r="K159" s="7">
        <v>5</v>
      </c>
      <c r="L159" s="7">
        <v>7</v>
      </c>
      <c r="M159" s="7">
        <v>12</v>
      </c>
      <c r="N159" s="7">
        <v>5</v>
      </c>
      <c r="O159" s="7">
        <v>0</v>
      </c>
      <c r="P159" s="8">
        <f t="shared" si="2"/>
        <v>91</v>
      </c>
    </row>
    <row r="160" spans="1:16" ht="20" customHeight="1">
      <c r="A160" s="4">
        <v>44988</v>
      </c>
      <c r="B160" s="7">
        <v>0</v>
      </c>
      <c r="C160" s="7">
        <v>5</v>
      </c>
      <c r="D160" s="7">
        <v>4</v>
      </c>
      <c r="E160" s="7">
        <v>6</v>
      </c>
      <c r="F160" s="7">
        <v>13</v>
      </c>
      <c r="G160" s="7">
        <v>13</v>
      </c>
      <c r="H160" s="7">
        <v>15</v>
      </c>
      <c r="I160" s="7">
        <v>9</v>
      </c>
      <c r="J160" s="7">
        <v>8</v>
      </c>
      <c r="K160" s="7">
        <v>1</v>
      </c>
      <c r="L160" s="7">
        <v>4</v>
      </c>
      <c r="M160" s="7">
        <v>10</v>
      </c>
      <c r="N160" s="7">
        <v>7</v>
      </c>
      <c r="O160" s="7">
        <v>0</v>
      </c>
      <c r="P160" s="8">
        <f t="shared" si="2"/>
        <v>95</v>
      </c>
    </row>
    <row r="161" spans="1:16" ht="20" customHeight="1">
      <c r="A161" s="4">
        <v>44989</v>
      </c>
      <c r="B161" s="7">
        <v>0</v>
      </c>
      <c r="C161" s="7">
        <v>11</v>
      </c>
      <c r="D161" s="7">
        <v>1</v>
      </c>
      <c r="E161" s="7">
        <v>6</v>
      </c>
      <c r="F161" s="7">
        <v>10</v>
      </c>
      <c r="G161" s="7">
        <f>15+1</f>
        <v>16</v>
      </c>
      <c r="H161" s="7">
        <v>6</v>
      </c>
      <c r="I161" s="7">
        <f>12+1</f>
        <v>13</v>
      </c>
      <c r="J161" s="7">
        <v>4</v>
      </c>
      <c r="K161" s="7">
        <v>8</v>
      </c>
      <c r="L161" s="7">
        <f>1+1</f>
        <v>2</v>
      </c>
      <c r="M161" s="7">
        <v>10</v>
      </c>
      <c r="N161" s="7">
        <v>1</v>
      </c>
      <c r="O161" s="7">
        <v>0</v>
      </c>
      <c r="P161" s="8">
        <f t="shared" si="2"/>
        <v>88</v>
      </c>
    </row>
    <row r="162" spans="1:16" ht="20" customHeight="1">
      <c r="A162" s="4">
        <v>44990</v>
      </c>
      <c r="B162" s="7">
        <v>1</v>
      </c>
      <c r="C162" s="7">
        <f>3+1</f>
        <v>4</v>
      </c>
      <c r="D162" s="7">
        <v>2</v>
      </c>
      <c r="E162" s="7">
        <v>2</v>
      </c>
      <c r="F162" s="7">
        <v>7</v>
      </c>
      <c r="G162" s="7">
        <f>6+1</f>
        <v>7</v>
      </c>
      <c r="H162" s="7">
        <v>4</v>
      </c>
      <c r="I162" s="7">
        <v>5</v>
      </c>
      <c r="J162" s="7">
        <v>3</v>
      </c>
      <c r="K162" s="7">
        <v>3</v>
      </c>
      <c r="L162" s="7">
        <f>1+1</f>
        <v>2</v>
      </c>
      <c r="M162" s="7">
        <v>3</v>
      </c>
      <c r="N162" s="7">
        <v>4</v>
      </c>
      <c r="O162" s="7">
        <v>0</v>
      </c>
      <c r="P162" s="8">
        <f t="shared" si="2"/>
        <v>47</v>
      </c>
    </row>
    <row r="163" spans="1:16" ht="20" customHeight="1">
      <c r="A163" s="4">
        <v>44991</v>
      </c>
      <c r="B163" s="7">
        <v>0</v>
      </c>
      <c r="C163" s="7">
        <v>7</v>
      </c>
      <c r="D163" s="7">
        <v>1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1</v>
      </c>
      <c r="M163" s="7">
        <v>1</v>
      </c>
      <c r="N163" s="7">
        <v>2</v>
      </c>
      <c r="O163" s="7">
        <v>0</v>
      </c>
      <c r="P163" s="8">
        <f t="shared" si="2"/>
        <v>12</v>
      </c>
    </row>
    <row r="164" spans="1:16" ht="20" customHeight="1">
      <c r="A164" s="4">
        <v>44992</v>
      </c>
      <c r="B164" s="7">
        <v>0</v>
      </c>
      <c r="C164" s="7">
        <v>7</v>
      </c>
      <c r="D164" s="7">
        <v>10</v>
      </c>
      <c r="E164" s="7">
        <v>6</v>
      </c>
      <c r="F164" s="7">
        <v>12</v>
      </c>
      <c r="G164" s="7">
        <v>15</v>
      </c>
      <c r="H164" s="7">
        <v>21</v>
      </c>
      <c r="I164" s="7">
        <v>15</v>
      </c>
      <c r="J164" s="7">
        <v>9</v>
      </c>
      <c r="K164" s="7">
        <v>11</v>
      </c>
      <c r="L164" s="7">
        <v>9</v>
      </c>
      <c r="M164" s="7">
        <v>10</v>
      </c>
      <c r="N164" s="7">
        <v>10</v>
      </c>
      <c r="O164" s="7">
        <v>0</v>
      </c>
      <c r="P164" s="8">
        <f t="shared" si="2"/>
        <v>135</v>
      </c>
    </row>
    <row r="165" spans="1:16" ht="20" customHeight="1">
      <c r="A165" s="4">
        <v>44993</v>
      </c>
      <c r="B165" s="7">
        <v>1</v>
      </c>
      <c r="C165" s="7">
        <v>3</v>
      </c>
      <c r="D165" s="7">
        <v>4</v>
      </c>
      <c r="E165" s="7">
        <f>4+1</f>
        <v>5</v>
      </c>
      <c r="F165" s="7">
        <v>11</v>
      </c>
      <c r="G165" s="7">
        <v>11</v>
      </c>
      <c r="H165" s="7">
        <v>6</v>
      </c>
      <c r="I165" s="7">
        <v>12</v>
      </c>
      <c r="J165" s="7">
        <v>5</v>
      </c>
      <c r="K165" s="7">
        <v>3</v>
      </c>
      <c r="L165" s="7">
        <v>2</v>
      </c>
      <c r="M165" s="7">
        <v>5</v>
      </c>
      <c r="N165" s="7">
        <v>7</v>
      </c>
      <c r="O165" s="7">
        <v>0</v>
      </c>
      <c r="P165" s="8">
        <f t="shared" si="2"/>
        <v>75</v>
      </c>
    </row>
    <row r="166" spans="1:16" ht="20" customHeight="1">
      <c r="A166" s="4">
        <v>44994</v>
      </c>
      <c r="B166" s="7">
        <v>2</v>
      </c>
      <c r="C166" s="7">
        <v>7</v>
      </c>
      <c r="D166" s="7">
        <v>6</v>
      </c>
      <c r="E166" s="7">
        <v>1</v>
      </c>
      <c r="F166" s="7">
        <v>7</v>
      </c>
      <c r="G166" s="7">
        <v>5</v>
      </c>
      <c r="H166" s="7">
        <v>12</v>
      </c>
      <c r="I166" s="7">
        <v>9</v>
      </c>
      <c r="J166" s="7">
        <v>3</v>
      </c>
      <c r="K166" s="7">
        <v>7</v>
      </c>
      <c r="L166" s="7">
        <v>8</v>
      </c>
      <c r="M166" s="7">
        <f>9+1</f>
        <v>10</v>
      </c>
      <c r="N166" s="7">
        <v>2</v>
      </c>
      <c r="O166" s="7">
        <v>0</v>
      </c>
      <c r="P166" s="8">
        <f t="shared" si="2"/>
        <v>79</v>
      </c>
    </row>
    <row r="167" spans="1:16" ht="20" customHeight="1">
      <c r="A167" s="4">
        <v>44995</v>
      </c>
      <c r="B167" s="7">
        <v>0</v>
      </c>
      <c r="C167" s="7">
        <v>6</v>
      </c>
      <c r="D167" s="7">
        <v>2</v>
      </c>
      <c r="E167" s="7">
        <v>8</v>
      </c>
      <c r="F167" s="7">
        <v>5</v>
      </c>
      <c r="G167" s="7">
        <v>8</v>
      </c>
      <c r="H167" s="7">
        <v>6</v>
      </c>
      <c r="I167" s="7">
        <v>7</v>
      </c>
      <c r="J167" s="7">
        <v>3</v>
      </c>
      <c r="K167" s="7">
        <v>6</v>
      </c>
      <c r="L167" s="7">
        <v>10</v>
      </c>
      <c r="M167" s="7">
        <v>3</v>
      </c>
      <c r="N167" s="7">
        <v>2</v>
      </c>
      <c r="O167" s="7">
        <v>0</v>
      </c>
      <c r="P167" s="8">
        <f t="shared" si="2"/>
        <v>66</v>
      </c>
    </row>
    <row r="168" spans="1:16" ht="20" customHeight="1">
      <c r="A168" s="4">
        <v>44996</v>
      </c>
      <c r="B168" s="7">
        <v>0</v>
      </c>
      <c r="C168" s="7">
        <v>3</v>
      </c>
      <c r="D168" s="7">
        <v>4</v>
      </c>
      <c r="E168" s="7">
        <v>1</v>
      </c>
      <c r="F168" s="7">
        <v>1</v>
      </c>
      <c r="G168" s="7">
        <v>7</v>
      </c>
      <c r="H168" s="7">
        <v>8</v>
      </c>
      <c r="I168" s="7">
        <v>3</v>
      </c>
      <c r="J168" s="7">
        <v>3</v>
      </c>
      <c r="K168" s="7">
        <v>1</v>
      </c>
      <c r="L168" s="7">
        <v>8</v>
      </c>
      <c r="M168" s="7">
        <v>7</v>
      </c>
      <c r="N168" s="7">
        <v>2</v>
      </c>
      <c r="O168" s="7">
        <v>0</v>
      </c>
      <c r="P168" s="8">
        <f t="shared" si="2"/>
        <v>48</v>
      </c>
    </row>
    <row r="169" spans="1:16" ht="20" customHeight="1">
      <c r="A169" s="4">
        <v>44997</v>
      </c>
      <c r="B169" s="7">
        <v>1</v>
      </c>
      <c r="C169" s="7">
        <v>2</v>
      </c>
      <c r="D169" s="7">
        <v>4</v>
      </c>
      <c r="E169" s="7">
        <v>4</v>
      </c>
      <c r="F169" s="7">
        <v>2</v>
      </c>
      <c r="G169" s="7">
        <v>5</v>
      </c>
      <c r="H169" s="7">
        <v>8</v>
      </c>
      <c r="I169" s="7">
        <v>2</v>
      </c>
      <c r="J169" s="7">
        <v>3</v>
      </c>
      <c r="K169" s="7">
        <v>7</v>
      </c>
      <c r="L169" s="7">
        <v>4</v>
      </c>
      <c r="M169" s="7">
        <v>1</v>
      </c>
      <c r="N169" s="7">
        <v>1</v>
      </c>
      <c r="O169" s="7">
        <v>0</v>
      </c>
      <c r="P169" s="8">
        <f t="shared" si="2"/>
        <v>44</v>
      </c>
    </row>
    <row r="170" spans="1:16" ht="20" customHeight="1">
      <c r="A170" s="4">
        <v>44998</v>
      </c>
      <c r="B170" s="7">
        <v>0</v>
      </c>
      <c r="C170" s="7">
        <v>2</v>
      </c>
      <c r="D170" s="7">
        <v>6</v>
      </c>
      <c r="E170" s="7">
        <v>2</v>
      </c>
      <c r="F170" s="7">
        <v>2</v>
      </c>
      <c r="G170" s="7">
        <v>1</v>
      </c>
      <c r="H170" s="7">
        <v>1</v>
      </c>
      <c r="I170" s="7">
        <v>0</v>
      </c>
      <c r="J170" s="7">
        <v>2</v>
      </c>
      <c r="K170" s="7">
        <v>0</v>
      </c>
      <c r="L170" s="7">
        <v>0</v>
      </c>
      <c r="M170" s="7">
        <v>4</v>
      </c>
      <c r="N170" s="7">
        <v>1</v>
      </c>
      <c r="O170" s="7">
        <v>0</v>
      </c>
      <c r="P170" s="8">
        <f t="shared" si="2"/>
        <v>21</v>
      </c>
    </row>
    <row r="171" spans="1:16" ht="20" customHeight="1">
      <c r="A171" s="4">
        <v>44999</v>
      </c>
      <c r="B171" s="7">
        <v>1</v>
      </c>
      <c r="C171" s="7">
        <v>4</v>
      </c>
      <c r="D171" s="7">
        <v>11</v>
      </c>
      <c r="E171" s="7">
        <v>7</v>
      </c>
      <c r="F171" s="7">
        <v>4</v>
      </c>
      <c r="G171" s="7">
        <v>5</v>
      </c>
      <c r="H171" s="7">
        <v>13</v>
      </c>
      <c r="I171" s="7">
        <v>6</v>
      </c>
      <c r="J171" s="7">
        <v>8</v>
      </c>
      <c r="K171" s="7">
        <v>4</v>
      </c>
      <c r="L171" s="7">
        <v>9</v>
      </c>
      <c r="M171" s="7">
        <v>12</v>
      </c>
      <c r="N171" s="7">
        <v>2</v>
      </c>
      <c r="O171" s="7">
        <v>0</v>
      </c>
      <c r="P171" s="8">
        <f t="shared" si="2"/>
        <v>86</v>
      </c>
    </row>
    <row r="172" spans="1:16" ht="20" customHeight="1">
      <c r="A172" s="4">
        <v>45000</v>
      </c>
      <c r="B172" s="7">
        <v>0</v>
      </c>
      <c r="C172" s="7">
        <v>3</v>
      </c>
      <c r="D172" s="7">
        <v>2</v>
      </c>
      <c r="E172" s="7">
        <v>2</v>
      </c>
      <c r="F172" s="7">
        <v>6</v>
      </c>
      <c r="G172" s="7">
        <v>11</v>
      </c>
      <c r="H172" s="7">
        <v>12</v>
      </c>
      <c r="I172" s="7">
        <v>10</v>
      </c>
      <c r="J172" s="7">
        <v>5</v>
      </c>
      <c r="K172" s="7">
        <v>6</v>
      </c>
      <c r="L172" s="7">
        <v>7</v>
      </c>
      <c r="M172" s="7">
        <v>10</v>
      </c>
      <c r="N172" s="7">
        <v>2</v>
      </c>
      <c r="O172" s="7">
        <v>0</v>
      </c>
      <c r="P172" s="8">
        <f t="shared" si="2"/>
        <v>76</v>
      </c>
    </row>
    <row r="173" spans="1:16" ht="20" customHeight="1">
      <c r="A173" s="4">
        <v>45001</v>
      </c>
      <c r="B173" s="7">
        <v>0</v>
      </c>
      <c r="C173" s="7">
        <v>2</v>
      </c>
      <c r="D173" s="7">
        <v>2</v>
      </c>
      <c r="E173" s="7">
        <v>6</v>
      </c>
      <c r="F173" s="7">
        <v>6</v>
      </c>
      <c r="G173" s="7">
        <v>7</v>
      </c>
      <c r="H173" s="7">
        <v>8</v>
      </c>
      <c r="I173" s="7">
        <v>8</v>
      </c>
      <c r="J173" s="7">
        <v>2</v>
      </c>
      <c r="K173" s="7">
        <v>2</v>
      </c>
      <c r="L173" s="7">
        <v>2</v>
      </c>
      <c r="M173" s="7">
        <v>5</v>
      </c>
      <c r="N173" s="7">
        <v>1</v>
      </c>
      <c r="O173" s="7">
        <v>0</v>
      </c>
      <c r="P173" s="8">
        <f t="shared" si="2"/>
        <v>51</v>
      </c>
    </row>
    <row r="174" spans="1:16" ht="20" customHeight="1">
      <c r="A174" s="4">
        <v>45002</v>
      </c>
      <c r="B174" s="7">
        <v>0</v>
      </c>
      <c r="C174" s="7">
        <v>3</v>
      </c>
      <c r="D174" s="7">
        <v>2</v>
      </c>
      <c r="E174" s="7">
        <v>4</v>
      </c>
      <c r="F174" s="7">
        <v>5</v>
      </c>
      <c r="G174" s="7">
        <f>1+1</f>
        <v>2</v>
      </c>
      <c r="H174" s="7">
        <v>1</v>
      </c>
      <c r="I174" s="7">
        <f>2+1</f>
        <v>3</v>
      </c>
      <c r="J174" s="7">
        <f>7+1</f>
        <v>8</v>
      </c>
      <c r="K174" s="7">
        <v>0</v>
      </c>
      <c r="L174" s="7">
        <v>3</v>
      </c>
      <c r="M174" s="7">
        <v>11</v>
      </c>
      <c r="N174" s="7">
        <v>2</v>
      </c>
      <c r="O174" s="7">
        <v>0</v>
      </c>
      <c r="P174" s="8">
        <f t="shared" si="2"/>
        <v>44</v>
      </c>
    </row>
    <row r="175" spans="1:16" ht="20" customHeight="1">
      <c r="A175" s="4">
        <v>45003</v>
      </c>
      <c r="B175" s="7">
        <v>0</v>
      </c>
      <c r="C175" s="7">
        <v>4</v>
      </c>
      <c r="D175" s="7">
        <v>4</v>
      </c>
      <c r="E175" s="7">
        <v>3</v>
      </c>
      <c r="F175" s="7">
        <v>5</v>
      </c>
      <c r="G175" s="7">
        <v>2</v>
      </c>
      <c r="H175" s="7">
        <f>2+1</f>
        <v>3</v>
      </c>
      <c r="I175" s="7">
        <v>10</v>
      </c>
      <c r="J175" s="7">
        <v>4</v>
      </c>
      <c r="K175" s="7">
        <v>4</v>
      </c>
      <c r="L175" s="7">
        <v>5</v>
      </c>
      <c r="M175" s="7">
        <v>3</v>
      </c>
      <c r="N175" s="7">
        <v>1</v>
      </c>
      <c r="O175" s="7">
        <v>0</v>
      </c>
      <c r="P175" s="8">
        <f t="shared" si="2"/>
        <v>48</v>
      </c>
    </row>
    <row r="176" spans="1:16" ht="20" customHeight="1">
      <c r="A176" s="4">
        <v>45004</v>
      </c>
      <c r="B176" s="7">
        <v>0</v>
      </c>
      <c r="C176" s="7">
        <v>3</v>
      </c>
      <c r="D176" s="7">
        <v>2</v>
      </c>
      <c r="E176" s="7">
        <v>2</v>
      </c>
      <c r="F176" s="7">
        <v>4</v>
      </c>
      <c r="G176" s="7">
        <v>2</v>
      </c>
      <c r="H176" s="7">
        <v>4</v>
      </c>
      <c r="I176" s="7">
        <v>6</v>
      </c>
      <c r="J176" s="7">
        <v>1</v>
      </c>
      <c r="K176" s="7">
        <v>0</v>
      </c>
      <c r="L176" s="7">
        <v>2</v>
      </c>
      <c r="M176" s="7">
        <v>2</v>
      </c>
      <c r="N176" s="7">
        <v>0</v>
      </c>
      <c r="O176" s="7">
        <v>0</v>
      </c>
      <c r="P176" s="8">
        <f t="shared" si="2"/>
        <v>28</v>
      </c>
    </row>
    <row r="177" spans="1:16" ht="20" customHeight="1">
      <c r="A177" s="4">
        <v>45005</v>
      </c>
      <c r="B177" s="7">
        <v>0</v>
      </c>
      <c r="C177" s="7">
        <v>1</v>
      </c>
      <c r="D177" s="7">
        <v>0</v>
      </c>
      <c r="E177" s="7">
        <v>2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1</v>
      </c>
      <c r="L177" s="7">
        <v>0</v>
      </c>
      <c r="M177" s="7">
        <v>0</v>
      </c>
      <c r="N177" s="7">
        <v>1</v>
      </c>
      <c r="O177" s="7">
        <v>0</v>
      </c>
      <c r="P177" s="8">
        <f t="shared" si="2"/>
        <v>5</v>
      </c>
    </row>
    <row r="178" spans="1:16" ht="20" customHeight="1">
      <c r="A178" s="4">
        <v>45006</v>
      </c>
      <c r="B178" s="7">
        <v>1</v>
      </c>
      <c r="C178" s="7">
        <v>4</v>
      </c>
      <c r="D178" s="7">
        <v>5</v>
      </c>
      <c r="E178" s="7">
        <v>8</v>
      </c>
      <c r="F178" s="7">
        <v>9</v>
      </c>
      <c r="G178" s="7">
        <v>9</v>
      </c>
      <c r="H178" s="7">
        <v>15</v>
      </c>
      <c r="I178" s="7">
        <v>10</v>
      </c>
      <c r="J178" s="7">
        <v>4</v>
      </c>
      <c r="K178" s="7">
        <v>1</v>
      </c>
      <c r="L178" s="7">
        <v>4</v>
      </c>
      <c r="M178" s="7">
        <v>7</v>
      </c>
      <c r="N178" s="7">
        <v>12</v>
      </c>
      <c r="O178" s="7">
        <v>0</v>
      </c>
      <c r="P178" s="8">
        <f t="shared" si="2"/>
        <v>89</v>
      </c>
    </row>
    <row r="179" spans="1:16" ht="20" customHeight="1">
      <c r="A179" s="4">
        <v>45007</v>
      </c>
      <c r="B179" s="7">
        <v>0</v>
      </c>
      <c r="C179" s="7">
        <v>1</v>
      </c>
      <c r="D179" s="7">
        <v>0</v>
      </c>
      <c r="E179" s="7">
        <v>0</v>
      </c>
      <c r="F179" s="7">
        <v>0</v>
      </c>
      <c r="G179" s="7">
        <v>0</v>
      </c>
      <c r="H179" s="7">
        <v>1</v>
      </c>
      <c r="I179" s="7">
        <v>0</v>
      </c>
      <c r="J179" s="7">
        <v>0</v>
      </c>
      <c r="K179" s="7">
        <v>1</v>
      </c>
      <c r="L179" s="7">
        <v>0</v>
      </c>
      <c r="M179" s="7">
        <v>0</v>
      </c>
      <c r="N179" s="7">
        <v>0</v>
      </c>
      <c r="O179" s="7">
        <v>0</v>
      </c>
      <c r="P179" s="8">
        <f t="shared" si="2"/>
        <v>3</v>
      </c>
    </row>
    <row r="180" spans="1:16" ht="20" customHeight="1">
      <c r="A180" s="4">
        <v>45008</v>
      </c>
      <c r="B180" s="7">
        <v>0</v>
      </c>
      <c r="C180" s="7">
        <v>1</v>
      </c>
      <c r="D180" s="7">
        <v>1</v>
      </c>
      <c r="E180" s="7">
        <v>7</v>
      </c>
      <c r="F180" s="7">
        <v>4</v>
      </c>
      <c r="G180" s="7">
        <v>3</v>
      </c>
      <c r="H180" s="7">
        <v>9</v>
      </c>
      <c r="I180" s="7">
        <v>12</v>
      </c>
      <c r="J180" s="7">
        <v>2</v>
      </c>
      <c r="K180" s="7">
        <v>3</v>
      </c>
      <c r="L180" s="7">
        <v>11</v>
      </c>
      <c r="M180" s="7">
        <v>3</v>
      </c>
      <c r="N180" s="7">
        <v>5</v>
      </c>
      <c r="O180" s="7">
        <v>0</v>
      </c>
      <c r="P180" s="8">
        <f t="shared" si="2"/>
        <v>61</v>
      </c>
    </row>
    <row r="181" spans="1:16" ht="20" customHeight="1">
      <c r="A181" s="4">
        <v>45009</v>
      </c>
      <c r="B181" s="7">
        <v>0</v>
      </c>
      <c r="C181" s="7">
        <v>4</v>
      </c>
      <c r="D181" s="7">
        <v>1</v>
      </c>
      <c r="E181" s="7">
        <v>3</v>
      </c>
      <c r="F181" s="7">
        <v>6</v>
      </c>
      <c r="G181" s="7">
        <v>3</v>
      </c>
      <c r="H181" s="7">
        <v>9</v>
      </c>
      <c r="I181" s="7">
        <v>7</v>
      </c>
      <c r="J181" s="7">
        <v>2</v>
      </c>
      <c r="K181" s="7">
        <v>3</v>
      </c>
      <c r="L181" s="7">
        <v>8</v>
      </c>
      <c r="M181" s="7">
        <v>2</v>
      </c>
      <c r="N181" s="7">
        <v>4</v>
      </c>
      <c r="O181" s="7">
        <v>0</v>
      </c>
      <c r="P181" s="8">
        <f t="shared" si="2"/>
        <v>52</v>
      </c>
    </row>
    <row r="182" spans="1:16" ht="20" customHeight="1">
      <c r="A182" s="4">
        <v>45010</v>
      </c>
      <c r="B182" s="7">
        <v>1</v>
      </c>
      <c r="C182" s="7">
        <v>3</v>
      </c>
      <c r="D182" s="7">
        <v>1</v>
      </c>
      <c r="E182" s="7">
        <v>6</v>
      </c>
      <c r="F182" s="7">
        <v>3</v>
      </c>
      <c r="G182" s="7">
        <v>2</v>
      </c>
      <c r="H182" s="7">
        <v>8</v>
      </c>
      <c r="I182" s="7">
        <v>2</v>
      </c>
      <c r="J182" s="7">
        <v>0</v>
      </c>
      <c r="K182" s="7">
        <v>2</v>
      </c>
      <c r="L182" s="7">
        <v>3</v>
      </c>
      <c r="M182" s="7">
        <v>4</v>
      </c>
      <c r="N182" s="7">
        <v>4</v>
      </c>
      <c r="O182" s="7">
        <v>0</v>
      </c>
      <c r="P182" s="8">
        <f t="shared" si="2"/>
        <v>39</v>
      </c>
    </row>
    <row r="183" spans="1:16" ht="20" customHeight="1">
      <c r="A183" s="4">
        <v>45011</v>
      </c>
      <c r="B183" s="7">
        <v>0</v>
      </c>
      <c r="C183" s="7">
        <v>0</v>
      </c>
      <c r="D183" s="7">
        <v>1</v>
      </c>
      <c r="E183" s="7">
        <v>4</v>
      </c>
      <c r="F183" s="7">
        <f>2+1</f>
        <v>3</v>
      </c>
      <c r="G183" s="7">
        <v>2</v>
      </c>
      <c r="H183" s="7">
        <v>3</v>
      </c>
      <c r="I183" s="7">
        <f>3+2</f>
        <v>5</v>
      </c>
      <c r="J183" s="7">
        <v>1</v>
      </c>
      <c r="K183" s="7">
        <v>1</v>
      </c>
      <c r="L183" s="7">
        <f>2+1</f>
        <v>3</v>
      </c>
      <c r="M183" s="7">
        <v>4</v>
      </c>
      <c r="N183" s="7">
        <v>1</v>
      </c>
      <c r="O183" s="7">
        <v>0</v>
      </c>
      <c r="P183" s="8">
        <f t="shared" si="2"/>
        <v>28</v>
      </c>
    </row>
    <row r="184" spans="1:16" ht="20" customHeight="1">
      <c r="A184" s="4">
        <v>45012</v>
      </c>
      <c r="B184" s="7">
        <v>1</v>
      </c>
      <c r="C184" s="7">
        <v>1</v>
      </c>
      <c r="D184" s="7">
        <v>2</v>
      </c>
      <c r="E184" s="7">
        <v>1</v>
      </c>
      <c r="F184" s="7">
        <v>1</v>
      </c>
      <c r="G184" s="7">
        <v>1</v>
      </c>
      <c r="H184" s="7">
        <v>1</v>
      </c>
      <c r="I184" s="7">
        <v>1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8">
        <f t="shared" si="2"/>
        <v>9</v>
      </c>
    </row>
    <row r="185" spans="1:16" ht="20" customHeight="1">
      <c r="A185" s="4">
        <v>45013</v>
      </c>
      <c r="B185" s="7">
        <v>1</v>
      </c>
      <c r="C185" s="7">
        <v>3</v>
      </c>
      <c r="D185" s="7">
        <v>3</v>
      </c>
      <c r="E185" s="7">
        <v>7</v>
      </c>
      <c r="F185" s="7">
        <v>8</v>
      </c>
      <c r="G185" s="7">
        <v>6</v>
      </c>
      <c r="H185" s="7">
        <v>5</v>
      </c>
      <c r="I185" s="7">
        <v>10</v>
      </c>
      <c r="J185" s="7">
        <v>3</v>
      </c>
      <c r="K185" s="7">
        <v>5</v>
      </c>
      <c r="L185" s="7">
        <v>7</v>
      </c>
      <c r="M185" s="7">
        <v>4</v>
      </c>
      <c r="N185" s="7">
        <v>2</v>
      </c>
      <c r="O185" s="7">
        <v>0</v>
      </c>
      <c r="P185" s="8">
        <f t="shared" si="2"/>
        <v>64</v>
      </c>
    </row>
    <row r="186" spans="1:16" ht="20" customHeight="1">
      <c r="A186" s="4">
        <v>45014</v>
      </c>
      <c r="B186" s="7">
        <v>0</v>
      </c>
      <c r="C186" s="7">
        <v>3</v>
      </c>
      <c r="D186" s="7">
        <v>3</v>
      </c>
      <c r="E186" s="7">
        <v>5</v>
      </c>
      <c r="F186" s="7">
        <v>8</v>
      </c>
      <c r="G186" s="7">
        <v>10</v>
      </c>
      <c r="H186" s="7">
        <v>8</v>
      </c>
      <c r="I186" s="7">
        <f>3+1</f>
        <v>4</v>
      </c>
      <c r="J186" s="7">
        <v>3</v>
      </c>
      <c r="K186" s="7">
        <v>2</v>
      </c>
      <c r="L186" s="7">
        <v>2</v>
      </c>
      <c r="M186" s="7">
        <v>3</v>
      </c>
      <c r="N186" s="7">
        <v>1</v>
      </c>
      <c r="O186" s="7">
        <v>0</v>
      </c>
      <c r="P186" s="8">
        <f t="shared" si="2"/>
        <v>52</v>
      </c>
    </row>
    <row r="187" spans="1:16" ht="20" customHeight="1">
      <c r="A187" s="4">
        <v>45015</v>
      </c>
      <c r="B187" s="7">
        <v>0</v>
      </c>
      <c r="C187" s="7">
        <v>2</v>
      </c>
      <c r="D187" s="7">
        <v>0</v>
      </c>
      <c r="E187" s="7">
        <v>6</v>
      </c>
      <c r="F187" s="7">
        <v>4</v>
      </c>
      <c r="G187" s="7">
        <v>2</v>
      </c>
      <c r="H187" s="7">
        <v>4</v>
      </c>
      <c r="I187" s="7">
        <v>4</v>
      </c>
      <c r="J187" s="7">
        <v>2</v>
      </c>
      <c r="K187" s="7">
        <v>2</v>
      </c>
      <c r="L187" s="7">
        <v>5</v>
      </c>
      <c r="M187" s="7">
        <v>4</v>
      </c>
      <c r="N187" s="7">
        <v>0</v>
      </c>
      <c r="O187" s="7">
        <v>0</v>
      </c>
      <c r="P187" s="8">
        <f t="shared" si="2"/>
        <v>35</v>
      </c>
    </row>
    <row r="188" spans="1:16" ht="20" customHeight="1">
      <c r="A188" s="4">
        <v>45016</v>
      </c>
      <c r="B188" s="7">
        <v>1</v>
      </c>
      <c r="C188" s="7">
        <v>2</v>
      </c>
      <c r="D188" s="7">
        <v>1</v>
      </c>
      <c r="E188" s="7">
        <v>3</v>
      </c>
      <c r="F188" s="7">
        <v>3</v>
      </c>
      <c r="G188" s="7">
        <v>4</v>
      </c>
      <c r="H188" s="7">
        <v>4</v>
      </c>
      <c r="I188" s="7">
        <v>8</v>
      </c>
      <c r="J188" s="7">
        <v>1</v>
      </c>
      <c r="K188" s="7">
        <v>2</v>
      </c>
      <c r="L188" s="7">
        <v>3</v>
      </c>
      <c r="M188" s="7">
        <v>2</v>
      </c>
      <c r="N188" s="7">
        <v>4</v>
      </c>
      <c r="O188" s="7">
        <v>0</v>
      </c>
      <c r="P188" s="8">
        <f t="shared" si="2"/>
        <v>38</v>
      </c>
    </row>
    <row r="189" spans="1:16" ht="20" customHeight="1">
      <c r="A189" s="4">
        <v>45017</v>
      </c>
      <c r="B189" s="7">
        <v>1</v>
      </c>
      <c r="C189" s="7">
        <v>4</v>
      </c>
      <c r="D189" s="7">
        <v>3</v>
      </c>
      <c r="E189" s="7">
        <v>4</v>
      </c>
      <c r="F189" s="7">
        <v>6</v>
      </c>
      <c r="G189" s="7">
        <v>2</v>
      </c>
      <c r="H189" s="7">
        <v>6</v>
      </c>
      <c r="I189" s="7">
        <v>4</v>
      </c>
      <c r="J189" s="7">
        <v>1</v>
      </c>
      <c r="K189" s="7">
        <v>4</v>
      </c>
      <c r="L189" s="7">
        <v>4</v>
      </c>
      <c r="M189" s="7">
        <v>2</v>
      </c>
      <c r="N189" s="7">
        <v>2</v>
      </c>
      <c r="O189" s="7">
        <v>0</v>
      </c>
      <c r="P189" s="8">
        <f t="shared" si="2"/>
        <v>43</v>
      </c>
    </row>
    <row r="190" spans="1:16" ht="20" customHeight="1">
      <c r="A190" s="4">
        <v>45018</v>
      </c>
      <c r="B190" s="7">
        <v>1</v>
      </c>
      <c r="C190" s="7">
        <v>1</v>
      </c>
      <c r="D190" s="7">
        <v>3</v>
      </c>
      <c r="E190" s="7">
        <v>5</v>
      </c>
      <c r="F190" s="7">
        <v>3</v>
      </c>
      <c r="G190" s="7">
        <v>4</v>
      </c>
      <c r="H190" s="7">
        <v>6</v>
      </c>
      <c r="I190" s="7">
        <v>5</v>
      </c>
      <c r="J190" s="7">
        <v>5</v>
      </c>
      <c r="K190" s="7">
        <v>1</v>
      </c>
      <c r="L190" s="7">
        <v>3</v>
      </c>
      <c r="M190" s="7">
        <v>1</v>
      </c>
      <c r="N190" s="7">
        <v>2</v>
      </c>
      <c r="O190" s="7">
        <v>0</v>
      </c>
      <c r="P190" s="8">
        <f t="shared" si="2"/>
        <v>40</v>
      </c>
    </row>
    <row r="191" spans="1:16" ht="20" customHeight="1">
      <c r="A191" s="4">
        <v>45019</v>
      </c>
      <c r="B191" s="7">
        <v>0</v>
      </c>
      <c r="C191" s="7">
        <v>1</v>
      </c>
      <c r="D191" s="7">
        <v>1</v>
      </c>
      <c r="E191" s="7">
        <v>0</v>
      </c>
      <c r="F191" s="7">
        <v>2</v>
      </c>
      <c r="G191" s="7">
        <v>3</v>
      </c>
      <c r="H191" s="7">
        <v>0</v>
      </c>
      <c r="I191" s="7">
        <v>1</v>
      </c>
      <c r="J191" s="7">
        <v>0</v>
      </c>
      <c r="K191" s="7">
        <v>1</v>
      </c>
      <c r="L191" s="7">
        <v>2</v>
      </c>
      <c r="M191" s="7">
        <v>1</v>
      </c>
      <c r="N191" s="7">
        <v>0</v>
      </c>
      <c r="O191" s="7">
        <v>0</v>
      </c>
      <c r="P191" s="8">
        <f t="shared" si="2"/>
        <v>12</v>
      </c>
    </row>
    <row r="192" spans="1:16" ht="20" customHeight="1">
      <c r="A192" s="4">
        <v>45020</v>
      </c>
      <c r="B192" s="7">
        <v>3</v>
      </c>
      <c r="C192" s="7">
        <v>1</v>
      </c>
      <c r="D192" s="7">
        <v>3</v>
      </c>
      <c r="E192" s="7">
        <v>7</v>
      </c>
      <c r="F192" s="7">
        <v>8</v>
      </c>
      <c r="G192" s="7">
        <v>22</v>
      </c>
      <c r="H192" s="7">
        <v>13</v>
      </c>
      <c r="I192" s="7">
        <f>14+1</f>
        <v>15</v>
      </c>
      <c r="J192" s="7">
        <v>5</v>
      </c>
      <c r="K192" s="7">
        <v>2</v>
      </c>
      <c r="L192" s="7">
        <v>6</v>
      </c>
      <c r="M192" s="7">
        <v>11</v>
      </c>
      <c r="N192" s="7">
        <v>13</v>
      </c>
      <c r="O192" s="7">
        <v>0</v>
      </c>
      <c r="P192" s="8">
        <f t="shared" si="2"/>
        <v>109</v>
      </c>
    </row>
    <row r="193" spans="1:16" ht="20" customHeight="1">
      <c r="A193" s="4">
        <v>45021</v>
      </c>
      <c r="B193" s="7">
        <v>2</v>
      </c>
      <c r="C193" s="7">
        <v>5</v>
      </c>
      <c r="D193" s="7">
        <v>3</v>
      </c>
      <c r="E193" s="7">
        <v>2</v>
      </c>
      <c r="F193" s="7">
        <v>6</v>
      </c>
      <c r="G193" s="7">
        <v>14</v>
      </c>
      <c r="H193" s="7">
        <v>10</v>
      </c>
      <c r="I193" s="7">
        <v>20</v>
      </c>
      <c r="J193" s="7">
        <v>7</v>
      </c>
      <c r="K193" s="7">
        <v>2</v>
      </c>
      <c r="L193" s="7">
        <v>13</v>
      </c>
      <c r="M193" s="7">
        <v>12</v>
      </c>
      <c r="N193" s="7">
        <v>12</v>
      </c>
      <c r="O193" s="7">
        <v>0</v>
      </c>
      <c r="P193" s="8">
        <f t="shared" si="2"/>
        <v>108</v>
      </c>
    </row>
    <row r="194" spans="1:16" ht="20" customHeight="1">
      <c r="A194" s="4">
        <v>45022</v>
      </c>
      <c r="B194" s="7">
        <v>0</v>
      </c>
      <c r="C194" s="7">
        <v>4</v>
      </c>
      <c r="D194" s="7">
        <v>8</v>
      </c>
      <c r="E194" s="7">
        <v>2</v>
      </c>
      <c r="F194" s="7">
        <v>3</v>
      </c>
      <c r="G194" s="7">
        <v>16</v>
      </c>
      <c r="H194" s="7">
        <v>10</v>
      </c>
      <c r="I194" s="7">
        <v>9</v>
      </c>
      <c r="J194" s="7">
        <v>6</v>
      </c>
      <c r="K194" s="7">
        <v>7</v>
      </c>
      <c r="L194" s="7">
        <v>6</v>
      </c>
      <c r="M194" s="7">
        <v>3</v>
      </c>
      <c r="N194" s="7">
        <v>2</v>
      </c>
      <c r="O194" s="7">
        <v>0</v>
      </c>
      <c r="P194" s="8">
        <f t="shared" si="2"/>
        <v>76</v>
      </c>
    </row>
    <row r="195" spans="1:16" ht="20" customHeight="1">
      <c r="A195" s="4">
        <v>45023</v>
      </c>
      <c r="B195" s="7">
        <v>1</v>
      </c>
      <c r="C195" s="7">
        <v>0</v>
      </c>
      <c r="D195" s="7">
        <v>2</v>
      </c>
      <c r="E195" s="7">
        <v>4</v>
      </c>
      <c r="F195" s="7">
        <v>5</v>
      </c>
      <c r="G195" s="7">
        <v>14</v>
      </c>
      <c r="H195" s="7">
        <v>10</v>
      </c>
      <c r="I195" s="7">
        <f>12-1</f>
        <v>11</v>
      </c>
      <c r="J195" s="7">
        <v>4</v>
      </c>
      <c r="K195" s="7">
        <v>4</v>
      </c>
      <c r="L195" s="7">
        <v>6</v>
      </c>
      <c r="M195" s="7">
        <v>2</v>
      </c>
      <c r="N195" s="7">
        <v>1</v>
      </c>
      <c r="O195" s="7">
        <v>0</v>
      </c>
      <c r="P195" s="8">
        <f t="shared" ref="P195:P226" si="3">SUM(B195:O195)</f>
        <v>64</v>
      </c>
    </row>
    <row r="196" spans="1:16" ht="20" customHeight="1">
      <c r="A196" s="4">
        <v>45024</v>
      </c>
      <c r="B196" s="7">
        <v>0</v>
      </c>
      <c r="C196" s="7">
        <v>2</v>
      </c>
      <c r="D196" s="7">
        <v>8</v>
      </c>
      <c r="E196" s="7">
        <v>6</v>
      </c>
      <c r="F196" s="7">
        <v>7</v>
      </c>
      <c r="G196" s="7">
        <v>6</v>
      </c>
      <c r="H196" s="7">
        <v>8</v>
      </c>
      <c r="I196" s="7">
        <v>7</v>
      </c>
      <c r="J196" s="7">
        <v>7</v>
      </c>
      <c r="K196" s="7">
        <v>5</v>
      </c>
      <c r="L196" s="7">
        <v>3</v>
      </c>
      <c r="M196" s="7">
        <v>5</v>
      </c>
      <c r="N196" s="7">
        <v>1</v>
      </c>
      <c r="O196" s="7">
        <v>0</v>
      </c>
      <c r="P196" s="7">
        <f t="shared" si="3"/>
        <v>65</v>
      </c>
    </row>
    <row r="197" spans="1:16" ht="20" customHeight="1">
      <c r="A197" s="4">
        <v>45025</v>
      </c>
      <c r="B197" s="7">
        <v>2</v>
      </c>
      <c r="C197" s="7">
        <v>2</v>
      </c>
      <c r="D197" s="7">
        <v>0</v>
      </c>
      <c r="E197" s="7">
        <v>1</v>
      </c>
      <c r="F197" s="7">
        <v>3</v>
      </c>
      <c r="G197" s="7">
        <v>3</v>
      </c>
      <c r="H197" s="7">
        <f>5+2</f>
        <v>7</v>
      </c>
      <c r="I197" s="7">
        <v>7</v>
      </c>
      <c r="J197" s="7">
        <v>6</v>
      </c>
      <c r="K197" s="7">
        <f>6+1-1</f>
        <v>6</v>
      </c>
      <c r="L197" s="7">
        <v>4</v>
      </c>
      <c r="M197" s="7">
        <v>0</v>
      </c>
      <c r="N197" s="7">
        <v>0</v>
      </c>
      <c r="O197" s="7">
        <v>0</v>
      </c>
      <c r="P197" s="7">
        <f t="shared" si="3"/>
        <v>41</v>
      </c>
    </row>
    <row r="198" spans="1:16" ht="20" customHeight="1">
      <c r="A198" s="4">
        <v>45026</v>
      </c>
      <c r="B198" s="7">
        <v>0</v>
      </c>
      <c r="C198" s="7">
        <v>0</v>
      </c>
      <c r="D198" s="7">
        <v>0</v>
      </c>
      <c r="E198" s="7">
        <v>0</v>
      </c>
      <c r="F198" s="7">
        <v>1</v>
      </c>
      <c r="G198" s="7">
        <v>1</v>
      </c>
      <c r="H198" s="7">
        <v>1</v>
      </c>
      <c r="I198" s="7">
        <v>0</v>
      </c>
      <c r="J198" s="7">
        <v>2</v>
      </c>
      <c r="K198" s="7">
        <v>1</v>
      </c>
      <c r="L198" s="7">
        <v>2</v>
      </c>
      <c r="M198" s="7">
        <v>1</v>
      </c>
      <c r="N198" s="7">
        <v>1</v>
      </c>
      <c r="O198" s="7">
        <v>0</v>
      </c>
      <c r="P198" s="7">
        <f t="shared" si="3"/>
        <v>10</v>
      </c>
    </row>
    <row r="199" spans="1:16" ht="20" customHeight="1">
      <c r="A199" s="4">
        <v>45027</v>
      </c>
      <c r="B199" s="7">
        <v>1</v>
      </c>
      <c r="C199" s="7">
        <v>8</v>
      </c>
      <c r="D199" s="7">
        <v>9</v>
      </c>
      <c r="E199" s="7">
        <v>12</v>
      </c>
      <c r="F199" s="7">
        <v>10</v>
      </c>
      <c r="G199" s="7">
        <v>12</v>
      </c>
      <c r="H199" s="7">
        <v>11</v>
      </c>
      <c r="I199" s="7">
        <v>13</v>
      </c>
      <c r="J199" s="7">
        <v>15</v>
      </c>
      <c r="K199" s="7">
        <v>3</v>
      </c>
      <c r="L199" s="7">
        <v>15</v>
      </c>
      <c r="M199" s="7">
        <v>8</v>
      </c>
      <c r="N199" s="7">
        <v>3</v>
      </c>
      <c r="O199" s="7">
        <v>0</v>
      </c>
      <c r="P199" s="7">
        <f t="shared" si="3"/>
        <v>120</v>
      </c>
    </row>
    <row r="200" spans="1:16" ht="20" customHeight="1">
      <c r="A200" s="4">
        <v>45028</v>
      </c>
      <c r="B200" s="7">
        <v>3</v>
      </c>
      <c r="C200" s="7">
        <v>8</v>
      </c>
      <c r="D200" s="7">
        <v>2</v>
      </c>
      <c r="E200" s="7">
        <v>8</v>
      </c>
      <c r="F200" s="7">
        <v>3</v>
      </c>
      <c r="G200" s="7">
        <v>10</v>
      </c>
      <c r="H200" s="7">
        <f>12+1</f>
        <v>13</v>
      </c>
      <c r="I200" s="7">
        <v>20</v>
      </c>
      <c r="J200" s="7">
        <v>6</v>
      </c>
      <c r="K200" s="7">
        <v>8</v>
      </c>
      <c r="L200" s="7">
        <v>12</v>
      </c>
      <c r="M200" s="7">
        <v>2</v>
      </c>
      <c r="N200" s="7">
        <v>1</v>
      </c>
      <c r="O200" s="7">
        <v>0</v>
      </c>
      <c r="P200" s="7">
        <f t="shared" si="3"/>
        <v>96</v>
      </c>
    </row>
    <row r="201" spans="1:16" ht="20" customHeight="1">
      <c r="A201" s="4">
        <v>45029</v>
      </c>
      <c r="B201" s="7">
        <v>0</v>
      </c>
      <c r="C201" s="7">
        <v>5</v>
      </c>
      <c r="D201" s="7">
        <v>3</v>
      </c>
      <c r="E201" s="7">
        <v>5</v>
      </c>
      <c r="F201" s="7">
        <v>6</v>
      </c>
      <c r="G201" s="7">
        <v>8</v>
      </c>
      <c r="H201" s="7">
        <f>7+1</f>
        <v>8</v>
      </c>
      <c r="I201" s="7">
        <v>12</v>
      </c>
      <c r="J201" s="7">
        <v>5</v>
      </c>
      <c r="K201" s="7">
        <v>4</v>
      </c>
      <c r="L201" s="7">
        <v>6</v>
      </c>
      <c r="M201" s="7">
        <v>4</v>
      </c>
      <c r="N201" s="7">
        <v>0</v>
      </c>
      <c r="O201" s="7">
        <v>0</v>
      </c>
      <c r="P201" s="7">
        <f t="shared" si="3"/>
        <v>66</v>
      </c>
    </row>
    <row r="202" spans="1:16" ht="20" customHeight="1">
      <c r="A202" s="4">
        <v>45030</v>
      </c>
      <c r="B202" s="7">
        <v>3</v>
      </c>
      <c r="C202" s="7">
        <v>10</v>
      </c>
      <c r="D202" s="7">
        <v>7</v>
      </c>
      <c r="E202" s="7">
        <v>1</v>
      </c>
      <c r="F202" s="7">
        <v>11</v>
      </c>
      <c r="G202" s="7">
        <v>8</v>
      </c>
      <c r="H202" s="7">
        <v>5</v>
      </c>
      <c r="I202" s="7">
        <v>10</v>
      </c>
      <c r="J202" s="7">
        <v>8</v>
      </c>
      <c r="K202" s="7">
        <v>5</v>
      </c>
      <c r="L202" s="7">
        <v>10</v>
      </c>
      <c r="M202" s="7">
        <v>7</v>
      </c>
      <c r="N202" s="7">
        <v>0</v>
      </c>
      <c r="O202" s="7">
        <v>0</v>
      </c>
      <c r="P202" s="7">
        <f t="shared" si="3"/>
        <v>85</v>
      </c>
    </row>
    <row r="203" spans="1:16" ht="20" customHeight="1">
      <c r="A203" s="4">
        <v>45031</v>
      </c>
      <c r="B203" s="7">
        <v>0</v>
      </c>
      <c r="C203" s="7">
        <v>4</v>
      </c>
      <c r="D203" s="7">
        <v>6</v>
      </c>
      <c r="E203" s="7">
        <v>6</v>
      </c>
      <c r="F203" s="7">
        <v>3</v>
      </c>
      <c r="G203" s="7">
        <v>6</v>
      </c>
      <c r="H203" s="7">
        <v>8</v>
      </c>
      <c r="I203" s="7">
        <v>10</v>
      </c>
      <c r="J203" s="7">
        <v>1</v>
      </c>
      <c r="K203" s="7">
        <v>1</v>
      </c>
      <c r="L203" s="7">
        <v>4</v>
      </c>
      <c r="M203" s="7">
        <v>0</v>
      </c>
      <c r="N203" s="7">
        <v>1</v>
      </c>
      <c r="O203" s="7">
        <v>0</v>
      </c>
      <c r="P203" s="7">
        <f t="shared" si="3"/>
        <v>50</v>
      </c>
    </row>
    <row r="204" spans="1:16" ht="20" customHeight="1">
      <c r="A204" s="4">
        <v>45032</v>
      </c>
      <c r="B204" s="7">
        <v>0</v>
      </c>
      <c r="C204" s="7">
        <v>1</v>
      </c>
      <c r="D204" s="7">
        <f>1+1</f>
        <v>2</v>
      </c>
      <c r="E204" s="7">
        <v>11</v>
      </c>
      <c r="F204" s="7">
        <v>3</v>
      </c>
      <c r="G204" s="7">
        <v>6</v>
      </c>
      <c r="H204" s="7">
        <v>3</v>
      </c>
      <c r="I204" s="7">
        <v>5</v>
      </c>
      <c r="J204" s="7">
        <v>5</v>
      </c>
      <c r="K204" s="7">
        <v>3</v>
      </c>
      <c r="L204" s="7">
        <f>9+2</f>
        <v>11</v>
      </c>
      <c r="M204" s="7">
        <v>3</v>
      </c>
      <c r="N204" s="7">
        <v>3</v>
      </c>
      <c r="O204" s="7">
        <v>0</v>
      </c>
      <c r="P204" s="7">
        <f t="shared" si="3"/>
        <v>56</v>
      </c>
    </row>
    <row r="205" spans="1:16" ht="20" customHeight="1">
      <c r="A205" s="4">
        <v>45033</v>
      </c>
      <c r="B205" s="7">
        <v>0</v>
      </c>
      <c r="C205" s="7">
        <v>1</v>
      </c>
      <c r="D205" s="7">
        <v>1</v>
      </c>
      <c r="E205" s="7">
        <v>0</v>
      </c>
      <c r="F205" s="7">
        <v>0</v>
      </c>
      <c r="G205" s="7">
        <v>2</v>
      </c>
      <c r="H205" s="7">
        <v>4</v>
      </c>
      <c r="I205" s="7">
        <v>1</v>
      </c>
      <c r="J205" s="7">
        <v>0</v>
      </c>
      <c r="K205" s="7">
        <v>2</v>
      </c>
      <c r="L205" s="7">
        <v>1</v>
      </c>
      <c r="M205" s="7">
        <v>4</v>
      </c>
      <c r="N205" s="7">
        <v>1</v>
      </c>
      <c r="O205" s="7">
        <v>0</v>
      </c>
      <c r="P205" s="7">
        <f t="shared" si="3"/>
        <v>17</v>
      </c>
    </row>
    <row r="206" spans="1:16" ht="20" customHeight="1">
      <c r="A206" s="4">
        <v>45034</v>
      </c>
      <c r="B206" s="7">
        <v>0</v>
      </c>
      <c r="C206" s="7">
        <v>5</v>
      </c>
      <c r="D206" s="7">
        <v>5</v>
      </c>
      <c r="E206" s="7">
        <v>12</v>
      </c>
      <c r="F206" s="7">
        <v>9</v>
      </c>
      <c r="G206" s="7">
        <v>15</v>
      </c>
      <c r="H206" s="7">
        <v>29</v>
      </c>
      <c r="I206" s="7">
        <v>17</v>
      </c>
      <c r="J206" s="7">
        <f>11+1</f>
        <v>12</v>
      </c>
      <c r="K206" s="7">
        <v>4</v>
      </c>
      <c r="L206" s="7">
        <v>14</v>
      </c>
      <c r="M206" s="7">
        <v>4</v>
      </c>
      <c r="N206" s="7">
        <f>3+1</f>
        <v>4</v>
      </c>
      <c r="O206" s="7">
        <v>0</v>
      </c>
      <c r="P206" s="7">
        <f t="shared" si="3"/>
        <v>130</v>
      </c>
    </row>
    <row r="207" spans="1:16" ht="20" customHeight="1">
      <c r="A207" s="4">
        <v>45035</v>
      </c>
      <c r="B207" s="7">
        <v>1</v>
      </c>
      <c r="C207" s="7">
        <v>1</v>
      </c>
      <c r="D207" s="7">
        <v>3</v>
      </c>
      <c r="E207" s="7">
        <v>6</v>
      </c>
      <c r="F207" s="7">
        <v>7</v>
      </c>
      <c r="G207" s="7">
        <v>9</v>
      </c>
      <c r="H207" s="7">
        <v>10</v>
      </c>
      <c r="I207" s="7">
        <v>17</v>
      </c>
      <c r="J207" s="7">
        <v>13</v>
      </c>
      <c r="K207" s="7">
        <v>4</v>
      </c>
      <c r="L207" s="7">
        <v>8</v>
      </c>
      <c r="M207" s="7">
        <v>10</v>
      </c>
      <c r="N207" s="7">
        <v>7</v>
      </c>
      <c r="O207" s="7">
        <v>0</v>
      </c>
      <c r="P207" s="7">
        <f t="shared" si="3"/>
        <v>96</v>
      </c>
    </row>
    <row r="208" spans="1:16" ht="20" customHeight="1">
      <c r="A208" s="4">
        <v>45036</v>
      </c>
      <c r="B208" s="7">
        <v>2</v>
      </c>
      <c r="C208" s="7">
        <v>4</v>
      </c>
      <c r="D208" s="7">
        <v>4</v>
      </c>
      <c r="E208" s="7">
        <v>7</v>
      </c>
      <c r="F208" s="7">
        <v>7</v>
      </c>
      <c r="G208" s="7">
        <v>16</v>
      </c>
      <c r="H208" s="7">
        <f>18+1</f>
        <v>19</v>
      </c>
      <c r="I208" s="7">
        <v>9</v>
      </c>
      <c r="J208" s="7">
        <v>4</v>
      </c>
      <c r="K208" s="7">
        <f>3+1</f>
        <v>4</v>
      </c>
      <c r="L208" s="7">
        <v>6</v>
      </c>
      <c r="M208" s="7">
        <v>7</v>
      </c>
      <c r="N208" s="7">
        <v>3</v>
      </c>
      <c r="O208" s="7">
        <v>0</v>
      </c>
      <c r="P208" s="7">
        <f t="shared" si="3"/>
        <v>92</v>
      </c>
    </row>
    <row r="209" spans="1:16" ht="20" customHeight="1">
      <c r="A209" s="4">
        <v>45037</v>
      </c>
      <c r="B209" s="7">
        <v>2</v>
      </c>
      <c r="C209" s="7">
        <v>2</v>
      </c>
      <c r="D209" s="7">
        <v>2</v>
      </c>
      <c r="E209" s="7">
        <v>17</v>
      </c>
      <c r="F209" s="7">
        <f>4+1</f>
        <v>5</v>
      </c>
      <c r="G209" s="7">
        <v>8</v>
      </c>
      <c r="H209" s="7">
        <f>11+1</f>
        <v>12</v>
      </c>
      <c r="I209" s="7">
        <v>8</v>
      </c>
      <c r="J209" s="7">
        <f>6+1</f>
        <v>7</v>
      </c>
      <c r="K209" s="7">
        <v>6</v>
      </c>
      <c r="L209" s="7">
        <v>5</v>
      </c>
      <c r="M209" s="7">
        <v>4</v>
      </c>
      <c r="N209" s="7">
        <v>1</v>
      </c>
      <c r="O209" s="7">
        <v>0</v>
      </c>
      <c r="P209" s="7">
        <f t="shared" si="3"/>
        <v>79</v>
      </c>
    </row>
    <row r="210" spans="1:16" ht="20" customHeight="1">
      <c r="A210" s="4">
        <v>45038</v>
      </c>
      <c r="B210" s="7">
        <v>0</v>
      </c>
      <c r="C210" s="7">
        <v>3</v>
      </c>
      <c r="D210" s="7">
        <v>3</v>
      </c>
      <c r="E210" s="7">
        <v>16</v>
      </c>
      <c r="F210" s="7">
        <v>14</v>
      </c>
      <c r="G210" s="7">
        <v>8</v>
      </c>
      <c r="H210" s="7">
        <v>11</v>
      </c>
      <c r="I210" s="7">
        <v>9</v>
      </c>
      <c r="J210" s="7">
        <v>6</v>
      </c>
      <c r="K210" s="7">
        <v>7</v>
      </c>
      <c r="L210" s="7">
        <v>15</v>
      </c>
      <c r="M210" s="7">
        <v>4</v>
      </c>
      <c r="N210" s="7">
        <v>1</v>
      </c>
      <c r="O210" s="7">
        <v>0</v>
      </c>
      <c r="P210" s="7">
        <f t="shared" si="3"/>
        <v>97</v>
      </c>
    </row>
    <row r="211" spans="1:16" ht="20" customHeight="1">
      <c r="A211" s="4">
        <v>45039</v>
      </c>
      <c r="B211" s="7">
        <v>0</v>
      </c>
      <c r="C211" s="7">
        <v>3</v>
      </c>
      <c r="D211" s="7">
        <v>3</v>
      </c>
      <c r="E211" s="7">
        <v>5</v>
      </c>
      <c r="F211" s="7">
        <v>7</v>
      </c>
      <c r="G211" s="7">
        <v>4</v>
      </c>
      <c r="H211" s="7">
        <v>8</v>
      </c>
      <c r="I211" s="7">
        <v>7</v>
      </c>
      <c r="J211" s="7">
        <v>4</v>
      </c>
      <c r="K211" s="7">
        <v>1</v>
      </c>
      <c r="L211" s="7">
        <v>8</v>
      </c>
      <c r="M211" s="7">
        <v>1</v>
      </c>
      <c r="N211" s="7">
        <v>1</v>
      </c>
      <c r="O211" s="7">
        <v>0</v>
      </c>
      <c r="P211" s="7">
        <f t="shared" si="3"/>
        <v>52</v>
      </c>
    </row>
    <row r="212" spans="1:16" ht="20" customHeight="1">
      <c r="A212" s="4">
        <v>45040</v>
      </c>
      <c r="B212" s="7">
        <v>0</v>
      </c>
      <c r="C212" s="7">
        <v>0</v>
      </c>
      <c r="D212" s="7">
        <v>2</v>
      </c>
      <c r="E212" s="7">
        <v>1</v>
      </c>
      <c r="F212" s="7">
        <v>1</v>
      </c>
      <c r="G212" s="7">
        <v>0</v>
      </c>
      <c r="H212" s="7">
        <v>1</v>
      </c>
      <c r="I212" s="7">
        <v>3</v>
      </c>
      <c r="J212" s="7">
        <v>0</v>
      </c>
      <c r="K212" s="7">
        <v>0</v>
      </c>
      <c r="L212" s="7">
        <v>2</v>
      </c>
      <c r="M212" s="7">
        <v>2</v>
      </c>
      <c r="N212" s="7">
        <v>0</v>
      </c>
      <c r="O212" s="7">
        <v>0</v>
      </c>
      <c r="P212" s="7">
        <f t="shared" si="3"/>
        <v>12</v>
      </c>
    </row>
    <row r="213" spans="1:16" ht="20" customHeight="1">
      <c r="A213" s="4">
        <v>45041</v>
      </c>
      <c r="B213" s="7">
        <v>1</v>
      </c>
      <c r="C213" s="7">
        <v>6</v>
      </c>
      <c r="D213" s="7">
        <v>15</v>
      </c>
      <c r="E213" s="7">
        <v>19</v>
      </c>
      <c r="F213" s="7">
        <v>17</v>
      </c>
      <c r="G213" s="7">
        <v>13</v>
      </c>
      <c r="H213" s="7">
        <v>31</v>
      </c>
      <c r="I213" s="7">
        <v>24</v>
      </c>
      <c r="J213" s="7">
        <v>14</v>
      </c>
      <c r="K213" s="7">
        <v>13</v>
      </c>
      <c r="L213" s="7">
        <v>16</v>
      </c>
      <c r="M213" s="7">
        <v>7</v>
      </c>
      <c r="N213" s="7">
        <v>5</v>
      </c>
      <c r="O213" s="7">
        <v>0</v>
      </c>
      <c r="P213" s="7">
        <f t="shared" si="3"/>
        <v>181</v>
      </c>
    </row>
    <row r="214" spans="1:16" ht="20" customHeight="1">
      <c r="A214" s="4">
        <v>45042</v>
      </c>
      <c r="B214" s="7">
        <v>0</v>
      </c>
      <c r="C214" s="7">
        <v>7</v>
      </c>
      <c r="D214" s="7">
        <v>8</v>
      </c>
      <c r="E214" s="7">
        <v>6</v>
      </c>
      <c r="F214" s="7">
        <v>12</v>
      </c>
      <c r="G214" s="7">
        <f>15+1</f>
        <v>16</v>
      </c>
      <c r="H214" s="7">
        <f>13+1-1</f>
        <v>13</v>
      </c>
      <c r="I214" s="7">
        <v>15</v>
      </c>
      <c r="J214" s="7">
        <v>9</v>
      </c>
      <c r="K214" s="7">
        <v>11</v>
      </c>
      <c r="L214" s="7">
        <v>11</v>
      </c>
      <c r="M214" s="7">
        <v>9</v>
      </c>
      <c r="N214" s="7">
        <v>2</v>
      </c>
      <c r="O214" s="7">
        <v>0</v>
      </c>
      <c r="P214" s="7">
        <f t="shared" si="3"/>
        <v>119</v>
      </c>
    </row>
    <row r="215" spans="1:16" ht="20" customHeight="1">
      <c r="A215" s="4">
        <v>45043</v>
      </c>
      <c r="B215" s="7">
        <v>1</v>
      </c>
      <c r="C215" s="7">
        <v>7</v>
      </c>
      <c r="D215" s="7">
        <v>7</v>
      </c>
      <c r="E215" s="7">
        <v>15</v>
      </c>
      <c r="F215" s="7">
        <v>7</v>
      </c>
      <c r="G215" s="7">
        <v>12</v>
      </c>
      <c r="H215" s="7">
        <f>13+1</f>
        <v>14</v>
      </c>
      <c r="I215" s="7">
        <v>12</v>
      </c>
      <c r="J215" s="7">
        <v>6</v>
      </c>
      <c r="K215" s="7">
        <v>5</v>
      </c>
      <c r="L215" s="7">
        <v>9</v>
      </c>
      <c r="M215" s="7">
        <v>9</v>
      </c>
      <c r="N215" s="7">
        <v>2</v>
      </c>
      <c r="O215" s="7">
        <v>0</v>
      </c>
      <c r="P215" s="7">
        <f t="shared" si="3"/>
        <v>106</v>
      </c>
    </row>
    <row r="216" spans="1:16" ht="20" customHeight="1">
      <c r="A216" s="4">
        <v>45044</v>
      </c>
      <c r="B216" s="7">
        <v>0</v>
      </c>
      <c r="C216" s="7">
        <v>6</v>
      </c>
      <c r="D216" s="7">
        <v>8</v>
      </c>
      <c r="E216" s="7">
        <v>10</v>
      </c>
      <c r="F216" s="7">
        <v>9</v>
      </c>
      <c r="G216" s="7">
        <v>10</v>
      </c>
      <c r="H216" s="7">
        <v>13</v>
      </c>
      <c r="I216" s="7">
        <v>21</v>
      </c>
      <c r="J216" s="7">
        <v>13</v>
      </c>
      <c r="K216" s="7">
        <v>9</v>
      </c>
      <c r="L216" s="7">
        <v>12</v>
      </c>
      <c r="M216" s="7">
        <v>8</v>
      </c>
      <c r="N216" s="7">
        <v>4</v>
      </c>
      <c r="O216" s="7">
        <v>0</v>
      </c>
      <c r="P216" s="7">
        <f t="shared" si="3"/>
        <v>123</v>
      </c>
    </row>
    <row r="217" spans="1:16" ht="20" customHeight="1">
      <c r="A217" s="4">
        <v>45045</v>
      </c>
      <c r="B217" s="7">
        <v>0</v>
      </c>
      <c r="C217" s="7">
        <v>9</v>
      </c>
      <c r="D217" s="7">
        <v>13</v>
      </c>
      <c r="E217" s="7">
        <v>7</v>
      </c>
      <c r="F217" s="7">
        <v>11</v>
      </c>
      <c r="G217" s="7">
        <v>10</v>
      </c>
      <c r="H217" s="7">
        <v>12</v>
      </c>
      <c r="I217" s="7">
        <v>17</v>
      </c>
      <c r="J217" s="7">
        <v>8</v>
      </c>
      <c r="K217" s="7">
        <v>12</v>
      </c>
      <c r="L217" s="7">
        <v>20</v>
      </c>
      <c r="M217" s="7">
        <v>12</v>
      </c>
      <c r="N217" s="7">
        <v>6</v>
      </c>
      <c r="O217" s="7">
        <v>0</v>
      </c>
      <c r="P217" s="7">
        <f t="shared" si="3"/>
        <v>137</v>
      </c>
    </row>
    <row r="218" spans="1:16" ht="20" customHeight="1">
      <c r="A218" s="4">
        <v>45046</v>
      </c>
      <c r="B218" s="7">
        <v>0</v>
      </c>
      <c r="C218" s="7">
        <v>2</v>
      </c>
      <c r="D218" s="7">
        <f>4+1</f>
        <v>5</v>
      </c>
      <c r="E218" s="7">
        <v>2</v>
      </c>
      <c r="F218" s="7">
        <v>4</v>
      </c>
      <c r="G218" s="7">
        <v>3</v>
      </c>
      <c r="H218" s="7">
        <f>3+1</f>
        <v>4</v>
      </c>
      <c r="I218" s="7">
        <v>5</v>
      </c>
      <c r="J218" s="7">
        <v>2</v>
      </c>
      <c r="K218" s="7">
        <v>4</v>
      </c>
      <c r="L218" s="7">
        <v>4</v>
      </c>
      <c r="M218" s="7">
        <v>1</v>
      </c>
      <c r="N218" s="7">
        <v>0</v>
      </c>
      <c r="O218" s="7">
        <v>0</v>
      </c>
      <c r="P218" s="7">
        <f t="shared" si="3"/>
        <v>36</v>
      </c>
    </row>
    <row r="219" spans="1:16" ht="20" customHeight="1">
      <c r="A219" s="4">
        <v>45047</v>
      </c>
      <c r="B219" s="7">
        <v>0</v>
      </c>
      <c r="C219" s="7">
        <v>2</v>
      </c>
      <c r="D219" s="7">
        <v>0</v>
      </c>
      <c r="E219" s="7">
        <v>3</v>
      </c>
      <c r="F219" s="7">
        <v>1</v>
      </c>
      <c r="G219" s="7">
        <v>1</v>
      </c>
      <c r="H219" s="7">
        <f>1+1</f>
        <v>2</v>
      </c>
      <c r="I219" s="7">
        <v>1</v>
      </c>
      <c r="J219" s="7">
        <v>4</v>
      </c>
      <c r="K219" s="7">
        <v>0</v>
      </c>
      <c r="L219" s="7">
        <v>1</v>
      </c>
      <c r="M219" s="7">
        <v>1</v>
      </c>
      <c r="N219" s="7">
        <v>0</v>
      </c>
      <c r="O219" s="7">
        <v>0</v>
      </c>
      <c r="P219" s="7">
        <f t="shared" si="3"/>
        <v>16</v>
      </c>
    </row>
    <row r="220" spans="1:16" ht="20" customHeight="1">
      <c r="A220" s="4">
        <v>45048</v>
      </c>
      <c r="B220" s="7">
        <v>0</v>
      </c>
      <c r="C220" s="7">
        <v>6</v>
      </c>
      <c r="D220" s="7">
        <v>20</v>
      </c>
      <c r="E220" s="7">
        <v>22</v>
      </c>
      <c r="F220" s="7">
        <v>20</v>
      </c>
      <c r="G220" s="7">
        <v>30</v>
      </c>
      <c r="H220" s="7">
        <v>32</v>
      </c>
      <c r="I220" s="7">
        <v>48</v>
      </c>
      <c r="J220" s="7">
        <v>18</v>
      </c>
      <c r="K220" s="7">
        <f>8+1</f>
        <v>9</v>
      </c>
      <c r="L220" s="7">
        <v>39</v>
      </c>
      <c r="M220" s="7">
        <v>20</v>
      </c>
      <c r="N220" s="7">
        <v>6</v>
      </c>
      <c r="O220" s="7">
        <v>0</v>
      </c>
      <c r="P220" s="7">
        <f t="shared" si="3"/>
        <v>270</v>
      </c>
    </row>
    <row r="221" spans="1:16" ht="20" customHeight="1">
      <c r="A221" s="4">
        <v>45049</v>
      </c>
      <c r="B221" s="7">
        <v>1</v>
      </c>
      <c r="C221" s="7">
        <v>2</v>
      </c>
      <c r="D221" s="7">
        <v>8</v>
      </c>
      <c r="E221" s="7">
        <v>10</v>
      </c>
      <c r="F221" s="7">
        <f>16+1</f>
        <v>17</v>
      </c>
      <c r="G221" s="7">
        <v>25</v>
      </c>
      <c r="H221" s="7">
        <v>15</v>
      </c>
      <c r="I221" s="7">
        <v>24</v>
      </c>
      <c r="J221" s="7">
        <v>14</v>
      </c>
      <c r="K221" s="7">
        <v>12</v>
      </c>
      <c r="L221" s="7">
        <f>18+1</f>
        <v>19</v>
      </c>
      <c r="M221" s="7">
        <v>12</v>
      </c>
      <c r="N221" s="7">
        <v>6</v>
      </c>
      <c r="O221" s="7">
        <v>0</v>
      </c>
      <c r="P221" s="7">
        <f t="shared" si="3"/>
        <v>165</v>
      </c>
    </row>
    <row r="222" spans="1:16" ht="20" customHeight="1">
      <c r="A222" s="4">
        <v>45050</v>
      </c>
      <c r="B222" s="7">
        <v>0</v>
      </c>
      <c r="C222" s="7">
        <v>0</v>
      </c>
      <c r="D222" s="7">
        <v>1</v>
      </c>
      <c r="E222" s="7">
        <v>1</v>
      </c>
      <c r="F222" s="7">
        <v>1</v>
      </c>
      <c r="G222" s="7">
        <v>2</v>
      </c>
      <c r="H222" s="7">
        <v>3</v>
      </c>
      <c r="I222" s="7">
        <v>4</v>
      </c>
      <c r="J222" s="7">
        <v>1</v>
      </c>
      <c r="K222" s="7">
        <f>0+1</f>
        <v>1</v>
      </c>
      <c r="L222" s="7">
        <v>2</v>
      </c>
      <c r="M222" s="7">
        <v>1</v>
      </c>
      <c r="N222" s="7">
        <v>3</v>
      </c>
      <c r="O222" s="7">
        <v>0</v>
      </c>
      <c r="P222" s="7">
        <f t="shared" si="3"/>
        <v>20</v>
      </c>
    </row>
    <row r="223" spans="1:16" ht="20" customHeight="1">
      <c r="A223" s="4">
        <v>45051</v>
      </c>
      <c r="B223" s="7">
        <v>0</v>
      </c>
      <c r="C223" s="7">
        <v>0</v>
      </c>
      <c r="D223" s="7">
        <f>0+1</f>
        <v>1</v>
      </c>
      <c r="E223" s="7">
        <v>1</v>
      </c>
      <c r="F223" s="7">
        <f>1+1</f>
        <v>2</v>
      </c>
      <c r="G223" s="7">
        <v>0</v>
      </c>
      <c r="H223" s="7">
        <f>3+1+1</f>
        <v>5</v>
      </c>
      <c r="I223" s="7">
        <f>1+2+2</f>
        <v>5</v>
      </c>
      <c r="J223" s="7">
        <f>1+1</f>
        <v>2</v>
      </c>
      <c r="K223" s="7">
        <v>2</v>
      </c>
      <c r="L223" s="7">
        <v>1</v>
      </c>
      <c r="M223" s="7">
        <f>4+1</f>
        <v>5</v>
      </c>
      <c r="N223" s="7">
        <v>2</v>
      </c>
      <c r="O223" s="7">
        <v>0</v>
      </c>
      <c r="P223" s="7">
        <f t="shared" si="3"/>
        <v>26</v>
      </c>
    </row>
    <row r="224" spans="1:16" ht="20" customHeight="1">
      <c r="A224" s="4">
        <v>45052</v>
      </c>
      <c r="B224" s="7">
        <v>0</v>
      </c>
      <c r="C224" s="7">
        <v>1</v>
      </c>
      <c r="D224" s="7">
        <v>0</v>
      </c>
      <c r="E224" s="7">
        <f>2+5</f>
        <v>7</v>
      </c>
      <c r="F224" s="7">
        <f>2+1+1</f>
        <v>4</v>
      </c>
      <c r="G224" s="7">
        <v>2</v>
      </c>
      <c r="H224" s="7">
        <f>2+1</f>
        <v>3</v>
      </c>
      <c r="I224" s="7">
        <f>0+1</f>
        <v>1</v>
      </c>
      <c r="J224" s="7">
        <v>2</v>
      </c>
      <c r="K224" s="7">
        <v>0</v>
      </c>
      <c r="L224" s="7">
        <v>2</v>
      </c>
      <c r="M224" s="7">
        <v>5</v>
      </c>
      <c r="N224" s="7">
        <v>3</v>
      </c>
      <c r="O224" s="7">
        <v>0</v>
      </c>
      <c r="P224" s="7">
        <f t="shared" si="3"/>
        <v>30</v>
      </c>
    </row>
    <row r="225" spans="1:16" ht="20" customHeight="1">
      <c r="A225" s="4">
        <v>45053</v>
      </c>
      <c r="B225" s="7">
        <v>1</v>
      </c>
      <c r="C225" s="7">
        <v>3</v>
      </c>
      <c r="D225" s="7">
        <v>1</v>
      </c>
      <c r="E225" s="7">
        <v>11</v>
      </c>
      <c r="F225" s="7">
        <f>10+1</f>
        <v>11</v>
      </c>
      <c r="G225" s="7">
        <f>9+3</f>
        <v>12</v>
      </c>
      <c r="H225" s="7">
        <f>14+2</f>
        <v>16</v>
      </c>
      <c r="I225" s="7">
        <f>15+1</f>
        <v>16</v>
      </c>
      <c r="J225" s="7">
        <v>13</v>
      </c>
      <c r="K225" s="7">
        <v>6</v>
      </c>
      <c r="L225" s="7">
        <f>14+2</f>
        <v>16</v>
      </c>
      <c r="M225" s="7">
        <f>7+4</f>
        <v>11</v>
      </c>
      <c r="N225" s="7">
        <f>7+1</f>
        <v>8</v>
      </c>
      <c r="O225" s="7">
        <v>0</v>
      </c>
      <c r="P225" s="7">
        <f t="shared" si="3"/>
        <v>125</v>
      </c>
    </row>
    <row r="226" spans="1:16" ht="20" customHeight="1">
      <c r="A226" s="4">
        <v>45054</v>
      </c>
      <c r="B226" s="7">
        <v>2</v>
      </c>
      <c r="C226" s="7">
        <v>1</v>
      </c>
      <c r="D226" s="7">
        <v>2</v>
      </c>
      <c r="E226" s="7">
        <v>2</v>
      </c>
      <c r="F226" s="7">
        <v>9</v>
      </c>
      <c r="G226" s="7">
        <v>1</v>
      </c>
      <c r="H226" s="7">
        <v>9</v>
      </c>
      <c r="I226" s="7">
        <v>3</v>
      </c>
      <c r="J226" s="7">
        <v>1</v>
      </c>
      <c r="K226" s="7">
        <v>2</v>
      </c>
      <c r="L226" s="7">
        <v>1</v>
      </c>
      <c r="M226" s="7">
        <v>10</v>
      </c>
      <c r="N226" s="7">
        <v>6</v>
      </c>
      <c r="O226" s="7">
        <v>0</v>
      </c>
      <c r="P226" s="7">
        <f t="shared" si="3"/>
        <v>49</v>
      </c>
    </row>
    <row r="227" spans="1:16" ht="20" customHeight="1">
      <c r="A227" s="3" t="s">
        <v>5</v>
      </c>
      <c r="B227" s="8">
        <f t="shared" ref="B227:P227" si="4">SUM(B3:B226)</f>
        <v>737</v>
      </c>
      <c r="C227" s="8">
        <f t="shared" si="4"/>
        <v>4703</v>
      </c>
      <c r="D227" s="8">
        <f t="shared" si="4"/>
        <v>7193</v>
      </c>
      <c r="E227" s="8">
        <f t="shared" si="4"/>
        <v>11561</v>
      </c>
      <c r="F227" s="8">
        <f t="shared" si="4"/>
        <v>7046</v>
      </c>
      <c r="G227" s="8">
        <f t="shared" si="4"/>
        <v>10115</v>
      </c>
      <c r="H227" s="8">
        <f t="shared" si="4"/>
        <v>11586</v>
      </c>
      <c r="I227" s="8">
        <f t="shared" si="4"/>
        <v>8796</v>
      </c>
      <c r="J227" s="8">
        <f t="shared" si="4"/>
        <v>4722</v>
      </c>
      <c r="K227" s="8">
        <f t="shared" si="4"/>
        <v>4361</v>
      </c>
      <c r="L227" s="8">
        <f t="shared" si="4"/>
        <v>6992</v>
      </c>
      <c r="M227" s="8">
        <f t="shared" si="4"/>
        <v>5726</v>
      </c>
      <c r="N227" s="8">
        <f t="shared" si="4"/>
        <v>3403</v>
      </c>
      <c r="O227" s="8">
        <f t="shared" si="4"/>
        <v>0</v>
      </c>
      <c r="P227" s="8">
        <f t="shared" si="4"/>
        <v>86941</v>
      </c>
    </row>
  </sheetData>
  <phoneticPr fontId="1" type="Hiragana"/>
  <pageMargins left="0.7" right="0.7" top="0.75" bottom="0.75" header="0.3" footer="0.3"/>
  <pageSetup paperSize="9" scale="55" fitToWidth="1" fitToHeight="0" orientation="portrait" usePrinterDefaults="1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227"/>
  <sheetViews>
    <sheetView workbookViewId="0">
      <pane xSplit="1" ySplit="2" topLeftCell="B215" activePane="bottomRight" state="frozen"/>
      <selection pane="topRight"/>
      <selection pane="bottomLeft"/>
      <selection pane="bottomRight" activeCell="P227" sqref="P227"/>
    </sheetView>
  </sheetViews>
  <sheetFormatPr defaultRowHeight="13.5"/>
  <cols>
    <col min="1" max="1" width="20.875" style="1" customWidth="1"/>
    <col min="2" max="16384" width="9" style="2" customWidth="1"/>
  </cols>
  <sheetData>
    <row r="1" spans="1:16" ht="20" customHeight="1">
      <c r="A1" s="1" t="s">
        <v>19</v>
      </c>
    </row>
    <row r="2" spans="1:16" ht="20.25" customHeight="1">
      <c r="A2" s="3" t="s">
        <v>0</v>
      </c>
      <c r="B2" s="5" t="s">
        <v>7</v>
      </c>
      <c r="C2" s="5" t="s">
        <v>10</v>
      </c>
      <c r="D2" s="5" t="s">
        <v>9</v>
      </c>
      <c r="E2" s="5" t="s">
        <v>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3</v>
      </c>
      <c r="L2" s="5" t="s">
        <v>17</v>
      </c>
      <c r="M2" s="5" t="s">
        <v>2</v>
      </c>
      <c r="N2" s="5" t="s">
        <v>4</v>
      </c>
      <c r="O2" s="9" t="s">
        <v>8</v>
      </c>
      <c r="P2" s="5" t="s">
        <v>6</v>
      </c>
    </row>
    <row r="3" spans="1:16" ht="20" customHeight="1">
      <c r="A3" s="4">
        <v>44831</v>
      </c>
      <c r="B3" s="10"/>
      <c r="C3" s="10"/>
      <c r="D3" s="6">
        <v>2</v>
      </c>
      <c r="E3" s="6">
        <v>1</v>
      </c>
      <c r="F3" s="6">
        <v>2</v>
      </c>
      <c r="G3" s="6">
        <v>9</v>
      </c>
      <c r="H3" s="6">
        <v>2</v>
      </c>
      <c r="I3" s="6">
        <v>2</v>
      </c>
      <c r="J3" s="6">
        <v>1</v>
      </c>
      <c r="K3" s="10"/>
      <c r="L3" s="10"/>
      <c r="M3" s="10"/>
      <c r="N3" s="10"/>
      <c r="O3" s="6">
        <v>0</v>
      </c>
      <c r="P3" s="8">
        <f t="shared" ref="P3:P66" si="0">SUM(B3:O3)</f>
        <v>19</v>
      </c>
    </row>
    <row r="4" spans="1:16" ht="20" customHeight="1">
      <c r="A4" s="4">
        <v>44832</v>
      </c>
      <c r="B4" s="10"/>
      <c r="C4" s="10"/>
      <c r="D4" s="6">
        <v>1</v>
      </c>
      <c r="E4" s="6">
        <v>1</v>
      </c>
      <c r="F4" s="6">
        <v>2</v>
      </c>
      <c r="G4" s="6">
        <v>2</v>
      </c>
      <c r="H4" s="6">
        <v>1</v>
      </c>
      <c r="I4" s="6">
        <v>1</v>
      </c>
      <c r="J4" s="6">
        <v>1</v>
      </c>
      <c r="K4" s="10"/>
      <c r="L4" s="10"/>
      <c r="M4" s="10"/>
      <c r="N4" s="10"/>
      <c r="O4" s="6">
        <v>0</v>
      </c>
      <c r="P4" s="8">
        <f t="shared" si="0"/>
        <v>9</v>
      </c>
    </row>
    <row r="5" spans="1:16" ht="20" customHeight="1">
      <c r="A5" s="4">
        <v>44833</v>
      </c>
      <c r="B5" s="10"/>
      <c r="C5" s="10"/>
      <c r="D5" s="6">
        <v>2</v>
      </c>
      <c r="E5" s="6">
        <v>4</v>
      </c>
      <c r="F5" s="6">
        <v>6</v>
      </c>
      <c r="G5" s="6">
        <v>9</v>
      </c>
      <c r="H5" s="6">
        <v>11</v>
      </c>
      <c r="I5" s="6">
        <v>4</v>
      </c>
      <c r="J5" s="6">
        <v>1</v>
      </c>
      <c r="K5" s="10"/>
      <c r="L5" s="10"/>
      <c r="M5" s="10"/>
      <c r="N5" s="10"/>
      <c r="O5" s="6">
        <v>0</v>
      </c>
      <c r="P5" s="8">
        <f t="shared" si="0"/>
        <v>37</v>
      </c>
    </row>
    <row r="6" spans="1:16" ht="20" customHeight="1">
      <c r="A6" s="4">
        <v>44834</v>
      </c>
      <c r="B6" s="10"/>
      <c r="C6" s="10"/>
      <c r="D6" s="6">
        <v>2</v>
      </c>
      <c r="E6" s="6">
        <v>2</v>
      </c>
      <c r="F6" s="6">
        <v>5</v>
      </c>
      <c r="G6" s="6">
        <v>7</v>
      </c>
      <c r="H6" s="6">
        <v>10</v>
      </c>
      <c r="I6" s="6">
        <v>5</v>
      </c>
      <c r="J6" s="6">
        <v>1</v>
      </c>
      <c r="K6" s="10"/>
      <c r="L6" s="10"/>
      <c r="M6" s="10"/>
      <c r="N6" s="10"/>
      <c r="O6" s="6">
        <v>0</v>
      </c>
      <c r="P6" s="8">
        <f t="shared" si="0"/>
        <v>32</v>
      </c>
    </row>
    <row r="7" spans="1:16" ht="20" customHeight="1">
      <c r="A7" s="4">
        <v>44835</v>
      </c>
      <c r="B7" s="10"/>
      <c r="C7" s="10"/>
      <c r="D7" s="6">
        <v>5</v>
      </c>
      <c r="E7" s="6">
        <v>4</v>
      </c>
      <c r="F7" s="6">
        <v>4</v>
      </c>
      <c r="G7" s="6">
        <v>10</v>
      </c>
      <c r="H7" s="6">
        <v>7</v>
      </c>
      <c r="I7" s="6">
        <v>3</v>
      </c>
      <c r="J7" s="6">
        <v>1</v>
      </c>
      <c r="K7" s="10"/>
      <c r="L7" s="10"/>
      <c r="M7" s="10"/>
      <c r="N7" s="10"/>
      <c r="O7" s="6">
        <v>0</v>
      </c>
      <c r="P7" s="8">
        <f t="shared" si="0"/>
        <v>34</v>
      </c>
    </row>
    <row r="8" spans="1:16" ht="20" customHeight="1">
      <c r="A8" s="4">
        <v>44836</v>
      </c>
      <c r="B8" s="10"/>
      <c r="C8" s="10"/>
      <c r="D8" s="6">
        <v>0</v>
      </c>
      <c r="E8" s="6">
        <v>2</v>
      </c>
      <c r="F8" s="6">
        <v>5</v>
      </c>
      <c r="G8" s="6">
        <v>5</v>
      </c>
      <c r="H8" s="6">
        <v>8</v>
      </c>
      <c r="I8" s="6">
        <v>3</v>
      </c>
      <c r="J8" s="6">
        <v>4</v>
      </c>
      <c r="K8" s="10"/>
      <c r="L8" s="10"/>
      <c r="M8" s="10"/>
      <c r="N8" s="10"/>
      <c r="O8" s="6">
        <v>0</v>
      </c>
      <c r="P8" s="8">
        <f t="shared" si="0"/>
        <v>27</v>
      </c>
    </row>
    <row r="9" spans="1:16" ht="20" customHeight="1">
      <c r="A9" s="4">
        <v>44837</v>
      </c>
      <c r="B9" s="10"/>
      <c r="C9" s="10"/>
      <c r="D9" s="6">
        <v>0</v>
      </c>
      <c r="E9" s="6">
        <v>2</v>
      </c>
      <c r="F9" s="6">
        <v>2</v>
      </c>
      <c r="G9" s="6">
        <v>2</v>
      </c>
      <c r="H9" s="6">
        <v>7</v>
      </c>
      <c r="I9" s="6">
        <v>3</v>
      </c>
      <c r="J9" s="6">
        <v>0</v>
      </c>
      <c r="K9" s="10"/>
      <c r="L9" s="10"/>
      <c r="M9" s="10"/>
      <c r="N9" s="10"/>
      <c r="O9" s="6">
        <v>0</v>
      </c>
      <c r="P9" s="8">
        <f t="shared" si="0"/>
        <v>16</v>
      </c>
    </row>
    <row r="10" spans="1:16" ht="20" customHeight="1">
      <c r="A10" s="4">
        <v>44838</v>
      </c>
      <c r="B10" s="10"/>
      <c r="C10" s="10"/>
      <c r="D10" s="6">
        <v>0</v>
      </c>
      <c r="E10" s="6">
        <v>4</v>
      </c>
      <c r="F10" s="6">
        <v>5</v>
      </c>
      <c r="G10" s="6">
        <v>14</v>
      </c>
      <c r="H10" s="6">
        <v>8</v>
      </c>
      <c r="I10" s="6">
        <v>2</v>
      </c>
      <c r="J10" s="6">
        <v>1</v>
      </c>
      <c r="K10" s="10"/>
      <c r="L10" s="10"/>
      <c r="M10" s="10"/>
      <c r="N10" s="10"/>
      <c r="O10" s="6">
        <v>0</v>
      </c>
      <c r="P10" s="8">
        <f t="shared" si="0"/>
        <v>34</v>
      </c>
    </row>
    <row r="11" spans="1:16" ht="20" customHeight="1">
      <c r="A11" s="4">
        <v>44839</v>
      </c>
      <c r="B11" s="10"/>
      <c r="C11" s="10"/>
      <c r="D11" s="6">
        <v>1</v>
      </c>
      <c r="E11" s="6">
        <v>5</v>
      </c>
      <c r="F11" s="6">
        <v>1</v>
      </c>
      <c r="G11" s="6">
        <v>5</v>
      </c>
      <c r="H11" s="6">
        <v>5</v>
      </c>
      <c r="I11" s="6">
        <v>3</v>
      </c>
      <c r="J11" s="6">
        <v>2</v>
      </c>
      <c r="K11" s="10"/>
      <c r="L11" s="10"/>
      <c r="M11" s="10"/>
      <c r="N11" s="10"/>
      <c r="O11" s="6">
        <v>0</v>
      </c>
      <c r="P11" s="8">
        <f t="shared" si="0"/>
        <v>22</v>
      </c>
    </row>
    <row r="12" spans="1:16" ht="20" customHeight="1">
      <c r="A12" s="4">
        <v>44840</v>
      </c>
      <c r="B12" s="10"/>
      <c r="C12" s="10"/>
      <c r="D12" s="6">
        <v>1</v>
      </c>
      <c r="E12" s="6">
        <v>4</v>
      </c>
      <c r="F12" s="6">
        <v>6</v>
      </c>
      <c r="G12" s="6">
        <v>5</v>
      </c>
      <c r="H12" s="6">
        <v>5</v>
      </c>
      <c r="I12" s="6">
        <v>5</v>
      </c>
      <c r="J12" s="6">
        <v>0</v>
      </c>
      <c r="K12" s="10"/>
      <c r="L12" s="10"/>
      <c r="M12" s="10"/>
      <c r="N12" s="10"/>
      <c r="O12" s="6">
        <v>0</v>
      </c>
      <c r="P12" s="8">
        <f t="shared" si="0"/>
        <v>26</v>
      </c>
    </row>
    <row r="13" spans="1:16" ht="20" customHeight="1">
      <c r="A13" s="4">
        <v>44841</v>
      </c>
      <c r="B13" s="10"/>
      <c r="C13" s="10"/>
      <c r="D13" s="6">
        <v>0</v>
      </c>
      <c r="E13" s="6">
        <v>4</v>
      </c>
      <c r="F13" s="6">
        <v>6</v>
      </c>
      <c r="G13" s="6">
        <v>10</v>
      </c>
      <c r="H13" s="6">
        <v>8</v>
      </c>
      <c r="I13" s="6">
        <v>5</v>
      </c>
      <c r="J13" s="6">
        <v>0</v>
      </c>
      <c r="K13" s="10"/>
      <c r="L13" s="10"/>
      <c r="M13" s="10"/>
      <c r="N13" s="10"/>
      <c r="O13" s="6">
        <v>0</v>
      </c>
      <c r="P13" s="8">
        <f t="shared" si="0"/>
        <v>33</v>
      </c>
    </row>
    <row r="14" spans="1:16" ht="20" customHeight="1">
      <c r="A14" s="4">
        <v>44842</v>
      </c>
      <c r="B14" s="10"/>
      <c r="C14" s="10"/>
      <c r="D14" s="6">
        <v>2</v>
      </c>
      <c r="E14" s="6">
        <v>2</v>
      </c>
      <c r="F14" s="6">
        <v>1</v>
      </c>
      <c r="G14" s="6">
        <v>5</v>
      </c>
      <c r="H14" s="6">
        <v>6</v>
      </c>
      <c r="I14" s="6">
        <v>3</v>
      </c>
      <c r="J14" s="6">
        <v>0</v>
      </c>
      <c r="K14" s="10"/>
      <c r="L14" s="10"/>
      <c r="M14" s="10"/>
      <c r="N14" s="10"/>
      <c r="O14" s="6">
        <v>0</v>
      </c>
      <c r="P14" s="8">
        <f t="shared" si="0"/>
        <v>19</v>
      </c>
    </row>
    <row r="15" spans="1:16" ht="20" customHeight="1">
      <c r="A15" s="4">
        <v>44843</v>
      </c>
      <c r="B15" s="10"/>
      <c r="C15" s="10"/>
      <c r="D15" s="6">
        <v>0</v>
      </c>
      <c r="E15" s="6">
        <v>2</v>
      </c>
      <c r="F15" s="6">
        <v>2</v>
      </c>
      <c r="G15" s="6">
        <v>9</v>
      </c>
      <c r="H15" s="6">
        <v>7</v>
      </c>
      <c r="I15" s="6">
        <v>7</v>
      </c>
      <c r="J15" s="6">
        <v>0</v>
      </c>
      <c r="K15" s="10"/>
      <c r="L15" s="10"/>
      <c r="M15" s="10"/>
      <c r="N15" s="10"/>
      <c r="O15" s="6">
        <v>0</v>
      </c>
      <c r="P15" s="8">
        <f t="shared" si="0"/>
        <v>27</v>
      </c>
    </row>
    <row r="16" spans="1:16" ht="20" customHeight="1">
      <c r="A16" s="4">
        <v>44844</v>
      </c>
      <c r="B16" s="10"/>
      <c r="C16" s="10"/>
      <c r="D16" s="6">
        <v>2</v>
      </c>
      <c r="E16" s="6">
        <v>5</v>
      </c>
      <c r="F16" s="6">
        <v>4</v>
      </c>
      <c r="G16" s="6">
        <v>5</v>
      </c>
      <c r="H16" s="6">
        <v>6</v>
      </c>
      <c r="I16" s="6">
        <v>3</v>
      </c>
      <c r="J16" s="6">
        <v>1</v>
      </c>
      <c r="K16" s="10"/>
      <c r="L16" s="10"/>
      <c r="M16" s="10"/>
      <c r="N16" s="10"/>
      <c r="O16" s="6">
        <v>0</v>
      </c>
      <c r="P16" s="8">
        <f t="shared" si="0"/>
        <v>26</v>
      </c>
    </row>
    <row r="17" spans="1:16" ht="20" customHeight="1">
      <c r="A17" s="4">
        <v>44845</v>
      </c>
      <c r="B17" s="10"/>
      <c r="C17" s="10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10"/>
      <c r="L17" s="10"/>
      <c r="M17" s="10"/>
      <c r="N17" s="10"/>
      <c r="O17" s="6">
        <v>0</v>
      </c>
      <c r="P17" s="8">
        <f t="shared" si="0"/>
        <v>0</v>
      </c>
    </row>
    <row r="18" spans="1:16" ht="20" customHeight="1">
      <c r="A18" s="4">
        <v>44846</v>
      </c>
      <c r="B18" s="10"/>
      <c r="C18" s="10"/>
      <c r="D18" s="6">
        <v>4</v>
      </c>
      <c r="E18" s="6">
        <v>14</v>
      </c>
      <c r="F18" s="6">
        <v>10</v>
      </c>
      <c r="G18" s="6">
        <v>18</v>
      </c>
      <c r="H18" s="6">
        <v>15</v>
      </c>
      <c r="I18" s="6">
        <v>3</v>
      </c>
      <c r="J18" s="6">
        <v>3</v>
      </c>
      <c r="K18" s="10"/>
      <c r="L18" s="10"/>
      <c r="M18" s="10"/>
      <c r="N18" s="10"/>
      <c r="O18" s="6">
        <v>0</v>
      </c>
      <c r="P18" s="8">
        <f t="shared" si="0"/>
        <v>67</v>
      </c>
    </row>
    <row r="19" spans="1:16" ht="20" customHeight="1">
      <c r="A19" s="4">
        <v>44847</v>
      </c>
      <c r="B19" s="10"/>
      <c r="C19" s="10"/>
      <c r="D19" s="6">
        <v>3</v>
      </c>
      <c r="E19" s="6">
        <v>9</v>
      </c>
      <c r="F19" s="6">
        <v>6</v>
      </c>
      <c r="G19" s="6">
        <v>11</v>
      </c>
      <c r="H19" s="6">
        <v>13</v>
      </c>
      <c r="I19" s="6">
        <v>6</v>
      </c>
      <c r="J19" s="6">
        <v>1</v>
      </c>
      <c r="K19" s="10"/>
      <c r="L19" s="10"/>
      <c r="M19" s="10"/>
      <c r="N19" s="10"/>
      <c r="O19" s="6">
        <v>0</v>
      </c>
      <c r="P19" s="8">
        <f t="shared" si="0"/>
        <v>49</v>
      </c>
    </row>
    <row r="20" spans="1:16" ht="20" customHeight="1">
      <c r="A20" s="4">
        <v>44848</v>
      </c>
      <c r="B20" s="10"/>
      <c r="C20" s="10"/>
      <c r="D20" s="6">
        <v>2</v>
      </c>
      <c r="E20" s="6">
        <v>7</v>
      </c>
      <c r="F20" s="6">
        <v>6</v>
      </c>
      <c r="G20" s="6">
        <v>13</v>
      </c>
      <c r="H20" s="6">
        <v>8</v>
      </c>
      <c r="I20" s="6">
        <v>5</v>
      </c>
      <c r="J20" s="6">
        <v>2</v>
      </c>
      <c r="K20" s="10"/>
      <c r="L20" s="10"/>
      <c r="M20" s="10"/>
      <c r="N20" s="10"/>
      <c r="O20" s="6">
        <v>0</v>
      </c>
      <c r="P20" s="8">
        <f t="shared" si="0"/>
        <v>43</v>
      </c>
    </row>
    <row r="21" spans="1:16" ht="20" customHeight="1">
      <c r="A21" s="4">
        <v>44849</v>
      </c>
      <c r="B21" s="10"/>
      <c r="C21" s="10"/>
      <c r="D21" s="6">
        <v>5</v>
      </c>
      <c r="E21" s="6">
        <v>5</v>
      </c>
      <c r="F21" s="6">
        <v>4</v>
      </c>
      <c r="G21" s="6">
        <v>11</v>
      </c>
      <c r="H21" s="6">
        <v>5</v>
      </c>
      <c r="I21" s="6">
        <v>1</v>
      </c>
      <c r="J21" s="6">
        <v>3</v>
      </c>
      <c r="K21" s="10"/>
      <c r="L21" s="10"/>
      <c r="M21" s="10"/>
      <c r="N21" s="10"/>
      <c r="O21" s="6">
        <v>0</v>
      </c>
      <c r="P21" s="8">
        <f t="shared" si="0"/>
        <v>34</v>
      </c>
    </row>
    <row r="22" spans="1:16" ht="20" customHeight="1">
      <c r="A22" s="4">
        <v>44850</v>
      </c>
      <c r="B22" s="10"/>
      <c r="C22" s="10"/>
      <c r="D22" s="6">
        <v>2</v>
      </c>
      <c r="E22" s="6">
        <v>4</v>
      </c>
      <c r="F22" s="6">
        <v>0</v>
      </c>
      <c r="G22" s="6">
        <v>4</v>
      </c>
      <c r="H22" s="6">
        <v>3</v>
      </c>
      <c r="I22" s="6">
        <v>7</v>
      </c>
      <c r="J22" s="6">
        <v>1</v>
      </c>
      <c r="K22" s="10"/>
      <c r="L22" s="10"/>
      <c r="M22" s="10"/>
      <c r="N22" s="10"/>
      <c r="O22" s="6">
        <v>0</v>
      </c>
      <c r="P22" s="8">
        <f t="shared" si="0"/>
        <v>21</v>
      </c>
    </row>
    <row r="23" spans="1:16" ht="20" customHeight="1">
      <c r="A23" s="4">
        <v>44851</v>
      </c>
      <c r="B23" s="10"/>
      <c r="C23" s="10"/>
      <c r="D23" s="6">
        <v>0</v>
      </c>
      <c r="E23" s="6">
        <v>9</v>
      </c>
      <c r="F23" s="6">
        <v>4</v>
      </c>
      <c r="G23" s="6">
        <v>11</v>
      </c>
      <c r="H23" s="6">
        <v>11</v>
      </c>
      <c r="I23" s="6">
        <v>9</v>
      </c>
      <c r="J23" s="6">
        <v>6</v>
      </c>
      <c r="K23" s="10"/>
      <c r="L23" s="10"/>
      <c r="M23" s="10"/>
      <c r="N23" s="10"/>
      <c r="O23" s="6">
        <v>0</v>
      </c>
      <c r="P23" s="8">
        <f t="shared" si="0"/>
        <v>50</v>
      </c>
    </row>
    <row r="24" spans="1:16" ht="20" customHeight="1">
      <c r="A24" s="4">
        <v>44852</v>
      </c>
      <c r="B24" s="10"/>
      <c r="C24" s="10"/>
      <c r="D24" s="6">
        <v>5</v>
      </c>
      <c r="E24" s="6">
        <v>7</v>
      </c>
      <c r="F24" s="6">
        <v>3</v>
      </c>
      <c r="G24" s="6">
        <v>13</v>
      </c>
      <c r="H24" s="6">
        <v>10</v>
      </c>
      <c r="I24" s="6">
        <v>1</v>
      </c>
      <c r="J24" s="6">
        <v>0</v>
      </c>
      <c r="K24" s="10"/>
      <c r="L24" s="10"/>
      <c r="M24" s="10"/>
      <c r="N24" s="10"/>
      <c r="O24" s="6">
        <v>0</v>
      </c>
      <c r="P24" s="8">
        <f t="shared" si="0"/>
        <v>39</v>
      </c>
    </row>
    <row r="25" spans="1:16" ht="20" customHeight="1">
      <c r="A25" s="4">
        <v>44853</v>
      </c>
      <c r="B25" s="10"/>
      <c r="C25" s="10"/>
      <c r="D25" s="6">
        <v>4</v>
      </c>
      <c r="E25" s="6">
        <v>10</v>
      </c>
      <c r="F25" s="6">
        <v>8</v>
      </c>
      <c r="G25" s="6">
        <v>7</v>
      </c>
      <c r="H25" s="6">
        <v>15</v>
      </c>
      <c r="I25" s="6">
        <v>6</v>
      </c>
      <c r="J25" s="6">
        <v>2</v>
      </c>
      <c r="K25" s="10"/>
      <c r="L25" s="10"/>
      <c r="M25" s="10"/>
      <c r="N25" s="10"/>
      <c r="O25" s="6">
        <v>0</v>
      </c>
      <c r="P25" s="8">
        <f t="shared" si="0"/>
        <v>52</v>
      </c>
    </row>
    <row r="26" spans="1:16" ht="20" customHeight="1">
      <c r="A26" s="4">
        <v>44854</v>
      </c>
      <c r="B26" s="10"/>
      <c r="C26" s="10"/>
      <c r="D26" s="6">
        <v>5</v>
      </c>
      <c r="E26" s="6">
        <v>14</v>
      </c>
      <c r="F26" s="6">
        <v>4</v>
      </c>
      <c r="G26" s="6">
        <v>7</v>
      </c>
      <c r="H26" s="6">
        <v>13</v>
      </c>
      <c r="I26" s="6">
        <v>0</v>
      </c>
      <c r="J26" s="6">
        <v>1</v>
      </c>
      <c r="K26" s="10"/>
      <c r="L26" s="10"/>
      <c r="M26" s="10"/>
      <c r="N26" s="10"/>
      <c r="O26" s="6">
        <v>0</v>
      </c>
      <c r="P26" s="8">
        <f t="shared" si="0"/>
        <v>44</v>
      </c>
    </row>
    <row r="27" spans="1:16" ht="20" customHeight="1">
      <c r="A27" s="4">
        <v>44855</v>
      </c>
      <c r="B27" s="10"/>
      <c r="C27" s="10"/>
      <c r="D27" s="6">
        <v>1</v>
      </c>
      <c r="E27" s="6">
        <v>8</v>
      </c>
      <c r="F27" s="6">
        <v>7</v>
      </c>
      <c r="G27" s="6">
        <v>16</v>
      </c>
      <c r="H27" s="6">
        <v>12</v>
      </c>
      <c r="I27" s="6">
        <v>5</v>
      </c>
      <c r="J27" s="6">
        <v>1</v>
      </c>
      <c r="K27" s="10"/>
      <c r="L27" s="10"/>
      <c r="M27" s="10"/>
      <c r="N27" s="10"/>
      <c r="O27" s="6">
        <v>0</v>
      </c>
      <c r="P27" s="8">
        <f t="shared" si="0"/>
        <v>50</v>
      </c>
    </row>
    <row r="28" spans="1:16" ht="20" customHeight="1">
      <c r="A28" s="4">
        <v>44856</v>
      </c>
      <c r="B28" s="10"/>
      <c r="C28" s="10"/>
      <c r="D28" s="6">
        <v>4</v>
      </c>
      <c r="E28" s="6">
        <v>9</v>
      </c>
      <c r="F28" s="6">
        <v>5</v>
      </c>
      <c r="G28" s="6">
        <v>9</v>
      </c>
      <c r="H28" s="6">
        <v>7</v>
      </c>
      <c r="I28" s="6">
        <v>3</v>
      </c>
      <c r="J28" s="6">
        <v>0</v>
      </c>
      <c r="K28" s="10"/>
      <c r="L28" s="10"/>
      <c r="M28" s="10"/>
      <c r="N28" s="10"/>
      <c r="O28" s="6">
        <v>0</v>
      </c>
      <c r="P28" s="8">
        <f t="shared" si="0"/>
        <v>37</v>
      </c>
    </row>
    <row r="29" spans="1:16" ht="20" customHeight="1">
      <c r="A29" s="4">
        <v>44857</v>
      </c>
      <c r="B29" s="10"/>
      <c r="C29" s="10"/>
      <c r="D29" s="6">
        <v>0</v>
      </c>
      <c r="E29" s="6">
        <v>7</v>
      </c>
      <c r="F29" s="6">
        <v>7</v>
      </c>
      <c r="G29" s="6">
        <v>9</v>
      </c>
      <c r="H29" s="6">
        <v>8</v>
      </c>
      <c r="I29" s="6">
        <v>7</v>
      </c>
      <c r="J29" s="6">
        <v>4</v>
      </c>
      <c r="K29" s="10"/>
      <c r="L29" s="10"/>
      <c r="M29" s="10"/>
      <c r="N29" s="10"/>
      <c r="O29" s="6">
        <v>0</v>
      </c>
      <c r="P29" s="8">
        <f t="shared" si="0"/>
        <v>42</v>
      </c>
    </row>
    <row r="30" spans="1:16" ht="20" customHeight="1">
      <c r="A30" s="4">
        <v>44858</v>
      </c>
      <c r="B30" s="10"/>
      <c r="C30" s="10"/>
      <c r="D30" s="6">
        <v>3</v>
      </c>
      <c r="E30" s="6">
        <v>6</v>
      </c>
      <c r="F30" s="6">
        <v>9</v>
      </c>
      <c r="G30" s="6">
        <v>8</v>
      </c>
      <c r="H30" s="6">
        <v>15</v>
      </c>
      <c r="I30" s="6">
        <v>3</v>
      </c>
      <c r="J30" s="6">
        <v>1</v>
      </c>
      <c r="K30" s="10"/>
      <c r="L30" s="10"/>
      <c r="M30" s="10"/>
      <c r="N30" s="10"/>
      <c r="O30" s="6">
        <v>0</v>
      </c>
      <c r="P30" s="8">
        <f t="shared" si="0"/>
        <v>45</v>
      </c>
    </row>
    <row r="31" spans="1:16" ht="20" customHeight="1">
      <c r="A31" s="4">
        <v>44859</v>
      </c>
      <c r="B31" s="10"/>
      <c r="C31" s="10"/>
      <c r="D31" s="6">
        <v>0</v>
      </c>
      <c r="E31" s="6">
        <v>20</v>
      </c>
      <c r="F31" s="6">
        <v>2</v>
      </c>
      <c r="G31" s="6">
        <v>16</v>
      </c>
      <c r="H31" s="6">
        <v>19</v>
      </c>
      <c r="I31" s="6">
        <v>8</v>
      </c>
      <c r="J31" s="6">
        <v>0</v>
      </c>
      <c r="K31" s="10"/>
      <c r="L31" s="10"/>
      <c r="M31" s="10"/>
      <c r="N31" s="10"/>
      <c r="O31" s="6">
        <v>0</v>
      </c>
      <c r="P31" s="8">
        <f t="shared" si="0"/>
        <v>65</v>
      </c>
    </row>
    <row r="32" spans="1:16" ht="20" customHeight="1">
      <c r="A32" s="4">
        <v>44860</v>
      </c>
      <c r="B32" s="10"/>
      <c r="C32" s="10"/>
      <c r="D32" s="6">
        <v>2</v>
      </c>
      <c r="E32" s="6">
        <v>16</v>
      </c>
      <c r="F32" s="6">
        <v>10</v>
      </c>
      <c r="G32" s="6">
        <v>17</v>
      </c>
      <c r="H32" s="6">
        <v>17</v>
      </c>
      <c r="I32" s="6">
        <v>11</v>
      </c>
      <c r="J32" s="6">
        <v>2</v>
      </c>
      <c r="K32" s="10"/>
      <c r="L32" s="10"/>
      <c r="M32" s="10"/>
      <c r="N32" s="10"/>
      <c r="O32" s="6">
        <v>0</v>
      </c>
      <c r="P32" s="8">
        <f t="shared" si="0"/>
        <v>75</v>
      </c>
    </row>
    <row r="33" spans="1:16" ht="20" customHeight="1">
      <c r="A33" s="4">
        <v>44861</v>
      </c>
      <c r="B33" s="10"/>
      <c r="C33" s="10"/>
      <c r="D33" s="6">
        <v>4</v>
      </c>
      <c r="E33" s="6">
        <v>16</v>
      </c>
      <c r="F33" s="6">
        <v>8</v>
      </c>
      <c r="G33" s="6">
        <v>8</v>
      </c>
      <c r="H33" s="6">
        <v>24</v>
      </c>
      <c r="I33" s="6">
        <v>5</v>
      </c>
      <c r="J33" s="6">
        <v>1</v>
      </c>
      <c r="K33" s="10"/>
      <c r="L33" s="10"/>
      <c r="M33" s="10"/>
      <c r="N33" s="10"/>
      <c r="O33" s="6">
        <v>0</v>
      </c>
      <c r="P33" s="8">
        <f t="shared" si="0"/>
        <v>66</v>
      </c>
    </row>
    <row r="34" spans="1:16" ht="20" customHeight="1">
      <c r="A34" s="4">
        <v>44862</v>
      </c>
      <c r="B34" s="10"/>
      <c r="C34" s="10"/>
      <c r="D34" s="6">
        <v>5</v>
      </c>
      <c r="E34" s="6">
        <v>8</v>
      </c>
      <c r="F34" s="6">
        <v>8</v>
      </c>
      <c r="G34" s="6">
        <v>14</v>
      </c>
      <c r="H34" s="6">
        <v>17</v>
      </c>
      <c r="I34" s="6">
        <v>3</v>
      </c>
      <c r="J34" s="6">
        <v>4</v>
      </c>
      <c r="K34" s="10"/>
      <c r="L34" s="10"/>
      <c r="M34" s="10"/>
      <c r="N34" s="10"/>
      <c r="O34" s="6">
        <v>0</v>
      </c>
      <c r="P34" s="8">
        <f t="shared" si="0"/>
        <v>59</v>
      </c>
    </row>
    <row r="35" spans="1:16" ht="20" customHeight="1">
      <c r="A35" s="4">
        <v>44863</v>
      </c>
      <c r="B35" s="10"/>
      <c r="C35" s="10"/>
      <c r="D35" s="6">
        <v>5</v>
      </c>
      <c r="E35" s="6">
        <v>14</v>
      </c>
      <c r="F35" s="6">
        <v>0</v>
      </c>
      <c r="G35" s="6">
        <v>16</v>
      </c>
      <c r="H35" s="6">
        <v>17</v>
      </c>
      <c r="I35" s="6">
        <v>10</v>
      </c>
      <c r="J35" s="6">
        <v>3</v>
      </c>
      <c r="K35" s="10"/>
      <c r="L35" s="10"/>
      <c r="M35" s="10"/>
      <c r="N35" s="10"/>
      <c r="O35" s="6">
        <v>0</v>
      </c>
      <c r="P35" s="8">
        <f t="shared" si="0"/>
        <v>65</v>
      </c>
    </row>
    <row r="36" spans="1:16" ht="20" customHeight="1">
      <c r="A36" s="4">
        <v>44864</v>
      </c>
      <c r="B36" s="10"/>
      <c r="C36" s="10"/>
      <c r="D36" s="6">
        <v>5</v>
      </c>
      <c r="E36" s="6">
        <v>10</v>
      </c>
      <c r="F36" s="6">
        <v>4</v>
      </c>
      <c r="G36" s="6">
        <v>13</v>
      </c>
      <c r="H36" s="6">
        <v>28</v>
      </c>
      <c r="I36" s="6">
        <v>10</v>
      </c>
      <c r="J36" s="6">
        <v>3</v>
      </c>
      <c r="K36" s="10"/>
      <c r="L36" s="10"/>
      <c r="M36" s="10"/>
      <c r="N36" s="10"/>
      <c r="O36" s="6">
        <v>0</v>
      </c>
      <c r="P36" s="8">
        <f t="shared" si="0"/>
        <v>73</v>
      </c>
    </row>
    <row r="37" spans="1:16" ht="20" customHeight="1">
      <c r="A37" s="4">
        <v>44865</v>
      </c>
      <c r="B37" s="10"/>
      <c r="C37" s="10"/>
      <c r="D37" s="6">
        <v>4</v>
      </c>
      <c r="E37" s="6">
        <v>8</v>
      </c>
      <c r="F37" s="6">
        <v>8</v>
      </c>
      <c r="G37" s="6">
        <v>21</v>
      </c>
      <c r="H37" s="6">
        <v>19</v>
      </c>
      <c r="I37" s="6">
        <v>13</v>
      </c>
      <c r="J37" s="6">
        <v>2</v>
      </c>
      <c r="K37" s="10"/>
      <c r="L37" s="10"/>
      <c r="M37" s="10"/>
      <c r="N37" s="10"/>
      <c r="O37" s="6">
        <v>0</v>
      </c>
      <c r="P37" s="8">
        <f t="shared" si="0"/>
        <v>75</v>
      </c>
    </row>
    <row r="38" spans="1:16" ht="20" customHeight="1">
      <c r="A38" s="4">
        <v>44866</v>
      </c>
      <c r="B38" s="10"/>
      <c r="C38" s="10"/>
      <c r="D38" s="6">
        <v>8</v>
      </c>
      <c r="E38" s="6">
        <v>15</v>
      </c>
      <c r="F38" s="6">
        <v>7</v>
      </c>
      <c r="G38" s="6">
        <v>13</v>
      </c>
      <c r="H38" s="6">
        <v>16</v>
      </c>
      <c r="I38" s="6">
        <v>13</v>
      </c>
      <c r="J38" s="6">
        <v>2</v>
      </c>
      <c r="K38" s="10"/>
      <c r="L38" s="10"/>
      <c r="M38" s="10"/>
      <c r="N38" s="10"/>
      <c r="O38" s="6">
        <v>0</v>
      </c>
      <c r="P38" s="8">
        <f t="shared" si="0"/>
        <v>74</v>
      </c>
    </row>
    <row r="39" spans="1:16" ht="20" customHeight="1">
      <c r="A39" s="4">
        <v>44867</v>
      </c>
      <c r="B39" s="10"/>
      <c r="C39" s="10"/>
      <c r="D39" s="6">
        <v>4</v>
      </c>
      <c r="E39" s="6">
        <v>16</v>
      </c>
      <c r="F39" s="6">
        <v>8</v>
      </c>
      <c r="G39" s="6">
        <v>16</v>
      </c>
      <c r="H39" s="6">
        <v>29</v>
      </c>
      <c r="I39" s="6">
        <v>11</v>
      </c>
      <c r="J39" s="6">
        <v>1</v>
      </c>
      <c r="K39" s="10"/>
      <c r="L39" s="10"/>
      <c r="M39" s="10"/>
      <c r="N39" s="10"/>
      <c r="O39" s="6">
        <v>0</v>
      </c>
      <c r="P39" s="8">
        <f t="shared" si="0"/>
        <v>85</v>
      </c>
    </row>
    <row r="40" spans="1:16" ht="20" customHeight="1">
      <c r="A40" s="4">
        <v>44868</v>
      </c>
      <c r="B40" s="10"/>
      <c r="C40" s="10"/>
      <c r="D40" s="6">
        <v>1</v>
      </c>
      <c r="E40" s="6">
        <v>16</v>
      </c>
      <c r="F40" s="6">
        <v>8</v>
      </c>
      <c r="G40" s="6">
        <v>21</v>
      </c>
      <c r="H40" s="6">
        <v>21</v>
      </c>
      <c r="I40" s="6">
        <v>12</v>
      </c>
      <c r="J40" s="6">
        <v>1</v>
      </c>
      <c r="K40" s="10"/>
      <c r="L40" s="10"/>
      <c r="M40" s="10"/>
      <c r="N40" s="10"/>
      <c r="O40" s="6">
        <v>0</v>
      </c>
      <c r="P40" s="8">
        <f t="shared" si="0"/>
        <v>80</v>
      </c>
    </row>
    <row r="41" spans="1:16" ht="20" customHeight="1">
      <c r="A41" s="4">
        <v>44869</v>
      </c>
      <c r="B41" s="10"/>
      <c r="C41" s="10"/>
      <c r="D41" s="6">
        <v>2</v>
      </c>
      <c r="E41" s="6">
        <v>27</v>
      </c>
      <c r="F41" s="6">
        <v>7</v>
      </c>
      <c r="G41" s="6">
        <v>24</v>
      </c>
      <c r="H41" s="6">
        <v>23</v>
      </c>
      <c r="I41" s="6">
        <v>11</v>
      </c>
      <c r="J41" s="6">
        <v>0</v>
      </c>
      <c r="K41" s="10"/>
      <c r="L41" s="10"/>
      <c r="M41" s="10"/>
      <c r="N41" s="10"/>
      <c r="O41" s="6">
        <v>0</v>
      </c>
      <c r="P41" s="8">
        <f t="shared" si="0"/>
        <v>94</v>
      </c>
    </row>
    <row r="42" spans="1:16" ht="20" customHeight="1">
      <c r="A42" s="4">
        <v>44870</v>
      </c>
      <c r="B42" s="10"/>
      <c r="C42" s="10"/>
      <c r="D42" s="6">
        <v>11</v>
      </c>
      <c r="E42" s="6">
        <v>23</v>
      </c>
      <c r="F42" s="6">
        <v>4</v>
      </c>
      <c r="G42" s="6">
        <v>19</v>
      </c>
      <c r="H42" s="6">
        <v>39</v>
      </c>
      <c r="I42" s="6">
        <v>13</v>
      </c>
      <c r="J42" s="6">
        <v>3</v>
      </c>
      <c r="K42" s="10"/>
      <c r="L42" s="10"/>
      <c r="M42" s="10"/>
      <c r="N42" s="10"/>
      <c r="O42" s="6">
        <v>0</v>
      </c>
      <c r="P42" s="8">
        <f t="shared" si="0"/>
        <v>112</v>
      </c>
    </row>
    <row r="43" spans="1:16" ht="20" customHeight="1">
      <c r="A43" s="4">
        <v>44871</v>
      </c>
      <c r="B43" s="10"/>
      <c r="C43" s="10"/>
      <c r="D43" s="6">
        <v>10</v>
      </c>
      <c r="E43" s="6">
        <v>20</v>
      </c>
      <c r="F43" s="6">
        <v>17</v>
      </c>
      <c r="G43" s="6">
        <v>14</v>
      </c>
      <c r="H43" s="6">
        <v>36</v>
      </c>
      <c r="I43" s="6">
        <v>9</v>
      </c>
      <c r="J43" s="6">
        <v>3</v>
      </c>
      <c r="K43" s="10"/>
      <c r="L43" s="10"/>
      <c r="M43" s="10"/>
      <c r="N43" s="10"/>
      <c r="O43" s="6">
        <v>0</v>
      </c>
      <c r="P43" s="8">
        <f t="shared" si="0"/>
        <v>109</v>
      </c>
    </row>
    <row r="44" spans="1:16" ht="20" customHeight="1">
      <c r="A44" s="4">
        <v>44872</v>
      </c>
      <c r="B44" s="10"/>
      <c r="C44" s="10"/>
      <c r="D44" s="6">
        <v>6</v>
      </c>
      <c r="E44" s="6">
        <v>33</v>
      </c>
      <c r="F44" s="6">
        <v>5</v>
      </c>
      <c r="G44" s="6">
        <v>25</v>
      </c>
      <c r="H44" s="6">
        <v>22</v>
      </c>
      <c r="I44" s="6">
        <v>12</v>
      </c>
      <c r="J44" s="6">
        <v>2</v>
      </c>
      <c r="K44" s="10"/>
      <c r="L44" s="10"/>
      <c r="M44" s="10"/>
      <c r="N44" s="10"/>
      <c r="O44" s="6">
        <v>0</v>
      </c>
      <c r="P44" s="8">
        <f t="shared" si="0"/>
        <v>105</v>
      </c>
    </row>
    <row r="45" spans="1:16" ht="20" customHeight="1">
      <c r="A45" s="4">
        <v>44873</v>
      </c>
      <c r="B45" s="10"/>
      <c r="C45" s="10"/>
      <c r="D45" s="6">
        <v>7</v>
      </c>
      <c r="E45" s="6">
        <v>40</v>
      </c>
      <c r="F45" s="6">
        <v>11</v>
      </c>
      <c r="G45" s="6">
        <v>27</v>
      </c>
      <c r="H45" s="6">
        <v>25</v>
      </c>
      <c r="I45" s="6">
        <v>11</v>
      </c>
      <c r="J45" s="6">
        <v>7</v>
      </c>
      <c r="K45" s="10"/>
      <c r="L45" s="10"/>
      <c r="M45" s="10"/>
      <c r="N45" s="10"/>
      <c r="O45" s="6">
        <v>0</v>
      </c>
      <c r="P45" s="8">
        <f t="shared" si="0"/>
        <v>128</v>
      </c>
    </row>
    <row r="46" spans="1:16" ht="20" customHeight="1">
      <c r="A46" s="4">
        <v>44874</v>
      </c>
      <c r="B46" s="10"/>
      <c r="C46" s="10"/>
      <c r="D46" s="6">
        <v>5</v>
      </c>
      <c r="E46" s="6">
        <v>40</v>
      </c>
      <c r="F46" s="6">
        <v>23</v>
      </c>
      <c r="G46" s="6">
        <v>31</v>
      </c>
      <c r="H46" s="6">
        <v>35</v>
      </c>
      <c r="I46" s="6">
        <v>12</v>
      </c>
      <c r="J46" s="6">
        <v>3</v>
      </c>
      <c r="K46" s="10"/>
      <c r="L46" s="10"/>
      <c r="M46" s="10"/>
      <c r="N46" s="10"/>
      <c r="O46" s="6">
        <v>0</v>
      </c>
      <c r="P46" s="8">
        <f t="shared" si="0"/>
        <v>149</v>
      </c>
    </row>
    <row r="47" spans="1:16" ht="20" customHeight="1">
      <c r="A47" s="4">
        <v>44875</v>
      </c>
      <c r="B47" s="10"/>
      <c r="C47" s="10"/>
      <c r="D47" s="6">
        <v>7</v>
      </c>
      <c r="E47" s="6">
        <v>20</v>
      </c>
      <c r="F47" s="6">
        <v>15</v>
      </c>
      <c r="G47" s="6">
        <v>16</v>
      </c>
      <c r="H47" s="6">
        <v>26</v>
      </c>
      <c r="I47" s="6">
        <v>7</v>
      </c>
      <c r="J47" s="6">
        <v>2</v>
      </c>
      <c r="K47" s="10"/>
      <c r="L47" s="10"/>
      <c r="M47" s="10"/>
      <c r="N47" s="10"/>
      <c r="O47" s="6">
        <v>0</v>
      </c>
      <c r="P47" s="8">
        <f t="shared" si="0"/>
        <v>93</v>
      </c>
    </row>
    <row r="48" spans="1:16" ht="20" customHeight="1">
      <c r="A48" s="4">
        <v>44876</v>
      </c>
      <c r="B48" s="10"/>
      <c r="C48" s="10"/>
      <c r="D48" s="6">
        <v>4</v>
      </c>
      <c r="E48" s="6">
        <v>26</v>
      </c>
      <c r="F48" s="6">
        <v>16</v>
      </c>
      <c r="G48" s="6">
        <v>27</v>
      </c>
      <c r="H48" s="6">
        <v>26</v>
      </c>
      <c r="I48" s="6">
        <v>12</v>
      </c>
      <c r="J48" s="6">
        <v>6</v>
      </c>
      <c r="K48" s="10"/>
      <c r="L48" s="10"/>
      <c r="M48" s="10"/>
      <c r="N48" s="10"/>
      <c r="O48" s="6">
        <v>0</v>
      </c>
      <c r="P48" s="8">
        <f t="shared" si="0"/>
        <v>117</v>
      </c>
    </row>
    <row r="49" spans="1:16" ht="20" customHeight="1">
      <c r="A49" s="4">
        <v>44877</v>
      </c>
      <c r="B49" s="10"/>
      <c r="C49" s="10"/>
      <c r="D49" s="6">
        <v>10</v>
      </c>
      <c r="E49" s="6">
        <v>28</v>
      </c>
      <c r="F49" s="6">
        <v>16</v>
      </c>
      <c r="G49" s="6">
        <v>18</v>
      </c>
      <c r="H49" s="6">
        <v>33</v>
      </c>
      <c r="I49" s="6">
        <v>8</v>
      </c>
      <c r="J49" s="6">
        <v>3</v>
      </c>
      <c r="K49" s="10"/>
      <c r="L49" s="10"/>
      <c r="M49" s="10"/>
      <c r="N49" s="10"/>
      <c r="O49" s="6">
        <v>0</v>
      </c>
      <c r="P49" s="8">
        <f t="shared" si="0"/>
        <v>116</v>
      </c>
    </row>
    <row r="50" spans="1:16" ht="20" customHeight="1">
      <c r="A50" s="4">
        <v>44878</v>
      </c>
      <c r="B50" s="10"/>
      <c r="C50" s="10"/>
      <c r="D50" s="6">
        <v>4</v>
      </c>
      <c r="E50" s="6">
        <v>24</v>
      </c>
      <c r="F50" s="6">
        <v>14</v>
      </c>
      <c r="G50" s="6">
        <v>19</v>
      </c>
      <c r="H50" s="6">
        <v>40</v>
      </c>
      <c r="I50" s="6">
        <v>11</v>
      </c>
      <c r="J50" s="6">
        <v>5</v>
      </c>
      <c r="K50" s="10"/>
      <c r="L50" s="10"/>
      <c r="M50" s="10"/>
      <c r="N50" s="10"/>
      <c r="O50" s="6">
        <v>0</v>
      </c>
      <c r="P50" s="8">
        <f t="shared" si="0"/>
        <v>117</v>
      </c>
    </row>
    <row r="51" spans="1:16" ht="20" customHeight="1">
      <c r="A51" s="4">
        <v>44879</v>
      </c>
      <c r="B51" s="10"/>
      <c r="C51" s="10"/>
      <c r="D51" s="6">
        <v>17</v>
      </c>
      <c r="E51" s="6">
        <v>27</v>
      </c>
      <c r="F51" s="6">
        <v>10</v>
      </c>
      <c r="G51" s="6">
        <v>22</v>
      </c>
      <c r="H51" s="6">
        <v>36</v>
      </c>
      <c r="I51" s="6">
        <v>19</v>
      </c>
      <c r="J51" s="6">
        <v>4</v>
      </c>
      <c r="K51" s="10"/>
      <c r="L51" s="10"/>
      <c r="M51" s="10"/>
      <c r="N51" s="10"/>
      <c r="O51" s="6">
        <v>0</v>
      </c>
      <c r="P51" s="8">
        <f t="shared" si="0"/>
        <v>135</v>
      </c>
    </row>
    <row r="52" spans="1:16" ht="20" customHeight="1">
      <c r="A52" s="4">
        <v>44880</v>
      </c>
      <c r="B52" s="10"/>
      <c r="C52" s="10"/>
      <c r="D52" s="6">
        <v>9</v>
      </c>
      <c r="E52" s="6">
        <v>37</v>
      </c>
      <c r="F52" s="6">
        <v>14</v>
      </c>
      <c r="G52" s="6">
        <v>24</v>
      </c>
      <c r="H52" s="6">
        <v>29</v>
      </c>
      <c r="I52" s="6">
        <v>11</v>
      </c>
      <c r="J52" s="6">
        <v>4</v>
      </c>
      <c r="K52" s="10"/>
      <c r="L52" s="10"/>
      <c r="M52" s="10"/>
      <c r="N52" s="10"/>
      <c r="O52" s="6">
        <v>0</v>
      </c>
      <c r="P52" s="8">
        <f t="shared" si="0"/>
        <v>128</v>
      </c>
    </row>
    <row r="53" spans="1:16" ht="20" customHeight="1">
      <c r="A53" s="4">
        <v>44881</v>
      </c>
      <c r="B53" s="10"/>
      <c r="C53" s="10"/>
      <c r="D53" s="6">
        <v>10</v>
      </c>
      <c r="E53" s="6">
        <v>39</v>
      </c>
      <c r="F53" s="6">
        <v>17</v>
      </c>
      <c r="G53" s="6">
        <v>46</v>
      </c>
      <c r="H53" s="6">
        <v>40</v>
      </c>
      <c r="I53" s="6">
        <v>19</v>
      </c>
      <c r="J53" s="6">
        <v>6</v>
      </c>
      <c r="K53" s="10"/>
      <c r="L53" s="10"/>
      <c r="M53" s="10"/>
      <c r="N53" s="10"/>
      <c r="O53" s="6">
        <v>0</v>
      </c>
      <c r="P53" s="8">
        <f t="shared" si="0"/>
        <v>177</v>
      </c>
    </row>
    <row r="54" spans="1:16" ht="20" customHeight="1">
      <c r="A54" s="4">
        <v>44882</v>
      </c>
      <c r="B54" s="10"/>
      <c r="C54" s="10"/>
      <c r="D54" s="6">
        <v>13</v>
      </c>
      <c r="E54" s="6">
        <v>39</v>
      </c>
      <c r="F54" s="6">
        <v>15</v>
      </c>
      <c r="G54" s="6">
        <v>36</v>
      </c>
      <c r="H54" s="6">
        <v>41</v>
      </c>
      <c r="I54" s="6">
        <v>19</v>
      </c>
      <c r="J54" s="6">
        <v>4</v>
      </c>
      <c r="K54" s="10"/>
      <c r="L54" s="10"/>
      <c r="M54" s="10"/>
      <c r="N54" s="10"/>
      <c r="O54" s="6">
        <v>0</v>
      </c>
      <c r="P54" s="8">
        <f t="shared" si="0"/>
        <v>167</v>
      </c>
    </row>
    <row r="55" spans="1:16" ht="20" customHeight="1">
      <c r="A55" s="4">
        <v>44883</v>
      </c>
      <c r="B55" s="10"/>
      <c r="C55" s="10"/>
      <c r="D55" s="6">
        <v>7</v>
      </c>
      <c r="E55" s="6">
        <v>34</v>
      </c>
      <c r="F55" s="6">
        <v>32</v>
      </c>
      <c r="G55" s="6">
        <v>26</v>
      </c>
      <c r="H55" s="6">
        <v>42</v>
      </c>
      <c r="I55" s="6">
        <v>18</v>
      </c>
      <c r="J55" s="6">
        <v>10</v>
      </c>
      <c r="K55" s="10"/>
      <c r="L55" s="10"/>
      <c r="M55" s="10"/>
      <c r="N55" s="10"/>
      <c r="O55" s="6">
        <v>0</v>
      </c>
      <c r="P55" s="8">
        <f t="shared" si="0"/>
        <v>169</v>
      </c>
    </row>
    <row r="56" spans="1:16" ht="20" customHeight="1">
      <c r="A56" s="4">
        <v>44884</v>
      </c>
      <c r="B56" s="10"/>
      <c r="C56" s="10"/>
      <c r="D56" s="6">
        <v>12</v>
      </c>
      <c r="E56" s="6">
        <v>33</v>
      </c>
      <c r="F56" s="6">
        <v>24</v>
      </c>
      <c r="G56" s="6">
        <v>38</v>
      </c>
      <c r="H56" s="6">
        <v>47</v>
      </c>
      <c r="I56" s="6">
        <v>13</v>
      </c>
      <c r="J56" s="6">
        <v>12</v>
      </c>
      <c r="K56" s="10"/>
      <c r="L56" s="10"/>
      <c r="M56" s="10"/>
      <c r="N56" s="10"/>
      <c r="O56" s="6">
        <v>0</v>
      </c>
      <c r="P56" s="8">
        <f t="shared" si="0"/>
        <v>179</v>
      </c>
    </row>
    <row r="57" spans="1:16" ht="20" customHeight="1">
      <c r="A57" s="4">
        <v>44885</v>
      </c>
      <c r="B57" s="10"/>
      <c r="C57" s="10"/>
      <c r="D57" s="6">
        <v>8</v>
      </c>
      <c r="E57" s="6">
        <v>25</v>
      </c>
      <c r="F57" s="6">
        <v>9</v>
      </c>
      <c r="G57" s="6">
        <v>29</v>
      </c>
      <c r="H57" s="6">
        <v>44</v>
      </c>
      <c r="I57" s="6">
        <v>10</v>
      </c>
      <c r="J57" s="6">
        <v>6</v>
      </c>
      <c r="K57" s="10"/>
      <c r="L57" s="10"/>
      <c r="M57" s="10"/>
      <c r="N57" s="10"/>
      <c r="O57" s="6">
        <v>0</v>
      </c>
      <c r="P57" s="8">
        <f t="shared" si="0"/>
        <v>131</v>
      </c>
    </row>
    <row r="58" spans="1:16" ht="20" customHeight="1">
      <c r="A58" s="4">
        <v>44886</v>
      </c>
      <c r="B58" s="10"/>
      <c r="C58" s="10"/>
      <c r="D58" s="6">
        <v>8</v>
      </c>
      <c r="E58" s="6">
        <v>31</v>
      </c>
      <c r="F58" s="6">
        <v>12</v>
      </c>
      <c r="G58" s="6">
        <v>36</v>
      </c>
      <c r="H58" s="6">
        <v>54</v>
      </c>
      <c r="I58" s="6">
        <v>19</v>
      </c>
      <c r="J58" s="6">
        <v>9</v>
      </c>
      <c r="K58" s="10"/>
      <c r="L58" s="10"/>
      <c r="M58" s="10"/>
      <c r="N58" s="10"/>
      <c r="O58" s="6">
        <v>0</v>
      </c>
      <c r="P58" s="8">
        <f t="shared" si="0"/>
        <v>169</v>
      </c>
    </row>
    <row r="59" spans="1:16" ht="20" customHeight="1">
      <c r="A59" s="4">
        <v>44887</v>
      </c>
      <c r="B59" s="10"/>
      <c r="C59" s="10"/>
      <c r="D59" s="6">
        <v>12</v>
      </c>
      <c r="E59" s="6">
        <v>31</v>
      </c>
      <c r="F59" s="6">
        <v>26</v>
      </c>
      <c r="G59" s="6">
        <v>35</v>
      </c>
      <c r="H59" s="6">
        <v>46</v>
      </c>
      <c r="I59" s="6">
        <v>24</v>
      </c>
      <c r="J59" s="6">
        <v>7</v>
      </c>
      <c r="K59" s="10"/>
      <c r="L59" s="10"/>
      <c r="M59" s="10"/>
      <c r="N59" s="10"/>
      <c r="O59" s="6">
        <v>0</v>
      </c>
      <c r="P59" s="8">
        <f t="shared" si="0"/>
        <v>181</v>
      </c>
    </row>
    <row r="60" spans="1:16" ht="20" customHeight="1">
      <c r="A60" s="4">
        <v>44888</v>
      </c>
      <c r="B60" s="10"/>
      <c r="C60" s="10"/>
      <c r="D60" s="6">
        <v>15</v>
      </c>
      <c r="E60" s="6">
        <v>41</v>
      </c>
      <c r="F60" s="6">
        <v>29</v>
      </c>
      <c r="G60" s="6">
        <v>57</v>
      </c>
      <c r="H60" s="6">
        <v>74</v>
      </c>
      <c r="I60" s="6">
        <v>39</v>
      </c>
      <c r="J60" s="6">
        <v>10</v>
      </c>
      <c r="K60" s="10"/>
      <c r="L60" s="10"/>
      <c r="M60" s="10"/>
      <c r="N60" s="10"/>
      <c r="O60" s="6">
        <v>0</v>
      </c>
      <c r="P60" s="8">
        <f t="shared" si="0"/>
        <v>265</v>
      </c>
    </row>
    <row r="61" spans="1:16" ht="20" customHeight="1">
      <c r="A61" s="4">
        <v>44889</v>
      </c>
      <c r="B61" s="10"/>
      <c r="C61" s="10"/>
      <c r="D61" s="6">
        <v>10</v>
      </c>
      <c r="E61" s="6">
        <v>40</v>
      </c>
      <c r="F61" s="6">
        <v>20</v>
      </c>
      <c r="G61" s="6">
        <v>42</v>
      </c>
      <c r="H61" s="6">
        <v>42</v>
      </c>
      <c r="I61" s="6">
        <v>24</v>
      </c>
      <c r="J61" s="6">
        <v>8</v>
      </c>
      <c r="K61" s="10"/>
      <c r="L61" s="10"/>
      <c r="M61" s="10"/>
      <c r="N61" s="10"/>
      <c r="O61" s="6">
        <v>0</v>
      </c>
      <c r="P61" s="8">
        <f t="shared" si="0"/>
        <v>186</v>
      </c>
    </row>
    <row r="62" spans="1:16" ht="20" customHeight="1">
      <c r="A62" s="4">
        <v>44890</v>
      </c>
      <c r="B62" s="10"/>
      <c r="C62" s="10"/>
      <c r="D62" s="6">
        <v>10</v>
      </c>
      <c r="E62" s="6">
        <v>28</v>
      </c>
      <c r="F62" s="6">
        <v>27</v>
      </c>
      <c r="G62" s="6">
        <v>42</v>
      </c>
      <c r="H62" s="6">
        <v>63</v>
      </c>
      <c r="I62" s="6">
        <v>26</v>
      </c>
      <c r="J62" s="6">
        <v>9</v>
      </c>
      <c r="K62" s="10"/>
      <c r="L62" s="10"/>
      <c r="M62" s="10"/>
      <c r="N62" s="10"/>
      <c r="O62" s="6">
        <v>0</v>
      </c>
      <c r="P62" s="8">
        <f t="shared" si="0"/>
        <v>205</v>
      </c>
    </row>
    <row r="63" spans="1:16" ht="20" customHeight="1">
      <c r="A63" s="4">
        <v>44891</v>
      </c>
      <c r="B63" s="10"/>
      <c r="C63" s="10"/>
      <c r="D63" s="6">
        <v>18</v>
      </c>
      <c r="E63" s="6">
        <v>38</v>
      </c>
      <c r="F63" s="6">
        <v>40</v>
      </c>
      <c r="G63" s="6">
        <v>61</v>
      </c>
      <c r="H63" s="6">
        <v>57</v>
      </c>
      <c r="I63" s="6">
        <v>34</v>
      </c>
      <c r="J63" s="6">
        <v>13</v>
      </c>
      <c r="K63" s="10"/>
      <c r="L63" s="10"/>
      <c r="M63" s="10"/>
      <c r="N63" s="10"/>
      <c r="O63" s="6">
        <v>0</v>
      </c>
      <c r="P63" s="8">
        <f t="shared" si="0"/>
        <v>261</v>
      </c>
    </row>
    <row r="64" spans="1:16" ht="20" customHeight="1">
      <c r="A64" s="4">
        <v>44892</v>
      </c>
      <c r="B64" s="10"/>
      <c r="C64" s="10"/>
      <c r="D64" s="6">
        <v>6</v>
      </c>
      <c r="E64" s="6">
        <v>21</v>
      </c>
      <c r="F64" s="6">
        <v>30</v>
      </c>
      <c r="G64" s="6">
        <v>48</v>
      </c>
      <c r="H64" s="6">
        <v>47</v>
      </c>
      <c r="I64" s="6">
        <v>36</v>
      </c>
      <c r="J64" s="6">
        <v>12</v>
      </c>
      <c r="K64" s="10"/>
      <c r="L64" s="10"/>
      <c r="M64" s="10"/>
      <c r="N64" s="10"/>
      <c r="O64" s="6">
        <v>0</v>
      </c>
      <c r="P64" s="8">
        <f t="shared" si="0"/>
        <v>200</v>
      </c>
    </row>
    <row r="65" spans="1:16" ht="20" customHeight="1">
      <c r="A65" s="4">
        <v>44893</v>
      </c>
      <c r="B65" s="10"/>
      <c r="C65" s="10"/>
      <c r="D65" s="6">
        <v>8</v>
      </c>
      <c r="E65" s="6">
        <v>25</v>
      </c>
      <c r="F65" s="6">
        <v>29</v>
      </c>
      <c r="G65" s="6">
        <v>48</v>
      </c>
      <c r="H65" s="6">
        <v>63</v>
      </c>
      <c r="I65" s="6">
        <v>22</v>
      </c>
      <c r="J65" s="6">
        <v>7</v>
      </c>
      <c r="K65" s="10"/>
      <c r="L65" s="10"/>
      <c r="M65" s="10"/>
      <c r="N65" s="10"/>
      <c r="O65" s="6">
        <v>0</v>
      </c>
      <c r="P65" s="8">
        <f t="shared" si="0"/>
        <v>202</v>
      </c>
    </row>
    <row r="66" spans="1:16" ht="20" customHeight="1">
      <c r="A66" s="4">
        <v>44894</v>
      </c>
      <c r="B66" s="10"/>
      <c r="C66" s="10"/>
      <c r="D66" s="6">
        <v>5</v>
      </c>
      <c r="E66" s="6">
        <v>26</v>
      </c>
      <c r="F66" s="6">
        <v>17</v>
      </c>
      <c r="G66" s="6">
        <v>50</v>
      </c>
      <c r="H66" s="6">
        <v>57</v>
      </c>
      <c r="I66" s="6">
        <v>32</v>
      </c>
      <c r="J66" s="6">
        <v>7</v>
      </c>
      <c r="K66" s="10"/>
      <c r="L66" s="10"/>
      <c r="M66" s="10"/>
      <c r="N66" s="10"/>
      <c r="O66" s="6">
        <v>0</v>
      </c>
      <c r="P66" s="8">
        <f t="shared" si="0"/>
        <v>194</v>
      </c>
    </row>
    <row r="67" spans="1:16" ht="20" customHeight="1">
      <c r="A67" s="4">
        <v>44895</v>
      </c>
      <c r="B67" s="10"/>
      <c r="C67" s="10"/>
      <c r="D67" s="6">
        <v>12</v>
      </c>
      <c r="E67" s="6">
        <v>49</v>
      </c>
      <c r="F67" s="6">
        <v>28</v>
      </c>
      <c r="G67" s="6">
        <v>56</v>
      </c>
      <c r="H67" s="6">
        <v>65</v>
      </c>
      <c r="I67" s="6">
        <v>33</v>
      </c>
      <c r="J67" s="6">
        <v>11</v>
      </c>
      <c r="K67" s="10"/>
      <c r="L67" s="10"/>
      <c r="M67" s="10"/>
      <c r="N67" s="10"/>
      <c r="O67" s="6">
        <v>0</v>
      </c>
      <c r="P67" s="8">
        <f t="shared" ref="P67:P130" si="1">SUM(B67:O67)</f>
        <v>254</v>
      </c>
    </row>
    <row r="68" spans="1:16" ht="20" customHeight="1">
      <c r="A68" s="4">
        <v>44896</v>
      </c>
      <c r="B68" s="10"/>
      <c r="C68" s="10"/>
      <c r="D68" s="6">
        <v>6</v>
      </c>
      <c r="E68" s="6">
        <v>25</v>
      </c>
      <c r="F68" s="6">
        <v>27</v>
      </c>
      <c r="G68" s="6">
        <v>57</v>
      </c>
      <c r="H68" s="6">
        <v>50</v>
      </c>
      <c r="I68" s="6">
        <v>23</v>
      </c>
      <c r="J68" s="6">
        <v>14</v>
      </c>
      <c r="K68" s="10"/>
      <c r="L68" s="10"/>
      <c r="M68" s="10"/>
      <c r="N68" s="10"/>
      <c r="O68" s="6">
        <v>0</v>
      </c>
      <c r="P68" s="8">
        <f t="shared" si="1"/>
        <v>202</v>
      </c>
    </row>
    <row r="69" spans="1:16" ht="20" customHeight="1">
      <c r="A69" s="4">
        <v>44897</v>
      </c>
      <c r="B69" s="10"/>
      <c r="C69" s="10"/>
      <c r="D69" s="6">
        <v>5</v>
      </c>
      <c r="E69" s="6">
        <v>33</v>
      </c>
      <c r="F69" s="6">
        <v>31</v>
      </c>
      <c r="G69" s="6">
        <v>46</v>
      </c>
      <c r="H69" s="6">
        <v>47</v>
      </c>
      <c r="I69" s="6">
        <v>35</v>
      </c>
      <c r="J69" s="6">
        <v>9</v>
      </c>
      <c r="K69" s="10"/>
      <c r="L69" s="10"/>
      <c r="M69" s="10"/>
      <c r="N69" s="10"/>
      <c r="O69" s="6">
        <v>0</v>
      </c>
      <c r="P69" s="8">
        <f t="shared" si="1"/>
        <v>206</v>
      </c>
    </row>
    <row r="70" spans="1:16" ht="20" customHeight="1">
      <c r="A70" s="4">
        <v>44898</v>
      </c>
      <c r="B70" s="10"/>
      <c r="C70" s="10"/>
      <c r="D70" s="6">
        <v>6</v>
      </c>
      <c r="E70" s="6">
        <v>21</v>
      </c>
      <c r="F70" s="6">
        <v>25</v>
      </c>
      <c r="G70" s="6">
        <v>39</v>
      </c>
      <c r="H70" s="6">
        <v>52</v>
      </c>
      <c r="I70" s="6">
        <v>21</v>
      </c>
      <c r="J70" s="6">
        <v>7</v>
      </c>
      <c r="K70" s="10"/>
      <c r="L70" s="10"/>
      <c r="M70" s="10"/>
      <c r="N70" s="10"/>
      <c r="O70" s="6">
        <v>0</v>
      </c>
      <c r="P70" s="8">
        <f t="shared" si="1"/>
        <v>171</v>
      </c>
    </row>
    <row r="71" spans="1:16" ht="20" customHeight="1">
      <c r="A71" s="4">
        <v>44899</v>
      </c>
      <c r="B71" s="10"/>
      <c r="C71" s="10"/>
      <c r="D71" s="6">
        <v>10</v>
      </c>
      <c r="E71" s="6">
        <v>29</v>
      </c>
      <c r="F71" s="6">
        <v>31</v>
      </c>
      <c r="G71" s="6">
        <v>38</v>
      </c>
      <c r="H71" s="6">
        <v>56</v>
      </c>
      <c r="I71" s="6">
        <v>25</v>
      </c>
      <c r="J71" s="6">
        <v>6</v>
      </c>
      <c r="K71" s="10"/>
      <c r="L71" s="10"/>
      <c r="M71" s="10"/>
      <c r="N71" s="10"/>
      <c r="O71" s="6">
        <v>0</v>
      </c>
      <c r="P71" s="8">
        <f t="shared" si="1"/>
        <v>195</v>
      </c>
    </row>
    <row r="72" spans="1:16" ht="20" customHeight="1">
      <c r="A72" s="4">
        <v>44900</v>
      </c>
      <c r="B72" s="10"/>
      <c r="C72" s="10"/>
      <c r="D72" s="6">
        <v>15</v>
      </c>
      <c r="E72" s="6">
        <v>28</v>
      </c>
      <c r="F72" s="6">
        <v>27</v>
      </c>
      <c r="G72" s="6">
        <v>42</v>
      </c>
      <c r="H72" s="6">
        <v>41</v>
      </c>
      <c r="I72" s="6">
        <v>28</v>
      </c>
      <c r="J72" s="6">
        <v>11</v>
      </c>
      <c r="K72" s="10"/>
      <c r="L72" s="10"/>
      <c r="M72" s="10"/>
      <c r="N72" s="10"/>
      <c r="O72" s="6">
        <v>0</v>
      </c>
      <c r="P72" s="8">
        <f t="shared" si="1"/>
        <v>192</v>
      </c>
    </row>
    <row r="73" spans="1:16" ht="20" customHeight="1">
      <c r="A73" s="4">
        <v>44901</v>
      </c>
      <c r="B73" s="10"/>
      <c r="C73" s="10"/>
      <c r="D73" s="6">
        <v>19</v>
      </c>
      <c r="E73" s="6">
        <v>36</v>
      </c>
      <c r="F73" s="6">
        <v>44</v>
      </c>
      <c r="G73" s="6">
        <v>45</v>
      </c>
      <c r="H73" s="6">
        <v>58</v>
      </c>
      <c r="I73" s="6">
        <v>29</v>
      </c>
      <c r="J73" s="6">
        <v>10</v>
      </c>
      <c r="K73" s="10"/>
      <c r="L73" s="10"/>
      <c r="M73" s="10"/>
      <c r="N73" s="10"/>
      <c r="O73" s="6">
        <v>0</v>
      </c>
      <c r="P73" s="8">
        <f t="shared" si="1"/>
        <v>241</v>
      </c>
    </row>
    <row r="74" spans="1:16" ht="20" customHeight="1">
      <c r="A74" s="4">
        <v>44902</v>
      </c>
      <c r="B74" s="10"/>
      <c r="C74" s="10"/>
      <c r="D74" s="6">
        <v>17</v>
      </c>
      <c r="E74" s="6">
        <v>43</v>
      </c>
      <c r="F74" s="6">
        <v>33</v>
      </c>
      <c r="G74" s="6">
        <v>69</v>
      </c>
      <c r="H74" s="6">
        <v>61</v>
      </c>
      <c r="I74" s="6">
        <v>49</v>
      </c>
      <c r="J74" s="6">
        <v>14</v>
      </c>
      <c r="K74" s="10"/>
      <c r="L74" s="10"/>
      <c r="M74" s="10"/>
      <c r="N74" s="10"/>
      <c r="O74" s="6">
        <v>0</v>
      </c>
      <c r="P74" s="8">
        <f t="shared" si="1"/>
        <v>286</v>
      </c>
    </row>
    <row r="75" spans="1:16" ht="20" customHeight="1">
      <c r="A75" s="4">
        <v>44903</v>
      </c>
      <c r="B75" s="10"/>
      <c r="C75" s="10"/>
      <c r="D75" s="6">
        <v>15</v>
      </c>
      <c r="E75" s="6">
        <v>26</v>
      </c>
      <c r="F75" s="6">
        <v>25</v>
      </c>
      <c r="G75" s="6">
        <v>47</v>
      </c>
      <c r="H75" s="6">
        <v>59</v>
      </c>
      <c r="I75" s="6">
        <v>29</v>
      </c>
      <c r="J75" s="6">
        <v>23</v>
      </c>
      <c r="K75" s="10"/>
      <c r="L75" s="10"/>
      <c r="M75" s="10"/>
      <c r="N75" s="10"/>
      <c r="O75" s="6">
        <v>0</v>
      </c>
      <c r="P75" s="8">
        <f t="shared" si="1"/>
        <v>224</v>
      </c>
    </row>
    <row r="76" spans="1:16" ht="20" customHeight="1">
      <c r="A76" s="4">
        <v>44904</v>
      </c>
      <c r="B76" s="10"/>
      <c r="C76" s="10"/>
      <c r="D76" s="6">
        <v>15</v>
      </c>
      <c r="E76" s="6">
        <v>27</v>
      </c>
      <c r="F76" s="6">
        <v>27</v>
      </c>
      <c r="G76" s="6">
        <v>53</v>
      </c>
      <c r="H76" s="6">
        <v>76</v>
      </c>
      <c r="I76" s="6">
        <v>37</v>
      </c>
      <c r="J76" s="6">
        <v>28</v>
      </c>
      <c r="K76" s="10"/>
      <c r="L76" s="10"/>
      <c r="M76" s="10"/>
      <c r="N76" s="10"/>
      <c r="O76" s="6">
        <v>0</v>
      </c>
      <c r="P76" s="8">
        <f t="shared" si="1"/>
        <v>263</v>
      </c>
    </row>
    <row r="77" spans="1:16" ht="20" customHeight="1">
      <c r="A77" s="4">
        <v>44905</v>
      </c>
      <c r="B77" s="10"/>
      <c r="C77" s="10"/>
      <c r="D77" s="6">
        <v>11</v>
      </c>
      <c r="E77" s="6">
        <v>32</v>
      </c>
      <c r="F77" s="6">
        <v>33</v>
      </c>
      <c r="G77" s="6">
        <v>54</v>
      </c>
      <c r="H77" s="6">
        <v>56</v>
      </c>
      <c r="I77" s="6">
        <v>25</v>
      </c>
      <c r="J77" s="6">
        <v>15</v>
      </c>
      <c r="K77" s="10"/>
      <c r="L77" s="10"/>
      <c r="M77" s="10"/>
      <c r="N77" s="10"/>
      <c r="O77" s="6">
        <v>0</v>
      </c>
      <c r="P77" s="8">
        <f t="shared" si="1"/>
        <v>226</v>
      </c>
    </row>
    <row r="78" spans="1:16" ht="20" customHeight="1">
      <c r="A78" s="4">
        <v>44906</v>
      </c>
      <c r="B78" s="10"/>
      <c r="C78" s="10"/>
      <c r="D78" s="6">
        <v>9</v>
      </c>
      <c r="E78" s="6">
        <v>35</v>
      </c>
      <c r="F78" s="6">
        <v>28</v>
      </c>
      <c r="G78" s="6">
        <v>56</v>
      </c>
      <c r="H78" s="6">
        <v>52</v>
      </c>
      <c r="I78" s="6">
        <v>25</v>
      </c>
      <c r="J78" s="6">
        <v>11</v>
      </c>
      <c r="K78" s="10"/>
      <c r="L78" s="10"/>
      <c r="M78" s="10"/>
      <c r="N78" s="10"/>
      <c r="O78" s="6">
        <v>0</v>
      </c>
      <c r="P78" s="8">
        <f t="shared" si="1"/>
        <v>216</v>
      </c>
    </row>
    <row r="79" spans="1:16" ht="20" customHeight="1">
      <c r="A79" s="4">
        <v>44907</v>
      </c>
      <c r="B79" s="10"/>
      <c r="C79" s="10"/>
      <c r="D79" s="6">
        <v>11</v>
      </c>
      <c r="E79" s="6">
        <v>38</v>
      </c>
      <c r="F79" s="6">
        <v>30</v>
      </c>
      <c r="G79" s="6">
        <v>38</v>
      </c>
      <c r="H79" s="6">
        <v>54</v>
      </c>
      <c r="I79" s="6">
        <v>28</v>
      </c>
      <c r="J79" s="6">
        <v>13</v>
      </c>
      <c r="K79" s="10"/>
      <c r="L79" s="10"/>
      <c r="M79" s="10"/>
      <c r="N79" s="10"/>
      <c r="O79" s="6">
        <v>0</v>
      </c>
      <c r="P79" s="8">
        <f t="shared" si="1"/>
        <v>212</v>
      </c>
    </row>
    <row r="80" spans="1:16" ht="20" customHeight="1">
      <c r="A80" s="4">
        <v>44908</v>
      </c>
      <c r="B80" s="10"/>
      <c r="C80" s="10"/>
      <c r="D80" s="6">
        <v>22</v>
      </c>
      <c r="E80" s="6">
        <v>49</v>
      </c>
      <c r="F80" s="6">
        <v>29</v>
      </c>
      <c r="G80" s="6">
        <v>61</v>
      </c>
      <c r="H80" s="6">
        <v>77</v>
      </c>
      <c r="I80" s="6">
        <v>34</v>
      </c>
      <c r="J80" s="6">
        <v>13</v>
      </c>
      <c r="K80" s="10"/>
      <c r="L80" s="10"/>
      <c r="M80" s="10"/>
      <c r="N80" s="10"/>
      <c r="O80" s="6">
        <v>0</v>
      </c>
      <c r="P80" s="8">
        <f t="shared" si="1"/>
        <v>285</v>
      </c>
    </row>
    <row r="81" spans="1:16" ht="20" customHeight="1">
      <c r="A81" s="4">
        <v>44909</v>
      </c>
      <c r="B81" s="10"/>
      <c r="C81" s="10"/>
      <c r="D81" s="6">
        <v>9</v>
      </c>
      <c r="E81" s="6">
        <v>57</v>
      </c>
      <c r="F81" s="6">
        <v>30</v>
      </c>
      <c r="G81" s="6">
        <v>72</v>
      </c>
      <c r="H81" s="6">
        <v>79</v>
      </c>
      <c r="I81" s="6">
        <v>37</v>
      </c>
      <c r="J81" s="6">
        <v>14</v>
      </c>
      <c r="K81" s="10"/>
      <c r="L81" s="10"/>
      <c r="M81" s="10"/>
      <c r="N81" s="10"/>
      <c r="O81" s="6">
        <v>0</v>
      </c>
      <c r="P81" s="8">
        <f t="shared" si="1"/>
        <v>298</v>
      </c>
    </row>
    <row r="82" spans="1:16" ht="20" customHeight="1">
      <c r="A82" s="4">
        <v>44910</v>
      </c>
      <c r="B82" s="10"/>
      <c r="C82" s="10"/>
      <c r="D82" s="6">
        <v>12</v>
      </c>
      <c r="E82" s="6">
        <v>36</v>
      </c>
      <c r="F82" s="6">
        <v>29</v>
      </c>
      <c r="G82" s="6">
        <v>55</v>
      </c>
      <c r="H82" s="6">
        <v>65</v>
      </c>
      <c r="I82" s="6">
        <v>33</v>
      </c>
      <c r="J82" s="6">
        <v>9</v>
      </c>
      <c r="K82" s="10"/>
      <c r="L82" s="10"/>
      <c r="M82" s="10"/>
      <c r="N82" s="10"/>
      <c r="O82" s="6">
        <v>0</v>
      </c>
      <c r="P82" s="8">
        <f t="shared" si="1"/>
        <v>239</v>
      </c>
    </row>
    <row r="83" spans="1:16" ht="20" customHeight="1">
      <c r="A83" s="4">
        <v>44911</v>
      </c>
      <c r="B83" s="10"/>
      <c r="C83" s="10"/>
      <c r="D83" s="6">
        <v>10</v>
      </c>
      <c r="E83" s="6">
        <v>30</v>
      </c>
      <c r="F83" s="6">
        <v>31</v>
      </c>
      <c r="G83" s="6">
        <v>46</v>
      </c>
      <c r="H83" s="6">
        <v>60</v>
      </c>
      <c r="I83" s="6">
        <v>24</v>
      </c>
      <c r="J83" s="6">
        <v>11</v>
      </c>
      <c r="K83" s="10"/>
      <c r="L83" s="10"/>
      <c r="M83" s="10"/>
      <c r="N83" s="10"/>
      <c r="O83" s="6">
        <v>0</v>
      </c>
      <c r="P83" s="8">
        <f t="shared" si="1"/>
        <v>212</v>
      </c>
    </row>
    <row r="84" spans="1:16" ht="20" customHeight="1">
      <c r="A84" s="4">
        <v>44912</v>
      </c>
      <c r="B84" s="10"/>
      <c r="C84" s="10"/>
      <c r="D84" s="6">
        <v>10</v>
      </c>
      <c r="E84" s="6">
        <v>40</v>
      </c>
      <c r="F84" s="6">
        <v>24</v>
      </c>
      <c r="G84" s="6">
        <v>55</v>
      </c>
      <c r="H84" s="6">
        <v>80</v>
      </c>
      <c r="I84" s="6">
        <v>29</v>
      </c>
      <c r="J84" s="6">
        <v>9</v>
      </c>
      <c r="K84" s="10"/>
      <c r="L84" s="10"/>
      <c r="M84" s="10"/>
      <c r="N84" s="10"/>
      <c r="O84" s="6">
        <v>0</v>
      </c>
      <c r="P84" s="8">
        <f t="shared" si="1"/>
        <v>247</v>
      </c>
    </row>
    <row r="85" spans="1:16" ht="20" customHeight="1">
      <c r="A85" s="4">
        <v>44913</v>
      </c>
      <c r="B85" s="10"/>
      <c r="C85" s="10"/>
      <c r="D85" s="6">
        <v>7</v>
      </c>
      <c r="E85" s="6">
        <v>36</v>
      </c>
      <c r="F85" s="6">
        <v>31</v>
      </c>
      <c r="G85" s="6">
        <v>36</v>
      </c>
      <c r="H85" s="6">
        <v>43</v>
      </c>
      <c r="I85" s="6">
        <v>25</v>
      </c>
      <c r="J85" s="6">
        <v>7</v>
      </c>
      <c r="K85" s="10"/>
      <c r="L85" s="10"/>
      <c r="M85" s="10"/>
      <c r="N85" s="10"/>
      <c r="O85" s="6">
        <v>0</v>
      </c>
      <c r="P85" s="8">
        <f t="shared" si="1"/>
        <v>185</v>
      </c>
    </row>
    <row r="86" spans="1:16" ht="20" customHeight="1">
      <c r="A86" s="4">
        <v>44914</v>
      </c>
      <c r="B86" s="10"/>
      <c r="C86" s="10"/>
      <c r="D86" s="6">
        <v>9</v>
      </c>
      <c r="E86" s="6">
        <v>30</v>
      </c>
      <c r="F86" s="6">
        <v>20</v>
      </c>
      <c r="G86" s="6">
        <v>29</v>
      </c>
      <c r="H86" s="6">
        <v>37</v>
      </c>
      <c r="I86" s="6">
        <v>25</v>
      </c>
      <c r="J86" s="6">
        <v>2</v>
      </c>
      <c r="K86" s="10"/>
      <c r="L86" s="10"/>
      <c r="M86" s="10"/>
      <c r="N86" s="10"/>
      <c r="O86" s="6">
        <v>0</v>
      </c>
      <c r="P86" s="8">
        <f t="shared" si="1"/>
        <v>152</v>
      </c>
    </row>
    <row r="87" spans="1:16" ht="20" customHeight="1">
      <c r="A87" s="4">
        <v>44915</v>
      </c>
      <c r="B87" s="10"/>
      <c r="C87" s="10"/>
      <c r="D87" s="6">
        <v>13</v>
      </c>
      <c r="E87" s="6">
        <v>62</v>
      </c>
      <c r="F87" s="6">
        <v>30</v>
      </c>
      <c r="G87" s="6">
        <v>46</v>
      </c>
      <c r="H87" s="6">
        <v>72</v>
      </c>
      <c r="I87" s="6">
        <v>37</v>
      </c>
      <c r="J87" s="6">
        <v>5</v>
      </c>
      <c r="K87" s="10"/>
      <c r="L87" s="10"/>
      <c r="M87" s="10"/>
      <c r="N87" s="10"/>
      <c r="O87" s="6">
        <v>0</v>
      </c>
      <c r="P87" s="8">
        <f t="shared" si="1"/>
        <v>265</v>
      </c>
    </row>
    <row r="88" spans="1:16" ht="20" customHeight="1">
      <c r="A88" s="4">
        <v>44916</v>
      </c>
      <c r="B88" s="10"/>
      <c r="C88" s="10"/>
      <c r="D88" s="6">
        <v>14</v>
      </c>
      <c r="E88" s="6">
        <v>52</v>
      </c>
      <c r="F88" s="6">
        <v>25</v>
      </c>
      <c r="G88" s="6">
        <v>61</v>
      </c>
      <c r="H88" s="6">
        <v>61</v>
      </c>
      <c r="I88" s="6">
        <v>38</v>
      </c>
      <c r="J88" s="6">
        <v>15</v>
      </c>
      <c r="K88" s="10"/>
      <c r="L88" s="10"/>
      <c r="M88" s="10"/>
      <c r="N88" s="10"/>
      <c r="O88" s="6">
        <v>0</v>
      </c>
      <c r="P88" s="8">
        <f t="shared" si="1"/>
        <v>266</v>
      </c>
    </row>
    <row r="89" spans="1:16" ht="20" customHeight="1">
      <c r="A89" s="4">
        <v>44917</v>
      </c>
      <c r="B89" s="10"/>
      <c r="C89" s="10"/>
      <c r="D89" s="6">
        <v>13</v>
      </c>
      <c r="E89" s="6">
        <v>47</v>
      </c>
      <c r="F89" s="6">
        <v>30</v>
      </c>
      <c r="G89" s="6">
        <v>39</v>
      </c>
      <c r="H89" s="6">
        <v>51</v>
      </c>
      <c r="I89" s="6">
        <v>30</v>
      </c>
      <c r="J89" s="6">
        <v>8</v>
      </c>
      <c r="K89" s="10"/>
      <c r="L89" s="10"/>
      <c r="M89" s="10"/>
      <c r="N89" s="10"/>
      <c r="O89" s="6">
        <v>0</v>
      </c>
      <c r="P89" s="8">
        <f t="shared" si="1"/>
        <v>218</v>
      </c>
    </row>
    <row r="90" spans="1:16" ht="20" customHeight="1">
      <c r="A90" s="4">
        <v>44918</v>
      </c>
      <c r="B90" s="10"/>
      <c r="C90" s="10"/>
      <c r="D90" s="6">
        <v>6</v>
      </c>
      <c r="E90" s="6">
        <v>33</v>
      </c>
      <c r="F90" s="6">
        <v>34</v>
      </c>
      <c r="G90" s="6">
        <v>45</v>
      </c>
      <c r="H90" s="6">
        <v>57</v>
      </c>
      <c r="I90" s="6">
        <v>19</v>
      </c>
      <c r="J90" s="6">
        <v>11</v>
      </c>
      <c r="K90" s="10"/>
      <c r="L90" s="10"/>
      <c r="M90" s="10"/>
      <c r="N90" s="10"/>
      <c r="O90" s="6">
        <v>0</v>
      </c>
      <c r="P90" s="8">
        <f t="shared" si="1"/>
        <v>205</v>
      </c>
    </row>
    <row r="91" spans="1:16" ht="20" customHeight="1">
      <c r="A91" s="4">
        <v>44919</v>
      </c>
      <c r="B91" s="10"/>
      <c r="C91" s="10"/>
      <c r="D91" s="6">
        <v>5</v>
      </c>
      <c r="E91" s="6">
        <v>30</v>
      </c>
      <c r="F91" s="6">
        <v>25</v>
      </c>
      <c r="G91" s="6">
        <v>46</v>
      </c>
      <c r="H91" s="6">
        <v>58</v>
      </c>
      <c r="I91" s="6">
        <v>20</v>
      </c>
      <c r="J91" s="6">
        <v>10</v>
      </c>
      <c r="K91" s="10"/>
      <c r="L91" s="10"/>
      <c r="M91" s="10"/>
      <c r="N91" s="10"/>
      <c r="O91" s="6">
        <v>0</v>
      </c>
      <c r="P91" s="8">
        <f t="shared" si="1"/>
        <v>194</v>
      </c>
    </row>
    <row r="92" spans="1:16" ht="20" customHeight="1">
      <c r="A92" s="4">
        <v>44920</v>
      </c>
      <c r="B92" s="10"/>
      <c r="C92" s="10"/>
      <c r="D92" s="6">
        <v>8</v>
      </c>
      <c r="E92" s="6">
        <v>34</v>
      </c>
      <c r="F92" s="6">
        <v>33</v>
      </c>
      <c r="G92" s="6">
        <v>32</v>
      </c>
      <c r="H92" s="6">
        <v>44</v>
      </c>
      <c r="I92" s="6">
        <v>26</v>
      </c>
      <c r="J92" s="6">
        <v>7</v>
      </c>
      <c r="K92" s="10"/>
      <c r="L92" s="10"/>
      <c r="M92" s="10"/>
      <c r="N92" s="10"/>
      <c r="O92" s="6">
        <v>0</v>
      </c>
      <c r="P92" s="8">
        <f t="shared" si="1"/>
        <v>184</v>
      </c>
    </row>
    <row r="93" spans="1:16" ht="20" customHeight="1">
      <c r="A93" s="4">
        <v>44921</v>
      </c>
      <c r="B93" s="10"/>
      <c r="C93" s="10"/>
      <c r="D93" s="6">
        <v>7</v>
      </c>
      <c r="E93" s="6">
        <v>30</v>
      </c>
      <c r="F93" s="6">
        <v>20</v>
      </c>
      <c r="G93" s="6">
        <v>43</v>
      </c>
      <c r="H93" s="6">
        <v>35</v>
      </c>
      <c r="I93" s="6">
        <v>24</v>
      </c>
      <c r="J93" s="6">
        <v>7</v>
      </c>
      <c r="K93" s="10"/>
      <c r="L93" s="10"/>
      <c r="M93" s="10"/>
      <c r="N93" s="10"/>
      <c r="O93" s="6">
        <v>0</v>
      </c>
      <c r="P93" s="8">
        <f t="shared" si="1"/>
        <v>166</v>
      </c>
    </row>
    <row r="94" spans="1:16" ht="20" customHeight="1">
      <c r="A94" s="4">
        <v>44922</v>
      </c>
      <c r="B94" s="10"/>
      <c r="C94" s="10"/>
      <c r="D94" s="6">
        <v>6</v>
      </c>
      <c r="E94" s="6">
        <v>32</v>
      </c>
      <c r="F94" s="6">
        <v>22</v>
      </c>
      <c r="G94" s="6">
        <v>34</v>
      </c>
      <c r="H94" s="6">
        <v>45</v>
      </c>
      <c r="I94" s="6">
        <v>25</v>
      </c>
      <c r="J94" s="6">
        <v>5</v>
      </c>
      <c r="K94" s="10"/>
      <c r="L94" s="10"/>
      <c r="M94" s="10"/>
      <c r="N94" s="10"/>
      <c r="O94" s="6">
        <v>0</v>
      </c>
      <c r="P94" s="8">
        <f t="shared" si="1"/>
        <v>169</v>
      </c>
    </row>
    <row r="95" spans="1:16" ht="20" customHeight="1">
      <c r="A95" s="4">
        <v>44923</v>
      </c>
      <c r="B95" s="10"/>
      <c r="C95" s="10"/>
      <c r="D95" s="6">
        <v>12</v>
      </c>
      <c r="E95" s="6">
        <v>35</v>
      </c>
      <c r="F95" s="6">
        <v>26</v>
      </c>
      <c r="G95" s="6">
        <v>52</v>
      </c>
      <c r="H95" s="6">
        <v>62</v>
      </c>
      <c r="I95" s="6">
        <v>22</v>
      </c>
      <c r="J95" s="6">
        <v>13</v>
      </c>
      <c r="K95" s="10"/>
      <c r="L95" s="10"/>
      <c r="M95" s="10"/>
      <c r="N95" s="10"/>
      <c r="O95" s="6">
        <v>0</v>
      </c>
      <c r="P95" s="8">
        <f t="shared" si="1"/>
        <v>222</v>
      </c>
    </row>
    <row r="96" spans="1:16" ht="20" customHeight="1">
      <c r="A96" s="4">
        <v>44924</v>
      </c>
      <c r="B96" s="10"/>
      <c r="C96" s="10"/>
      <c r="D96" s="6">
        <v>9</v>
      </c>
      <c r="E96" s="6">
        <v>44</v>
      </c>
      <c r="F96" s="6">
        <v>28</v>
      </c>
      <c r="G96" s="6">
        <v>40</v>
      </c>
      <c r="H96" s="6">
        <v>32</v>
      </c>
      <c r="I96" s="6">
        <v>25</v>
      </c>
      <c r="J96" s="6">
        <v>5</v>
      </c>
      <c r="K96" s="10"/>
      <c r="L96" s="10"/>
      <c r="M96" s="10"/>
      <c r="N96" s="10"/>
      <c r="O96" s="6">
        <v>0</v>
      </c>
      <c r="P96" s="8">
        <f t="shared" si="1"/>
        <v>183</v>
      </c>
    </row>
    <row r="97" spans="1:16" ht="20" customHeight="1">
      <c r="A97" s="4">
        <v>44925</v>
      </c>
      <c r="B97" s="10"/>
      <c r="C97" s="10"/>
      <c r="D97" s="6">
        <v>7</v>
      </c>
      <c r="E97" s="6">
        <v>36</v>
      </c>
      <c r="F97" s="6">
        <v>34</v>
      </c>
      <c r="G97" s="6">
        <v>36</v>
      </c>
      <c r="H97" s="6">
        <v>52</v>
      </c>
      <c r="I97" s="6">
        <v>26</v>
      </c>
      <c r="J97" s="6">
        <v>2</v>
      </c>
      <c r="K97" s="10"/>
      <c r="L97" s="10"/>
      <c r="M97" s="10"/>
      <c r="N97" s="10"/>
      <c r="O97" s="6">
        <v>0</v>
      </c>
      <c r="P97" s="8">
        <f t="shared" si="1"/>
        <v>193</v>
      </c>
    </row>
    <row r="98" spans="1:16" ht="20" customHeight="1">
      <c r="A98" s="4">
        <v>44926</v>
      </c>
      <c r="B98" s="10"/>
      <c r="C98" s="10"/>
      <c r="D98" s="6">
        <v>10</v>
      </c>
      <c r="E98" s="6">
        <v>30</v>
      </c>
      <c r="F98" s="6">
        <v>31</v>
      </c>
      <c r="G98" s="6">
        <v>35</v>
      </c>
      <c r="H98" s="6">
        <v>52</v>
      </c>
      <c r="I98" s="6">
        <v>19</v>
      </c>
      <c r="J98" s="6">
        <v>5</v>
      </c>
      <c r="K98" s="10"/>
      <c r="L98" s="10"/>
      <c r="M98" s="10"/>
      <c r="N98" s="10"/>
      <c r="O98" s="6">
        <v>0</v>
      </c>
      <c r="P98" s="8">
        <f t="shared" si="1"/>
        <v>182</v>
      </c>
    </row>
    <row r="99" spans="1:16" ht="20" customHeight="1">
      <c r="A99" s="4">
        <v>44927</v>
      </c>
      <c r="B99" s="10"/>
      <c r="C99" s="10"/>
      <c r="D99" s="6">
        <v>8</v>
      </c>
      <c r="E99" s="6">
        <v>26</v>
      </c>
      <c r="F99" s="6">
        <v>17</v>
      </c>
      <c r="G99" s="6">
        <v>36</v>
      </c>
      <c r="H99" s="6">
        <v>30</v>
      </c>
      <c r="I99" s="6">
        <v>18</v>
      </c>
      <c r="J99" s="6">
        <v>5</v>
      </c>
      <c r="K99" s="10"/>
      <c r="L99" s="10"/>
      <c r="M99" s="10"/>
      <c r="N99" s="10"/>
      <c r="O99" s="6">
        <v>0</v>
      </c>
      <c r="P99" s="8">
        <f t="shared" si="1"/>
        <v>140</v>
      </c>
    </row>
    <row r="100" spans="1:16" ht="20" customHeight="1">
      <c r="A100" s="4">
        <v>44928</v>
      </c>
      <c r="B100" s="10"/>
      <c r="C100" s="10"/>
      <c r="D100" s="6">
        <v>3</v>
      </c>
      <c r="E100" s="6">
        <v>19</v>
      </c>
      <c r="F100" s="6">
        <v>28</v>
      </c>
      <c r="G100" s="6">
        <v>36</v>
      </c>
      <c r="H100" s="6">
        <v>42</v>
      </c>
      <c r="I100" s="6">
        <v>18</v>
      </c>
      <c r="J100" s="6">
        <v>10</v>
      </c>
      <c r="K100" s="10"/>
      <c r="L100" s="10"/>
      <c r="M100" s="10"/>
      <c r="N100" s="10"/>
      <c r="O100" s="6">
        <v>0</v>
      </c>
      <c r="P100" s="8">
        <f t="shared" si="1"/>
        <v>156</v>
      </c>
    </row>
    <row r="101" spans="1:16" ht="20" customHeight="1">
      <c r="A101" s="4">
        <v>44929</v>
      </c>
      <c r="B101" s="10"/>
      <c r="C101" s="10"/>
      <c r="D101" s="6">
        <v>4</v>
      </c>
      <c r="E101" s="6">
        <v>28</v>
      </c>
      <c r="F101" s="6">
        <v>33</v>
      </c>
      <c r="G101" s="6">
        <v>45</v>
      </c>
      <c r="H101" s="6">
        <v>42</v>
      </c>
      <c r="I101" s="6">
        <v>25</v>
      </c>
      <c r="J101" s="6">
        <v>9</v>
      </c>
      <c r="K101" s="10"/>
      <c r="L101" s="10"/>
      <c r="M101" s="10"/>
      <c r="N101" s="10"/>
      <c r="O101" s="6">
        <v>0</v>
      </c>
      <c r="P101" s="8">
        <f t="shared" si="1"/>
        <v>186</v>
      </c>
    </row>
    <row r="102" spans="1:16" ht="20" customHeight="1">
      <c r="A102" s="4">
        <v>44930</v>
      </c>
      <c r="B102" s="10"/>
      <c r="C102" s="10"/>
      <c r="D102" s="6">
        <v>8</v>
      </c>
      <c r="E102" s="6">
        <v>22</v>
      </c>
      <c r="F102" s="6">
        <v>44</v>
      </c>
      <c r="G102" s="6">
        <v>39</v>
      </c>
      <c r="H102" s="6">
        <v>63</v>
      </c>
      <c r="I102" s="6">
        <v>31</v>
      </c>
      <c r="J102" s="6">
        <v>4</v>
      </c>
      <c r="K102" s="10"/>
      <c r="L102" s="10"/>
      <c r="M102" s="10"/>
      <c r="N102" s="10"/>
      <c r="O102" s="6">
        <v>0</v>
      </c>
      <c r="P102" s="8">
        <f t="shared" si="1"/>
        <v>211</v>
      </c>
    </row>
    <row r="103" spans="1:16" ht="20" customHeight="1">
      <c r="A103" s="4">
        <v>44931</v>
      </c>
      <c r="B103" s="10"/>
      <c r="C103" s="10"/>
      <c r="D103" s="6">
        <v>5</v>
      </c>
      <c r="E103" s="6">
        <v>24</v>
      </c>
      <c r="F103" s="6">
        <v>60</v>
      </c>
      <c r="G103" s="6">
        <v>57</v>
      </c>
      <c r="H103" s="6">
        <v>59</v>
      </c>
      <c r="I103" s="6">
        <v>30</v>
      </c>
      <c r="J103" s="6">
        <v>10</v>
      </c>
      <c r="K103" s="10"/>
      <c r="L103" s="10"/>
      <c r="M103" s="10"/>
      <c r="N103" s="10"/>
      <c r="O103" s="6">
        <v>0</v>
      </c>
      <c r="P103" s="8">
        <f t="shared" si="1"/>
        <v>245</v>
      </c>
    </row>
    <row r="104" spans="1:16" ht="20" customHeight="1">
      <c r="A104" s="4">
        <v>44932</v>
      </c>
      <c r="B104" s="10"/>
      <c r="C104" s="10"/>
      <c r="D104" s="6">
        <v>6</v>
      </c>
      <c r="E104" s="6">
        <v>34</v>
      </c>
      <c r="F104" s="6">
        <v>70</v>
      </c>
      <c r="G104" s="6">
        <v>54</v>
      </c>
      <c r="H104" s="6">
        <v>66</v>
      </c>
      <c r="I104" s="6">
        <v>48</v>
      </c>
      <c r="J104" s="6">
        <v>10</v>
      </c>
      <c r="K104" s="10"/>
      <c r="L104" s="10"/>
      <c r="M104" s="10"/>
      <c r="N104" s="10"/>
      <c r="O104" s="6">
        <v>0</v>
      </c>
      <c r="P104" s="8">
        <f t="shared" si="1"/>
        <v>288</v>
      </c>
    </row>
    <row r="105" spans="1:16" ht="20" customHeight="1">
      <c r="A105" s="4">
        <v>44933</v>
      </c>
      <c r="B105" s="10"/>
      <c r="C105" s="10"/>
      <c r="D105" s="6">
        <v>8</v>
      </c>
      <c r="E105" s="6">
        <v>25</v>
      </c>
      <c r="F105" s="6">
        <v>48</v>
      </c>
      <c r="G105" s="6">
        <v>31</v>
      </c>
      <c r="H105" s="6">
        <v>55</v>
      </c>
      <c r="I105" s="6">
        <v>35</v>
      </c>
      <c r="J105" s="6">
        <v>8</v>
      </c>
      <c r="K105" s="10"/>
      <c r="L105" s="10"/>
      <c r="M105" s="10"/>
      <c r="N105" s="10"/>
      <c r="O105" s="6">
        <v>0</v>
      </c>
      <c r="P105" s="8">
        <f t="shared" si="1"/>
        <v>210</v>
      </c>
    </row>
    <row r="106" spans="1:16" ht="20" customHeight="1">
      <c r="A106" s="4">
        <v>44934</v>
      </c>
      <c r="B106" s="10"/>
      <c r="C106" s="10"/>
      <c r="D106" s="6">
        <v>6</v>
      </c>
      <c r="E106" s="6">
        <v>19</v>
      </c>
      <c r="F106" s="6">
        <v>59</v>
      </c>
      <c r="G106" s="6">
        <v>39</v>
      </c>
      <c r="H106" s="6">
        <v>44</v>
      </c>
      <c r="I106" s="6">
        <v>40</v>
      </c>
      <c r="J106" s="6">
        <v>10</v>
      </c>
      <c r="K106" s="10"/>
      <c r="L106" s="10"/>
      <c r="M106" s="10"/>
      <c r="N106" s="10"/>
      <c r="O106" s="6">
        <v>0</v>
      </c>
      <c r="P106" s="8">
        <f t="shared" si="1"/>
        <v>217</v>
      </c>
    </row>
    <row r="107" spans="1:16" ht="20" customHeight="1">
      <c r="A107" s="4">
        <v>44935</v>
      </c>
      <c r="B107" s="10"/>
      <c r="C107" s="10"/>
      <c r="D107" s="6">
        <v>5</v>
      </c>
      <c r="E107" s="6">
        <v>24</v>
      </c>
      <c r="F107" s="6">
        <v>48</v>
      </c>
      <c r="G107" s="6">
        <v>28</v>
      </c>
      <c r="H107" s="6">
        <v>42</v>
      </c>
      <c r="I107" s="6">
        <v>28</v>
      </c>
      <c r="J107" s="6">
        <v>7</v>
      </c>
      <c r="K107" s="10"/>
      <c r="L107" s="10"/>
      <c r="M107" s="10"/>
      <c r="N107" s="10"/>
      <c r="O107" s="6">
        <v>0</v>
      </c>
      <c r="P107" s="8">
        <f t="shared" si="1"/>
        <v>182</v>
      </c>
    </row>
    <row r="108" spans="1:16" ht="20" customHeight="1">
      <c r="A108" s="4">
        <v>44936</v>
      </c>
      <c r="B108" s="10"/>
      <c r="C108" s="10"/>
      <c r="D108" s="6">
        <v>7</v>
      </c>
      <c r="E108" s="6">
        <v>28</v>
      </c>
      <c r="F108" s="6">
        <v>48</v>
      </c>
      <c r="G108" s="6">
        <v>26</v>
      </c>
      <c r="H108" s="6">
        <v>48</v>
      </c>
      <c r="I108" s="6">
        <v>31</v>
      </c>
      <c r="J108" s="6">
        <v>9</v>
      </c>
      <c r="K108" s="10"/>
      <c r="L108" s="10"/>
      <c r="M108" s="10"/>
      <c r="N108" s="10"/>
      <c r="O108" s="6">
        <v>0</v>
      </c>
      <c r="P108" s="8">
        <f t="shared" si="1"/>
        <v>197</v>
      </c>
    </row>
    <row r="109" spans="1:16" ht="20" customHeight="1">
      <c r="A109" s="4">
        <v>44937</v>
      </c>
      <c r="B109" s="10"/>
      <c r="C109" s="10"/>
      <c r="D109" s="6">
        <v>3</v>
      </c>
      <c r="E109" s="6">
        <v>21</v>
      </c>
      <c r="F109" s="6">
        <v>40</v>
      </c>
      <c r="G109" s="6">
        <v>38</v>
      </c>
      <c r="H109" s="6">
        <v>44</v>
      </c>
      <c r="I109" s="6">
        <v>38</v>
      </c>
      <c r="J109" s="6">
        <v>12</v>
      </c>
      <c r="K109" s="10"/>
      <c r="L109" s="10"/>
      <c r="M109" s="10"/>
      <c r="N109" s="10"/>
      <c r="O109" s="6">
        <v>0</v>
      </c>
      <c r="P109" s="8">
        <f t="shared" si="1"/>
        <v>196</v>
      </c>
    </row>
    <row r="110" spans="1:16" ht="20" customHeight="1">
      <c r="A110" s="4">
        <v>44938</v>
      </c>
      <c r="B110" s="10"/>
      <c r="C110" s="10"/>
      <c r="D110" s="6">
        <v>6</v>
      </c>
      <c r="E110" s="6">
        <v>16</v>
      </c>
      <c r="F110" s="6">
        <v>29</v>
      </c>
      <c r="G110" s="6">
        <v>35</v>
      </c>
      <c r="H110" s="6">
        <v>30</v>
      </c>
      <c r="I110" s="6">
        <v>33</v>
      </c>
      <c r="J110" s="6">
        <v>16</v>
      </c>
      <c r="K110" s="10"/>
      <c r="L110" s="10"/>
      <c r="M110" s="10"/>
      <c r="N110" s="10"/>
      <c r="O110" s="6">
        <v>0</v>
      </c>
      <c r="P110" s="8">
        <f t="shared" si="1"/>
        <v>165</v>
      </c>
    </row>
    <row r="111" spans="1:16" ht="20" customHeight="1">
      <c r="A111" s="4">
        <v>44939</v>
      </c>
      <c r="B111" s="10"/>
      <c r="C111" s="10"/>
      <c r="D111" s="6">
        <v>2</v>
      </c>
      <c r="E111" s="6">
        <v>18</v>
      </c>
      <c r="F111" s="6">
        <v>32</v>
      </c>
      <c r="G111" s="6">
        <v>23</v>
      </c>
      <c r="H111" s="6">
        <v>34</v>
      </c>
      <c r="I111" s="6">
        <v>30</v>
      </c>
      <c r="J111" s="6">
        <v>7</v>
      </c>
      <c r="K111" s="10"/>
      <c r="L111" s="10"/>
      <c r="M111" s="10"/>
      <c r="N111" s="10"/>
      <c r="O111" s="6">
        <v>0</v>
      </c>
      <c r="P111" s="8">
        <f t="shared" si="1"/>
        <v>146</v>
      </c>
    </row>
    <row r="112" spans="1:16" ht="20" customHeight="1">
      <c r="A112" s="4">
        <v>44940</v>
      </c>
      <c r="B112" s="10"/>
      <c r="C112" s="10"/>
      <c r="D112" s="6">
        <v>2</v>
      </c>
      <c r="E112" s="6">
        <v>11</v>
      </c>
      <c r="F112" s="6">
        <v>45</v>
      </c>
      <c r="G112" s="6">
        <v>17</v>
      </c>
      <c r="H112" s="6">
        <v>32</v>
      </c>
      <c r="I112" s="6">
        <v>19</v>
      </c>
      <c r="J112" s="6">
        <v>8</v>
      </c>
      <c r="K112" s="10"/>
      <c r="L112" s="10"/>
      <c r="M112" s="10"/>
      <c r="N112" s="10"/>
      <c r="O112" s="6">
        <v>0</v>
      </c>
      <c r="P112" s="8">
        <f t="shared" si="1"/>
        <v>134</v>
      </c>
    </row>
    <row r="113" spans="1:16" ht="20" customHeight="1">
      <c r="A113" s="4">
        <v>44941</v>
      </c>
      <c r="B113" s="10"/>
      <c r="C113" s="10"/>
      <c r="D113" s="6">
        <v>1</v>
      </c>
      <c r="E113" s="6">
        <v>14</v>
      </c>
      <c r="F113" s="6">
        <v>19</v>
      </c>
      <c r="G113" s="6">
        <v>20</v>
      </c>
      <c r="H113" s="6">
        <v>16</v>
      </c>
      <c r="I113" s="6">
        <v>12</v>
      </c>
      <c r="J113" s="6">
        <v>9</v>
      </c>
      <c r="K113" s="10"/>
      <c r="L113" s="10"/>
      <c r="M113" s="10"/>
      <c r="N113" s="10"/>
      <c r="O113" s="6">
        <v>0</v>
      </c>
      <c r="P113" s="8">
        <f t="shared" si="1"/>
        <v>91</v>
      </c>
    </row>
    <row r="114" spans="1:16" ht="20" customHeight="1">
      <c r="A114" s="4">
        <v>44942</v>
      </c>
      <c r="B114" s="10"/>
      <c r="C114" s="10"/>
      <c r="D114" s="6">
        <v>0</v>
      </c>
      <c r="E114" s="6">
        <v>6</v>
      </c>
      <c r="F114" s="6">
        <v>21</v>
      </c>
      <c r="G114" s="6">
        <v>19</v>
      </c>
      <c r="H114" s="6">
        <v>20</v>
      </c>
      <c r="I114" s="6">
        <v>12</v>
      </c>
      <c r="J114" s="6">
        <v>8</v>
      </c>
      <c r="K114" s="10"/>
      <c r="L114" s="10"/>
      <c r="M114" s="10"/>
      <c r="N114" s="10"/>
      <c r="O114" s="6">
        <v>0</v>
      </c>
      <c r="P114" s="8">
        <f t="shared" si="1"/>
        <v>86</v>
      </c>
    </row>
    <row r="115" spans="1:16" ht="20" customHeight="1">
      <c r="A115" s="4">
        <v>44943</v>
      </c>
      <c r="B115" s="10"/>
      <c r="C115" s="10"/>
      <c r="D115" s="6">
        <v>1</v>
      </c>
      <c r="E115" s="6">
        <v>10</v>
      </c>
      <c r="F115" s="6">
        <v>22</v>
      </c>
      <c r="G115" s="6">
        <v>21</v>
      </c>
      <c r="H115" s="6">
        <v>13</v>
      </c>
      <c r="I115" s="6">
        <v>11</v>
      </c>
      <c r="J115" s="6">
        <v>6</v>
      </c>
      <c r="K115" s="10"/>
      <c r="L115" s="10"/>
      <c r="M115" s="10"/>
      <c r="N115" s="10"/>
      <c r="O115" s="6">
        <v>0</v>
      </c>
      <c r="P115" s="8">
        <f t="shared" si="1"/>
        <v>84</v>
      </c>
    </row>
    <row r="116" spans="1:16" ht="20" customHeight="1">
      <c r="A116" s="4">
        <v>44944</v>
      </c>
      <c r="B116" s="10"/>
      <c r="C116" s="10"/>
      <c r="D116" s="6">
        <v>2</v>
      </c>
      <c r="E116" s="6">
        <v>12</v>
      </c>
      <c r="F116" s="6">
        <v>25</v>
      </c>
      <c r="G116" s="6">
        <v>28</v>
      </c>
      <c r="H116" s="6">
        <v>24</v>
      </c>
      <c r="I116" s="6">
        <v>16</v>
      </c>
      <c r="J116" s="6">
        <v>6</v>
      </c>
      <c r="K116" s="10"/>
      <c r="L116" s="10"/>
      <c r="M116" s="10"/>
      <c r="N116" s="10"/>
      <c r="O116" s="6">
        <v>0</v>
      </c>
      <c r="P116" s="8">
        <f t="shared" si="1"/>
        <v>113</v>
      </c>
    </row>
    <row r="117" spans="1:16" ht="20" customHeight="1">
      <c r="A117" s="4">
        <v>44945</v>
      </c>
      <c r="B117" s="10"/>
      <c r="C117" s="10"/>
      <c r="D117" s="6">
        <v>1</v>
      </c>
      <c r="E117" s="6">
        <v>10</v>
      </c>
      <c r="F117" s="6">
        <v>17</v>
      </c>
      <c r="G117" s="6">
        <v>18</v>
      </c>
      <c r="H117" s="6">
        <v>20</v>
      </c>
      <c r="I117" s="6">
        <v>13</v>
      </c>
      <c r="J117" s="6">
        <v>6</v>
      </c>
      <c r="K117" s="10"/>
      <c r="L117" s="10"/>
      <c r="M117" s="10"/>
      <c r="N117" s="10"/>
      <c r="O117" s="6">
        <v>0</v>
      </c>
      <c r="P117" s="8">
        <f t="shared" si="1"/>
        <v>85</v>
      </c>
    </row>
    <row r="118" spans="1:16" ht="20" customHeight="1">
      <c r="A118" s="4">
        <v>44946</v>
      </c>
      <c r="B118" s="10"/>
      <c r="C118" s="10"/>
      <c r="D118" s="6">
        <v>4</v>
      </c>
      <c r="E118" s="6">
        <v>10</v>
      </c>
      <c r="F118" s="6">
        <v>18</v>
      </c>
      <c r="G118" s="6">
        <v>17</v>
      </c>
      <c r="H118" s="6">
        <v>19</v>
      </c>
      <c r="I118" s="6">
        <v>18</v>
      </c>
      <c r="J118" s="6">
        <v>3</v>
      </c>
      <c r="K118" s="10"/>
      <c r="L118" s="10"/>
      <c r="M118" s="10"/>
      <c r="N118" s="10"/>
      <c r="O118" s="6">
        <v>0</v>
      </c>
      <c r="P118" s="8">
        <f t="shared" si="1"/>
        <v>89</v>
      </c>
    </row>
    <row r="119" spans="1:16" ht="20" customHeight="1">
      <c r="A119" s="4">
        <v>44947</v>
      </c>
      <c r="B119" s="10"/>
      <c r="C119" s="10"/>
      <c r="D119" s="6">
        <v>1</v>
      </c>
      <c r="E119" s="6">
        <v>10</v>
      </c>
      <c r="F119" s="6">
        <v>10</v>
      </c>
      <c r="G119" s="6">
        <v>19</v>
      </c>
      <c r="H119" s="6">
        <v>24</v>
      </c>
      <c r="I119" s="6">
        <v>12</v>
      </c>
      <c r="J119" s="6">
        <v>2</v>
      </c>
      <c r="K119" s="10"/>
      <c r="L119" s="10"/>
      <c r="M119" s="10"/>
      <c r="N119" s="10"/>
      <c r="O119" s="6">
        <v>0</v>
      </c>
      <c r="P119" s="8">
        <f t="shared" si="1"/>
        <v>78</v>
      </c>
    </row>
    <row r="120" spans="1:16" ht="20" customHeight="1">
      <c r="A120" s="4">
        <v>44948</v>
      </c>
      <c r="B120" s="10"/>
      <c r="C120" s="10"/>
      <c r="D120" s="6">
        <v>4</v>
      </c>
      <c r="E120" s="6">
        <v>10</v>
      </c>
      <c r="F120" s="6">
        <v>11</v>
      </c>
      <c r="G120" s="6">
        <v>15</v>
      </c>
      <c r="H120" s="6">
        <v>14</v>
      </c>
      <c r="I120" s="6">
        <v>11</v>
      </c>
      <c r="J120" s="6">
        <v>1</v>
      </c>
      <c r="K120" s="10"/>
      <c r="L120" s="10"/>
      <c r="M120" s="10"/>
      <c r="N120" s="10"/>
      <c r="O120" s="6">
        <v>0</v>
      </c>
      <c r="P120" s="8">
        <f t="shared" si="1"/>
        <v>66</v>
      </c>
    </row>
    <row r="121" spans="1:16" ht="20" customHeight="1">
      <c r="A121" s="4">
        <v>44949</v>
      </c>
      <c r="B121" s="10"/>
      <c r="C121" s="10"/>
      <c r="D121" s="6">
        <v>2</v>
      </c>
      <c r="E121" s="6">
        <v>11</v>
      </c>
      <c r="F121" s="6">
        <v>8</v>
      </c>
      <c r="G121" s="6">
        <v>15</v>
      </c>
      <c r="H121" s="6">
        <v>9</v>
      </c>
      <c r="I121" s="6">
        <v>10</v>
      </c>
      <c r="J121" s="6">
        <v>4</v>
      </c>
      <c r="K121" s="10"/>
      <c r="L121" s="10"/>
      <c r="M121" s="10"/>
      <c r="N121" s="10"/>
      <c r="O121" s="6">
        <v>0</v>
      </c>
      <c r="P121" s="8">
        <f t="shared" si="1"/>
        <v>59</v>
      </c>
    </row>
    <row r="122" spans="1:16" ht="20" customHeight="1">
      <c r="A122" s="4">
        <v>44950</v>
      </c>
      <c r="B122" s="10"/>
      <c r="C122" s="10"/>
      <c r="D122" s="6">
        <v>4</v>
      </c>
      <c r="E122" s="6">
        <v>4</v>
      </c>
      <c r="F122" s="6">
        <v>18</v>
      </c>
      <c r="G122" s="6">
        <v>10</v>
      </c>
      <c r="H122" s="6">
        <v>17</v>
      </c>
      <c r="I122" s="6">
        <v>12</v>
      </c>
      <c r="J122" s="6">
        <v>7</v>
      </c>
      <c r="K122" s="10"/>
      <c r="L122" s="10"/>
      <c r="M122" s="10"/>
      <c r="N122" s="10"/>
      <c r="O122" s="6">
        <v>0</v>
      </c>
      <c r="P122" s="8">
        <f t="shared" si="1"/>
        <v>72</v>
      </c>
    </row>
    <row r="123" spans="1:16" ht="20" customHeight="1">
      <c r="A123" s="4">
        <v>44951</v>
      </c>
      <c r="B123" s="10"/>
      <c r="C123" s="10"/>
      <c r="D123" s="6">
        <v>8</v>
      </c>
      <c r="E123" s="6">
        <v>13</v>
      </c>
      <c r="F123" s="6">
        <v>22</v>
      </c>
      <c r="G123" s="6">
        <v>23</v>
      </c>
      <c r="H123" s="6">
        <v>21</v>
      </c>
      <c r="I123" s="6">
        <v>16</v>
      </c>
      <c r="J123" s="6">
        <v>4</v>
      </c>
      <c r="K123" s="10"/>
      <c r="L123" s="10"/>
      <c r="M123" s="10"/>
      <c r="N123" s="10"/>
      <c r="O123" s="6">
        <v>0</v>
      </c>
      <c r="P123" s="8">
        <f t="shared" si="1"/>
        <v>107</v>
      </c>
    </row>
    <row r="124" spans="1:16" ht="20" customHeight="1">
      <c r="A124" s="4">
        <v>44952</v>
      </c>
      <c r="B124" s="10"/>
      <c r="C124" s="10"/>
      <c r="D124" s="6">
        <v>2</v>
      </c>
      <c r="E124" s="6">
        <v>7</v>
      </c>
      <c r="F124" s="6">
        <v>7</v>
      </c>
      <c r="G124" s="6">
        <v>15</v>
      </c>
      <c r="H124" s="6">
        <v>19</v>
      </c>
      <c r="I124" s="6">
        <v>7</v>
      </c>
      <c r="J124" s="6">
        <v>1</v>
      </c>
      <c r="K124" s="10"/>
      <c r="L124" s="10"/>
      <c r="M124" s="10"/>
      <c r="N124" s="10"/>
      <c r="O124" s="6">
        <v>0</v>
      </c>
      <c r="P124" s="8">
        <f t="shared" si="1"/>
        <v>58</v>
      </c>
    </row>
    <row r="125" spans="1:16" ht="20" customHeight="1">
      <c r="A125" s="4">
        <v>44953</v>
      </c>
      <c r="B125" s="10"/>
      <c r="C125" s="10"/>
      <c r="D125" s="6">
        <v>3</v>
      </c>
      <c r="E125" s="6">
        <v>5</v>
      </c>
      <c r="F125" s="6">
        <v>9</v>
      </c>
      <c r="G125" s="6">
        <v>15</v>
      </c>
      <c r="H125" s="6">
        <v>14</v>
      </c>
      <c r="I125" s="6">
        <v>15</v>
      </c>
      <c r="J125" s="6">
        <v>2</v>
      </c>
      <c r="K125" s="10"/>
      <c r="L125" s="10"/>
      <c r="M125" s="10"/>
      <c r="N125" s="10"/>
      <c r="O125" s="6">
        <v>0</v>
      </c>
      <c r="P125" s="8">
        <f t="shared" si="1"/>
        <v>63</v>
      </c>
    </row>
    <row r="126" spans="1:16" ht="20" customHeight="1">
      <c r="A126" s="4">
        <v>44954</v>
      </c>
      <c r="B126" s="10"/>
      <c r="C126" s="10"/>
      <c r="D126" s="6">
        <v>4</v>
      </c>
      <c r="E126" s="6">
        <v>7</v>
      </c>
      <c r="F126" s="6">
        <v>4</v>
      </c>
      <c r="G126" s="6">
        <v>10</v>
      </c>
      <c r="H126" s="6">
        <v>11</v>
      </c>
      <c r="I126" s="6">
        <v>9</v>
      </c>
      <c r="J126" s="6">
        <v>4</v>
      </c>
      <c r="K126" s="10"/>
      <c r="L126" s="10"/>
      <c r="M126" s="10"/>
      <c r="N126" s="10"/>
      <c r="O126" s="6">
        <v>0</v>
      </c>
      <c r="P126" s="8">
        <f t="shared" si="1"/>
        <v>49</v>
      </c>
    </row>
    <row r="127" spans="1:16" ht="20" customHeight="1">
      <c r="A127" s="4">
        <v>44955</v>
      </c>
      <c r="B127" s="10"/>
      <c r="C127" s="10"/>
      <c r="D127" s="6">
        <v>6</v>
      </c>
      <c r="E127" s="6">
        <v>13</v>
      </c>
      <c r="F127" s="6">
        <v>4</v>
      </c>
      <c r="G127" s="6">
        <v>12</v>
      </c>
      <c r="H127" s="6">
        <v>8</v>
      </c>
      <c r="I127" s="6">
        <v>6</v>
      </c>
      <c r="J127" s="6">
        <v>3</v>
      </c>
      <c r="K127" s="10"/>
      <c r="L127" s="10"/>
      <c r="M127" s="10"/>
      <c r="N127" s="10"/>
      <c r="O127" s="6">
        <v>0</v>
      </c>
      <c r="P127" s="8">
        <f t="shared" si="1"/>
        <v>52</v>
      </c>
    </row>
    <row r="128" spans="1:16" ht="20" customHeight="1">
      <c r="A128" s="4">
        <v>44956</v>
      </c>
      <c r="B128" s="10"/>
      <c r="C128" s="10"/>
      <c r="D128" s="6">
        <v>0</v>
      </c>
      <c r="E128" s="6">
        <v>7</v>
      </c>
      <c r="F128" s="6">
        <v>6</v>
      </c>
      <c r="G128" s="6">
        <v>7</v>
      </c>
      <c r="H128" s="6">
        <v>9</v>
      </c>
      <c r="I128" s="6">
        <v>12</v>
      </c>
      <c r="J128" s="6">
        <v>0</v>
      </c>
      <c r="K128" s="10"/>
      <c r="L128" s="10"/>
      <c r="M128" s="10"/>
      <c r="N128" s="10"/>
      <c r="O128" s="6">
        <v>0</v>
      </c>
      <c r="P128" s="8">
        <f t="shared" si="1"/>
        <v>41</v>
      </c>
    </row>
    <row r="129" spans="1:16" ht="20" customHeight="1">
      <c r="A129" s="4">
        <v>44957</v>
      </c>
      <c r="B129" s="10"/>
      <c r="C129" s="10"/>
      <c r="D129" s="6">
        <v>2</v>
      </c>
      <c r="E129" s="6">
        <v>5</v>
      </c>
      <c r="F129" s="6">
        <v>6</v>
      </c>
      <c r="G129" s="6">
        <v>14</v>
      </c>
      <c r="H129" s="6">
        <v>12</v>
      </c>
      <c r="I129" s="6">
        <v>4</v>
      </c>
      <c r="J129" s="6">
        <v>2</v>
      </c>
      <c r="K129" s="10"/>
      <c r="L129" s="10"/>
      <c r="M129" s="10"/>
      <c r="N129" s="10"/>
      <c r="O129" s="6">
        <v>0</v>
      </c>
      <c r="P129" s="8">
        <f t="shared" si="1"/>
        <v>45</v>
      </c>
    </row>
    <row r="130" spans="1:16" ht="20" customHeight="1">
      <c r="A130" s="4">
        <v>44958</v>
      </c>
      <c r="B130" s="10"/>
      <c r="C130" s="10"/>
      <c r="D130" s="6">
        <v>0</v>
      </c>
      <c r="E130" s="6">
        <v>14</v>
      </c>
      <c r="F130" s="6">
        <v>7</v>
      </c>
      <c r="G130" s="6">
        <v>16</v>
      </c>
      <c r="H130" s="6">
        <v>10</v>
      </c>
      <c r="I130" s="6">
        <v>8</v>
      </c>
      <c r="J130" s="6">
        <v>4</v>
      </c>
      <c r="K130" s="10"/>
      <c r="L130" s="10"/>
      <c r="M130" s="10"/>
      <c r="N130" s="10"/>
      <c r="O130" s="6">
        <v>0</v>
      </c>
      <c r="P130" s="8">
        <f t="shared" si="1"/>
        <v>59</v>
      </c>
    </row>
    <row r="131" spans="1:16" ht="20" customHeight="1">
      <c r="A131" s="4">
        <v>44959</v>
      </c>
      <c r="B131" s="10"/>
      <c r="C131" s="10"/>
      <c r="D131" s="6">
        <v>0</v>
      </c>
      <c r="E131" s="6">
        <v>9</v>
      </c>
      <c r="F131" s="6">
        <v>4</v>
      </c>
      <c r="G131" s="6">
        <v>6</v>
      </c>
      <c r="H131" s="6">
        <v>8</v>
      </c>
      <c r="I131" s="6">
        <v>5</v>
      </c>
      <c r="J131" s="6">
        <v>2</v>
      </c>
      <c r="K131" s="10"/>
      <c r="L131" s="10"/>
      <c r="M131" s="10"/>
      <c r="N131" s="10"/>
      <c r="O131" s="6">
        <v>0</v>
      </c>
      <c r="P131" s="8">
        <f t="shared" ref="P131:P194" si="2">SUM(B131:O131)</f>
        <v>34</v>
      </c>
    </row>
    <row r="132" spans="1:16" ht="20" customHeight="1">
      <c r="A132" s="4">
        <v>44960</v>
      </c>
      <c r="B132" s="10"/>
      <c r="C132" s="10"/>
      <c r="D132" s="6">
        <v>4</v>
      </c>
      <c r="E132" s="6">
        <v>8</v>
      </c>
      <c r="F132" s="6">
        <v>4</v>
      </c>
      <c r="G132" s="6">
        <v>14</v>
      </c>
      <c r="H132" s="6">
        <v>15</v>
      </c>
      <c r="I132" s="6">
        <v>4</v>
      </c>
      <c r="J132" s="6">
        <v>0</v>
      </c>
      <c r="K132" s="10"/>
      <c r="L132" s="10"/>
      <c r="M132" s="10"/>
      <c r="N132" s="10"/>
      <c r="O132" s="6">
        <v>0</v>
      </c>
      <c r="P132" s="8">
        <f t="shared" si="2"/>
        <v>49</v>
      </c>
    </row>
    <row r="133" spans="1:16" ht="20" customHeight="1">
      <c r="A133" s="4">
        <v>44961</v>
      </c>
      <c r="B133" s="10"/>
      <c r="C133" s="10"/>
      <c r="D133" s="6">
        <v>3</v>
      </c>
      <c r="E133" s="6">
        <v>5</v>
      </c>
      <c r="F133" s="6">
        <v>6</v>
      </c>
      <c r="G133" s="6">
        <v>9</v>
      </c>
      <c r="H133" s="6">
        <v>12</v>
      </c>
      <c r="I133" s="6">
        <v>1</v>
      </c>
      <c r="J133" s="6">
        <v>0</v>
      </c>
      <c r="K133" s="10"/>
      <c r="L133" s="10"/>
      <c r="M133" s="10"/>
      <c r="N133" s="10"/>
      <c r="O133" s="6">
        <v>0</v>
      </c>
      <c r="P133" s="8">
        <f t="shared" si="2"/>
        <v>36</v>
      </c>
    </row>
    <row r="134" spans="1:16" ht="20" customHeight="1">
      <c r="A134" s="4">
        <v>44962</v>
      </c>
      <c r="B134" s="10"/>
      <c r="C134" s="10"/>
      <c r="D134" s="6">
        <v>4</v>
      </c>
      <c r="E134" s="6">
        <v>6</v>
      </c>
      <c r="F134" s="6">
        <v>6</v>
      </c>
      <c r="G134" s="6">
        <v>9</v>
      </c>
      <c r="H134" s="6">
        <v>8</v>
      </c>
      <c r="I134" s="6">
        <v>2</v>
      </c>
      <c r="J134" s="6">
        <v>1</v>
      </c>
      <c r="K134" s="10"/>
      <c r="L134" s="10"/>
      <c r="M134" s="10"/>
      <c r="N134" s="10"/>
      <c r="O134" s="6">
        <v>0</v>
      </c>
      <c r="P134" s="8">
        <f t="shared" si="2"/>
        <v>36</v>
      </c>
    </row>
    <row r="135" spans="1:16" ht="20" customHeight="1">
      <c r="A135" s="4">
        <v>44963</v>
      </c>
      <c r="B135" s="10"/>
      <c r="C135" s="10"/>
      <c r="D135" s="6">
        <v>1</v>
      </c>
      <c r="E135" s="6">
        <v>3</v>
      </c>
      <c r="F135" s="6">
        <v>2</v>
      </c>
      <c r="G135" s="6">
        <v>7</v>
      </c>
      <c r="H135" s="6">
        <v>10</v>
      </c>
      <c r="I135" s="6">
        <v>4</v>
      </c>
      <c r="J135" s="6">
        <v>0</v>
      </c>
      <c r="K135" s="10"/>
      <c r="L135" s="10"/>
      <c r="M135" s="10"/>
      <c r="N135" s="10"/>
      <c r="O135" s="6">
        <v>0</v>
      </c>
      <c r="P135" s="8">
        <f t="shared" si="2"/>
        <v>27</v>
      </c>
    </row>
    <row r="136" spans="1:16" ht="20" customHeight="1">
      <c r="A136" s="4">
        <v>44964</v>
      </c>
      <c r="B136" s="10"/>
      <c r="C136" s="10"/>
      <c r="D136" s="6">
        <v>3</v>
      </c>
      <c r="E136" s="6">
        <v>4</v>
      </c>
      <c r="F136" s="6">
        <v>5</v>
      </c>
      <c r="G136" s="6">
        <v>9</v>
      </c>
      <c r="H136" s="6">
        <v>19</v>
      </c>
      <c r="I136" s="6">
        <v>2</v>
      </c>
      <c r="J136" s="6">
        <v>1</v>
      </c>
      <c r="K136" s="10"/>
      <c r="L136" s="10"/>
      <c r="M136" s="10"/>
      <c r="N136" s="10"/>
      <c r="O136" s="6">
        <v>0</v>
      </c>
      <c r="P136" s="8">
        <f t="shared" si="2"/>
        <v>43</v>
      </c>
    </row>
    <row r="137" spans="1:16" ht="20" customHeight="1">
      <c r="A137" s="4">
        <v>44965</v>
      </c>
      <c r="B137" s="10"/>
      <c r="C137" s="10"/>
      <c r="D137" s="6">
        <v>3</v>
      </c>
      <c r="E137" s="6">
        <v>8</v>
      </c>
      <c r="F137" s="6">
        <v>4</v>
      </c>
      <c r="G137" s="6">
        <v>8</v>
      </c>
      <c r="H137" s="6">
        <v>13</v>
      </c>
      <c r="I137" s="6">
        <v>3</v>
      </c>
      <c r="J137" s="6">
        <v>2</v>
      </c>
      <c r="K137" s="10"/>
      <c r="L137" s="10"/>
      <c r="M137" s="10"/>
      <c r="N137" s="10"/>
      <c r="O137" s="6">
        <v>0</v>
      </c>
      <c r="P137" s="8">
        <f t="shared" si="2"/>
        <v>41</v>
      </c>
    </row>
    <row r="138" spans="1:16" ht="20" customHeight="1">
      <c r="A138" s="4">
        <v>44966</v>
      </c>
      <c r="B138" s="10"/>
      <c r="C138" s="10"/>
      <c r="D138" s="6">
        <v>4</v>
      </c>
      <c r="E138" s="6">
        <v>9</v>
      </c>
      <c r="F138" s="6">
        <v>8</v>
      </c>
      <c r="G138" s="6">
        <v>7</v>
      </c>
      <c r="H138" s="6">
        <v>6</v>
      </c>
      <c r="I138" s="6">
        <v>4</v>
      </c>
      <c r="J138" s="6">
        <v>2</v>
      </c>
      <c r="K138" s="10"/>
      <c r="L138" s="10"/>
      <c r="M138" s="10"/>
      <c r="N138" s="10"/>
      <c r="O138" s="6">
        <v>0</v>
      </c>
      <c r="P138" s="8">
        <f t="shared" si="2"/>
        <v>40</v>
      </c>
    </row>
    <row r="139" spans="1:16" ht="20" customHeight="1">
      <c r="A139" s="4">
        <v>44967</v>
      </c>
      <c r="B139" s="10"/>
      <c r="C139" s="10"/>
      <c r="D139" s="6">
        <v>4</v>
      </c>
      <c r="E139" s="6">
        <v>6</v>
      </c>
      <c r="F139" s="6">
        <v>4</v>
      </c>
      <c r="G139" s="6">
        <v>7</v>
      </c>
      <c r="H139" s="6">
        <v>13</v>
      </c>
      <c r="I139" s="6">
        <v>5</v>
      </c>
      <c r="J139" s="6">
        <v>2</v>
      </c>
      <c r="K139" s="10"/>
      <c r="L139" s="10"/>
      <c r="M139" s="10"/>
      <c r="N139" s="10"/>
      <c r="O139" s="6">
        <v>0</v>
      </c>
      <c r="P139" s="8">
        <f t="shared" si="2"/>
        <v>41</v>
      </c>
    </row>
    <row r="140" spans="1:16" ht="20" customHeight="1">
      <c r="A140" s="4">
        <v>44968</v>
      </c>
      <c r="B140" s="10"/>
      <c r="C140" s="10"/>
      <c r="D140" s="6">
        <v>0</v>
      </c>
      <c r="E140" s="6">
        <v>10</v>
      </c>
      <c r="F140" s="6">
        <v>2</v>
      </c>
      <c r="G140" s="6">
        <v>6</v>
      </c>
      <c r="H140" s="6">
        <v>7</v>
      </c>
      <c r="I140" s="6">
        <v>5</v>
      </c>
      <c r="J140" s="6">
        <v>4</v>
      </c>
      <c r="K140" s="10"/>
      <c r="L140" s="10"/>
      <c r="M140" s="10"/>
      <c r="N140" s="10"/>
      <c r="O140" s="6">
        <v>0</v>
      </c>
      <c r="P140" s="8">
        <f t="shared" si="2"/>
        <v>34</v>
      </c>
    </row>
    <row r="141" spans="1:16" ht="20" customHeight="1">
      <c r="A141" s="4">
        <v>44969</v>
      </c>
      <c r="B141" s="10"/>
      <c r="C141" s="10"/>
      <c r="D141" s="6">
        <v>2</v>
      </c>
      <c r="E141" s="6">
        <v>7</v>
      </c>
      <c r="F141" s="6">
        <v>0</v>
      </c>
      <c r="G141" s="6">
        <v>8</v>
      </c>
      <c r="H141" s="6">
        <v>3</v>
      </c>
      <c r="I141" s="6">
        <v>5</v>
      </c>
      <c r="J141" s="6">
        <v>1</v>
      </c>
      <c r="K141" s="10"/>
      <c r="L141" s="10"/>
      <c r="M141" s="10"/>
      <c r="N141" s="10"/>
      <c r="O141" s="6">
        <v>0</v>
      </c>
      <c r="P141" s="8">
        <f t="shared" si="2"/>
        <v>26</v>
      </c>
    </row>
    <row r="142" spans="1:16" ht="20" customHeight="1">
      <c r="A142" s="4">
        <v>44970</v>
      </c>
      <c r="B142" s="10"/>
      <c r="C142" s="10"/>
      <c r="D142" s="6">
        <v>2</v>
      </c>
      <c r="E142" s="6">
        <v>5</v>
      </c>
      <c r="F142" s="6">
        <v>1</v>
      </c>
      <c r="G142" s="6">
        <v>6</v>
      </c>
      <c r="H142" s="6">
        <v>3</v>
      </c>
      <c r="I142" s="6">
        <v>2</v>
      </c>
      <c r="J142" s="6">
        <v>0</v>
      </c>
      <c r="K142" s="10"/>
      <c r="L142" s="10"/>
      <c r="M142" s="10"/>
      <c r="N142" s="10"/>
      <c r="O142" s="6">
        <v>0</v>
      </c>
      <c r="P142" s="8">
        <f t="shared" si="2"/>
        <v>19</v>
      </c>
    </row>
    <row r="143" spans="1:16" ht="20" customHeight="1">
      <c r="A143" s="4">
        <v>44971</v>
      </c>
      <c r="B143" s="10"/>
      <c r="C143" s="10"/>
      <c r="D143" s="6">
        <v>1</v>
      </c>
      <c r="E143" s="6">
        <v>7</v>
      </c>
      <c r="F143" s="6">
        <v>9</v>
      </c>
      <c r="G143" s="6">
        <v>8</v>
      </c>
      <c r="H143" s="6">
        <v>5</v>
      </c>
      <c r="I143" s="6">
        <v>5</v>
      </c>
      <c r="J143" s="6">
        <v>1</v>
      </c>
      <c r="K143" s="10"/>
      <c r="L143" s="10"/>
      <c r="M143" s="10"/>
      <c r="N143" s="10"/>
      <c r="O143" s="6">
        <v>0</v>
      </c>
      <c r="P143" s="8">
        <f t="shared" si="2"/>
        <v>36</v>
      </c>
    </row>
    <row r="144" spans="1:16" ht="20" customHeight="1">
      <c r="A144" s="4">
        <v>44972</v>
      </c>
      <c r="B144" s="10"/>
      <c r="C144" s="10"/>
      <c r="D144" s="6">
        <v>0</v>
      </c>
      <c r="E144" s="6">
        <v>3</v>
      </c>
      <c r="F144" s="6">
        <v>4</v>
      </c>
      <c r="G144" s="6">
        <v>6</v>
      </c>
      <c r="H144" s="6">
        <v>15</v>
      </c>
      <c r="I144" s="6">
        <v>5</v>
      </c>
      <c r="J144" s="6">
        <v>6</v>
      </c>
      <c r="K144" s="10"/>
      <c r="L144" s="10"/>
      <c r="M144" s="10"/>
      <c r="N144" s="10"/>
      <c r="O144" s="6">
        <v>0</v>
      </c>
      <c r="P144" s="8">
        <f t="shared" si="2"/>
        <v>39</v>
      </c>
    </row>
    <row r="145" spans="1:16" ht="20" customHeight="1">
      <c r="A145" s="4">
        <v>44973</v>
      </c>
      <c r="B145" s="10"/>
      <c r="C145" s="10"/>
      <c r="D145" s="6">
        <v>1</v>
      </c>
      <c r="E145" s="6">
        <v>4</v>
      </c>
      <c r="F145" s="6">
        <v>4</v>
      </c>
      <c r="G145" s="6">
        <v>4</v>
      </c>
      <c r="H145" s="6">
        <v>3</v>
      </c>
      <c r="I145" s="6">
        <v>10</v>
      </c>
      <c r="J145" s="6">
        <v>0</v>
      </c>
      <c r="K145" s="10"/>
      <c r="L145" s="10"/>
      <c r="M145" s="10"/>
      <c r="N145" s="10"/>
      <c r="O145" s="6">
        <v>0</v>
      </c>
      <c r="P145" s="8">
        <f t="shared" si="2"/>
        <v>26</v>
      </c>
    </row>
    <row r="146" spans="1:16" ht="20" customHeight="1">
      <c r="A146" s="4">
        <v>44974</v>
      </c>
      <c r="B146" s="10"/>
      <c r="C146" s="10"/>
      <c r="D146" s="6">
        <v>0</v>
      </c>
      <c r="E146" s="6">
        <v>4</v>
      </c>
      <c r="F146" s="6">
        <v>4</v>
      </c>
      <c r="G146" s="6">
        <v>5</v>
      </c>
      <c r="H146" s="6">
        <v>6</v>
      </c>
      <c r="I146" s="6">
        <v>1</v>
      </c>
      <c r="J146" s="6">
        <v>0</v>
      </c>
      <c r="K146" s="10"/>
      <c r="L146" s="10"/>
      <c r="M146" s="10"/>
      <c r="N146" s="10"/>
      <c r="O146" s="6">
        <v>0</v>
      </c>
      <c r="P146" s="8">
        <f t="shared" si="2"/>
        <v>20</v>
      </c>
    </row>
    <row r="147" spans="1:16" ht="20" customHeight="1">
      <c r="A147" s="4">
        <v>44975</v>
      </c>
      <c r="B147" s="10"/>
      <c r="C147" s="10"/>
      <c r="D147" s="6">
        <v>0</v>
      </c>
      <c r="E147" s="6">
        <v>2</v>
      </c>
      <c r="F147" s="6">
        <v>8</v>
      </c>
      <c r="G147" s="6">
        <v>2</v>
      </c>
      <c r="H147" s="6">
        <v>6</v>
      </c>
      <c r="I147" s="6">
        <v>2</v>
      </c>
      <c r="J147" s="6">
        <v>1</v>
      </c>
      <c r="K147" s="10"/>
      <c r="L147" s="10"/>
      <c r="M147" s="10"/>
      <c r="N147" s="10"/>
      <c r="O147" s="6">
        <v>0</v>
      </c>
      <c r="P147" s="8">
        <f t="shared" si="2"/>
        <v>21</v>
      </c>
    </row>
    <row r="148" spans="1:16" ht="20" customHeight="1">
      <c r="A148" s="4">
        <v>44976</v>
      </c>
      <c r="B148" s="10"/>
      <c r="C148" s="10"/>
      <c r="D148" s="6">
        <v>1</v>
      </c>
      <c r="E148" s="6">
        <v>3</v>
      </c>
      <c r="F148" s="6">
        <v>2</v>
      </c>
      <c r="G148" s="6">
        <v>5</v>
      </c>
      <c r="H148" s="6">
        <v>3</v>
      </c>
      <c r="I148" s="6">
        <v>3</v>
      </c>
      <c r="J148" s="6">
        <v>0</v>
      </c>
      <c r="K148" s="10"/>
      <c r="L148" s="10"/>
      <c r="M148" s="10"/>
      <c r="N148" s="10"/>
      <c r="O148" s="6">
        <v>0</v>
      </c>
      <c r="P148" s="8">
        <f t="shared" si="2"/>
        <v>17</v>
      </c>
    </row>
    <row r="149" spans="1:16" ht="20" customHeight="1">
      <c r="A149" s="4">
        <v>44977</v>
      </c>
      <c r="B149" s="10"/>
      <c r="C149" s="10"/>
      <c r="D149" s="6">
        <v>1</v>
      </c>
      <c r="E149" s="6">
        <v>3</v>
      </c>
      <c r="F149" s="6">
        <v>4</v>
      </c>
      <c r="G149" s="6">
        <v>1</v>
      </c>
      <c r="H149" s="6">
        <v>7</v>
      </c>
      <c r="I149" s="6">
        <v>3</v>
      </c>
      <c r="J149" s="6">
        <v>0</v>
      </c>
      <c r="K149" s="10"/>
      <c r="L149" s="10"/>
      <c r="M149" s="10"/>
      <c r="N149" s="10"/>
      <c r="O149" s="6">
        <v>0</v>
      </c>
      <c r="P149" s="8">
        <f t="shared" si="2"/>
        <v>19</v>
      </c>
    </row>
    <row r="150" spans="1:16" ht="20" customHeight="1">
      <c r="A150" s="4">
        <v>44978</v>
      </c>
      <c r="B150" s="10"/>
      <c r="C150" s="10"/>
      <c r="D150" s="6">
        <v>0</v>
      </c>
      <c r="E150" s="6">
        <v>1</v>
      </c>
      <c r="F150" s="6">
        <v>3</v>
      </c>
      <c r="G150" s="6">
        <v>6</v>
      </c>
      <c r="H150" s="6">
        <v>5</v>
      </c>
      <c r="I150" s="6">
        <v>3</v>
      </c>
      <c r="J150" s="6">
        <v>0</v>
      </c>
      <c r="K150" s="10"/>
      <c r="L150" s="10"/>
      <c r="M150" s="10"/>
      <c r="N150" s="10"/>
      <c r="O150" s="6">
        <v>0</v>
      </c>
      <c r="P150" s="8">
        <f t="shared" si="2"/>
        <v>18</v>
      </c>
    </row>
    <row r="151" spans="1:16" ht="20" customHeight="1">
      <c r="A151" s="4">
        <v>44979</v>
      </c>
      <c r="B151" s="10"/>
      <c r="C151" s="10"/>
      <c r="D151" s="6">
        <v>3</v>
      </c>
      <c r="E151" s="6">
        <v>4</v>
      </c>
      <c r="F151" s="6">
        <v>0</v>
      </c>
      <c r="G151" s="6">
        <v>2</v>
      </c>
      <c r="H151" s="6">
        <v>3</v>
      </c>
      <c r="I151" s="6">
        <v>2</v>
      </c>
      <c r="J151" s="6">
        <v>0</v>
      </c>
      <c r="K151" s="10"/>
      <c r="L151" s="10"/>
      <c r="M151" s="10"/>
      <c r="N151" s="10"/>
      <c r="O151" s="6">
        <v>0</v>
      </c>
      <c r="P151" s="8">
        <f t="shared" si="2"/>
        <v>14</v>
      </c>
    </row>
    <row r="152" spans="1:16" ht="20" customHeight="1">
      <c r="A152" s="4">
        <v>44980</v>
      </c>
      <c r="B152" s="10"/>
      <c r="C152" s="10"/>
      <c r="D152" s="6">
        <v>1</v>
      </c>
      <c r="E152" s="6">
        <v>1</v>
      </c>
      <c r="F152" s="6">
        <v>1</v>
      </c>
      <c r="G152" s="6">
        <v>3</v>
      </c>
      <c r="H152" s="6">
        <v>3</v>
      </c>
      <c r="I152" s="6">
        <v>5</v>
      </c>
      <c r="J152" s="6">
        <v>0</v>
      </c>
      <c r="K152" s="10"/>
      <c r="L152" s="10"/>
      <c r="M152" s="10"/>
      <c r="N152" s="10"/>
      <c r="O152" s="6">
        <v>0</v>
      </c>
      <c r="P152" s="8">
        <f t="shared" si="2"/>
        <v>14</v>
      </c>
    </row>
    <row r="153" spans="1:16" ht="20" customHeight="1">
      <c r="A153" s="4">
        <v>44981</v>
      </c>
      <c r="B153" s="10"/>
      <c r="C153" s="10"/>
      <c r="D153" s="6">
        <v>0</v>
      </c>
      <c r="E153" s="6">
        <v>3</v>
      </c>
      <c r="F153" s="6">
        <v>1</v>
      </c>
      <c r="G153" s="6">
        <v>2</v>
      </c>
      <c r="H153" s="6">
        <v>3</v>
      </c>
      <c r="I153" s="6">
        <v>2</v>
      </c>
      <c r="J153" s="6">
        <v>1</v>
      </c>
      <c r="K153" s="10"/>
      <c r="L153" s="10"/>
      <c r="M153" s="10"/>
      <c r="N153" s="10"/>
      <c r="O153" s="6">
        <v>0</v>
      </c>
      <c r="P153" s="8">
        <f t="shared" si="2"/>
        <v>12</v>
      </c>
    </row>
    <row r="154" spans="1:16" ht="20" customHeight="1">
      <c r="A154" s="4">
        <v>44982</v>
      </c>
      <c r="B154" s="10"/>
      <c r="C154" s="10"/>
      <c r="D154" s="6">
        <v>0</v>
      </c>
      <c r="E154" s="6">
        <v>0</v>
      </c>
      <c r="F154" s="6">
        <v>1</v>
      </c>
      <c r="G154" s="6">
        <v>2</v>
      </c>
      <c r="H154" s="6">
        <v>2</v>
      </c>
      <c r="I154" s="6">
        <v>2</v>
      </c>
      <c r="J154" s="6">
        <v>1</v>
      </c>
      <c r="K154" s="10"/>
      <c r="L154" s="10"/>
      <c r="M154" s="10"/>
      <c r="N154" s="10"/>
      <c r="O154" s="6">
        <v>0</v>
      </c>
      <c r="P154" s="8">
        <f t="shared" si="2"/>
        <v>8</v>
      </c>
    </row>
    <row r="155" spans="1:16" ht="20" customHeight="1">
      <c r="A155" s="4">
        <v>44983</v>
      </c>
      <c r="B155" s="10"/>
      <c r="C155" s="10"/>
      <c r="D155" s="6">
        <v>0</v>
      </c>
      <c r="E155" s="6">
        <v>0</v>
      </c>
      <c r="F155" s="6">
        <v>4</v>
      </c>
      <c r="G155" s="6">
        <v>4</v>
      </c>
      <c r="H155" s="6">
        <v>8</v>
      </c>
      <c r="I155" s="6">
        <v>3</v>
      </c>
      <c r="J155" s="6">
        <v>1</v>
      </c>
      <c r="K155" s="10"/>
      <c r="L155" s="10"/>
      <c r="M155" s="10"/>
      <c r="N155" s="10"/>
      <c r="O155" s="6">
        <v>0</v>
      </c>
      <c r="P155" s="8">
        <f t="shared" si="2"/>
        <v>20</v>
      </c>
    </row>
    <row r="156" spans="1:16" ht="20" customHeight="1">
      <c r="A156" s="4">
        <v>44984</v>
      </c>
      <c r="B156" s="10"/>
      <c r="C156" s="10"/>
      <c r="D156" s="6">
        <v>0</v>
      </c>
      <c r="E156" s="6">
        <v>2</v>
      </c>
      <c r="F156" s="6">
        <v>3</v>
      </c>
      <c r="G156" s="6">
        <v>2</v>
      </c>
      <c r="H156" s="6">
        <v>2</v>
      </c>
      <c r="I156" s="6">
        <v>1</v>
      </c>
      <c r="J156" s="6">
        <v>1</v>
      </c>
      <c r="K156" s="10"/>
      <c r="L156" s="10"/>
      <c r="M156" s="10"/>
      <c r="N156" s="10"/>
      <c r="O156" s="6">
        <v>0</v>
      </c>
      <c r="P156" s="8">
        <f t="shared" si="2"/>
        <v>11</v>
      </c>
    </row>
    <row r="157" spans="1:16" ht="20" customHeight="1">
      <c r="A157" s="4">
        <v>44985</v>
      </c>
      <c r="B157" s="10"/>
      <c r="C157" s="10"/>
      <c r="D157" s="6">
        <v>3</v>
      </c>
      <c r="E157" s="6">
        <v>3</v>
      </c>
      <c r="F157" s="6">
        <v>1</v>
      </c>
      <c r="G157" s="6">
        <v>8</v>
      </c>
      <c r="H157" s="6">
        <v>5</v>
      </c>
      <c r="I157" s="6">
        <v>1</v>
      </c>
      <c r="J157" s="6">
        <v>1</v>
      </c>
      <c r="K157" s="10"/>
      <c r="L157" s="10"/>
      <c r="M157" s="10"/>
      <c r="N157" s="10"/>
      <c r="O157" s="6">
        <v>0</v>
      </c>
      <c r="P157" s="8">
        <f t="shared" si="2"/>
        <v>22</v>
      </c>
    </row>
    <row r="158" spans="1:16" ht="20" customHeight="1">
      <c r="A158" s="4">
        <v>44986</v>
      </c>
      <c r="B158" s="10"/>
      <c r="C158" s="10"/>
      <c r="D158" s="6">
        <v>1</v>
      </c>
      <c r="E158" s="6">
        <v>3</v>
      </c>
      <c r="F158" s="6">
        <v>2</v>
      </c>
      <c r="G158" s="6">
        <v>4</v>
      </c>
      <c r="H158" s="6">
        <v>4</v>
      </c>
      <c r="I158" s="6">
        <v>2</v>
      </c>
      <c r="J158" s="6">
        <v>3</v>
      </c>
      <c r="K158" s="10"/>
      <c r="L158" s="10"/>
      <c r="M158" s="10"/>
      <c r="N158" s="10"/>
      <c r="O158" s="6">
        <v>0</v>
      </c>
      <c r="P158" s="8">
        <f t="shared" si="2"/>
        <v>19</v>
      </c>
    </row>
    <row r="159" spans="1:16" ht="20" customHeight="1">
      <c r="A159" s="4">
        <v>44987</v>
      </c>
      <c r="B159" s="10"/>
      <c r="C159" s="10"/>
      <c r="D159" s="6">
        <v>0</v>
      </c>
      <c r="E159" s="6">
        <v>1</v>
      </c>
      <c r="F159" s="6">
        <v>6</v>
      </c>
      <c r="G159" s="6">
        <v>4</v>
      </c>
      <c r="H159" s="6">
        <v>3</v>
      </c>
      <c r="I159" s="6">
        <v>1</v>
      </c>
      <c r="J159" s="6">
        <v>0</v>
      </c>
      <c r="K159" s="10"/>
      <c r="L159" s="10"/>
      <c r="M159" s="10"/>
      <c r="N159" s="10"/>
      <c r="O159" s="6">
        <v>0</v>
      </c>
      <c r="P159" s="8">
        <f t="shared" si="2"/>
        <v>15</v>
      </c>
    </row>
    <row r="160" spans="1:16" ht="20" customHeight="1">
      <c r="A160" s="4">
        <v>44988</v>
      </c>
      <c r="B160" s="10"/>
      <c r="C160" s="10"/>
      <c r="D160" s="6">
        <v>2</v>
      </c>
      <c r="E160" s="6">
        <v>2</v>
      </c>
      <c r="F160" s="6">
        <v>1</v>
      </c>
      <c r="G160" s="6">
        <v>4</v>
      </c>
      <c r="H160" s="6">
        <v>4</v>
      </c>
      <c r="I160" s="6">
        <v>3</v>
      </c>
      <c r="J160" s="6">
        <v>2</v>
      </c>
      <c r="K160" s="10"/>
      <c r="L160" s="10"/>
      <c r="M160" s="10"/>
      <c r="N160" s="10"/>
      <c r="O160" s="6">
        <v>0</v>
      </c>
      <c r="P160" s="8">
        <f t="shared" si="2"/>
        <v>18</v>
      </c>
    </row>
    <row r="161" spans="1:16" ht="20" customHeight="1">
      <c r="A161" s="4">
        <v>44989</v>
      </c>
      <c r="B161" s="10"/>
      <c r="C161" s="10"/>
      <c r="D161" s="6">
        <v>1</v>
      </c>
      <c r="E161" s="6">
        <v>0</v>
      </c>
      <c r="F161" s="6">
        <v>5</v>
      </c>
      <c r="G161" s="6">
        <v>5</v>
      </c>
      <c r="H161" s="6">
        <v>3</v>
      </c>
      <c r="I161" s="6">
        <v>1</v>
      </c>
      <c r="J161" s="6">
        <v>0</v>
      </c>
      <c r="K161" s="10"/>
      <c r="L161" s="10"/>
      <c r="M161" s="10"/>
      <c r="N161" s="10"/>
      <c r="O161" s="6">
        <v>0</v>
      </c>
      <c r="P161" s="8">
        <f t="shared" si="2"/>
        <v>15</v>
      </c>
    </row>
    <row r="162" spans="1:16" ht="20" customHeight="1">
      <c r="A162" s="4">
        <v>44990</v>
      </c>
      <c r="B162" s="10"/>
      <c r="C162" s="10"/>
      <c r="D162" s="6">
        <v>1</v>
      </c>
      <c r="E162" s="6">
        <v>1</v>
      </c>
      <c r="F162" s="6">
        <v>2</v>
      </c>
      <c r="G162" s="6">
        <v>6</v>
      </c>
      <c r="H162" s="6">
        <v>2</v>
      </c>
      <c r="I162" s="6">
        <v>1</v>
      </c>
      <c r="J162" s="6">
        <v>0</v>
      </c>
      <c r="K162" s="10"/>
      <c r="L162" s="10"/>
      <c r="M162" s="10"/>
      <c r="N162" s="10"/>
      <c r="O162" s="6">
        <v>0</v>
      </c>
      <c r="P162" s="8">
        <f t="shared" si="2"/>
        <v>13</v>
      </c>
    </row>
    <row r="163" spans="1:16" ht="20" customHeight="1">
      <c r="A163" s="4">
        <v>44991</v>
      </c>
      <c r="B163" s="10"/>
      <c r="C163" s="10"/>
      <c r="D163" s="6">
        <v>0</v>
      </c>
      <c r="E163" s="6">
        <v>3</v>
      </c>
      <c r="F163" s="6">
        <v>1</v>
      </c>
      <c r="G163" s="6">
        <v>4</v>
      </c>
      <c r="H163" s="6">
        <v>3</v>
      </c>
      <c r="I163" s="6">
        <v>1</v>
      </c>
      <c r="J163" s="6">
        <v>2</v>
      </c>
      <c r="K163" s="10"/>
      <c r="L163" s="10"/>
      <c r="M163" s="10"/>
      <c r="N163" s="10"/>
      <c r="O163" s="6">
        <v>0</v>
      </c>
      <c r="P163" s="8">
        <f t="shared" si="2"/>
        <v>14</v>
      </c>
    </row>
    <row r="164" spans="1:16" ht="20" customHeight="1">
      <c r="A164" s="4">
        <v>44992</v>
      </c>
      <c r="B164" s="10"/>
      <c r="C164" s="10"/>
      <c r="D164" s="6">
        <v>0</v>
      </c>
      <c r="E164" s="6">
        <v>1</v>
      </c>
      <c r="F164" s="6">
        <v>3</v>
      </c>
      <c r="G164" s="6">
        <v>2</v>
      </c>
      <c r="H164" s="6">
        <v>5</v>
      </c>
      <c r="I164" s="6">
        <v>2</v>
      </c>
      <c r="J164" s="6">
        <v>1</v>
      </c>
      <c r="K164" s="10"/>
      <c r="L164" s="10"/>
      <c r="M164" s="10"/>
      <c r="N164" s="10"/>
      <c r="O164" s="6">
        <v>0</v>
      </c>
      <c r="P164" s="8">
        <f t="shared" si="2"/>
        <v>14</v>
      </c>
    </row>
    <row r="165" spans="1:16" ht="20" customHeight="1">
      <c r="A165" s="4">
        <v>44993</v>
      </c>
      <c r="B165" s="10"/>
      <c r="C165" s="10"/>
      <c r="D165" s="6">
        <v>0</v>
      </c>
      <c r="E165" s="6">
        <v>0</v>
      </c>
      <c r="F165" s="6">
        <v>2</v>
      </c>
      <c r="G165" s="6">
        <v>6</v>
      </c>
      <c r="H165" s="6">
        <v>5</v>
      </c>
      <c r="I165" s="6">
        <v>2</v>
      </c>
      <c r="J165" s="6">
        <v>0</v>
      </c>
      <c r="K165" s="10"/>
      <c r="L165" s="10"/>
      <c r="M165" s="10"/>
      <c r="N165" s="10"/>
      <c r="O165" s="6">
        <v>0</v>
      </c>
      <c r="P165" s="8">
        <f t="shared" si="2"/>
        <v>15</v>
      </c>
    </row>
    <row r="166" spans="1:16" ht="20" customHeight="1">
      <c r="A166" s="4">
        <v>44994</v>
      </c>
      <c r="B166" s="10"/>
      <c r="C166" s="10"/>
      <c r="D166" s="6">
        <v>0</v>
      </c>
      <c r="E166" s="6">
        <v>0</v>
      </c>
      <c r="F166" s="6">
        <v>2</v>
      </c>
      <c r="G166" s="6">
        <v>3</v>
      </c>
      <c r="H166" s="6">
        <v>0</v>
      </c>
      <c r="I166" s="6">
        <v>0</v>
      </c>
      <c r="J166" s="6">
        <v>0</v>
      </c>
      <c r="K166" s="10"/>
      <c r="L166" s="10"/>
      <c r="M166" s="10"/>
      <c r="N166" s="10"/>
      <c r="O166" s="6">
        <v>0</v>
      </c>
      <c r="P166" s="8">
        <f t="shared" si="2"/>
        <v>5</v>
      </c>
    </row>
    <row r="167" spans="1:16" ht="20" customHeight="1">
      <c r="A167" s="4">
        <v>44995</v>
      </c>
      <c r="B167" s="10"/>
      <c r="C167" s="10"/>
      <c r="D167" s="6">
        <v>0</v>
      </c>
      <c r="E167" s="6">
        <v>0</v>
      </c>
      <c r="F167" s="6">
        <v>6</v>
      </c>
      <c r="G167" s="6">
        <v>2</v>
      </c>
      <c r="H167" s="6">
        <v>2</v>
      </c>
      <c r="I167" s="6">
        <v>1</v>
      </c>
      <c r="J167" s="6">
        <v>1</v>
      </c>
      <c r="K167" s="10"/>
      <c r="L167" s="10"/>
      <c r="M167" s="10"/>
      <c r="N167" s="10"/>
      <c r="O167" s="6">
        <v>0</v>
      </c>
      <c r="P167" s="8">
        <f t="shared" si="2"/>
        <v>12</v>
      </c>
    </row>
    <row r="168" spans="1:16" ht="20" customHeight="1">
      <c r="A168" s="4">
        <v>44996</v>
      </c>
      <c r="B168" s="10"/>
      <c r="C168" s="10"/>
      <c r="D168" s="6">
        <v>0</v>
      </c>
      <c r="E168" s="6">
        <v>3</v>
      </c>
      <c r="F168" s="6">
        <v>3</v>
      </c>
      <c r="G168" s="6">
        <v>0</v>
      </c>
      <c r="H168" s="6">
        <v>0</v>
      </c>
      <c r="I168" s="6">
        <v>1</v>
      </c>
      <c r="J168" s="6">
        <v>1</v>
      </c>
      <c r="K168" s="10"/>
      <c r="L168" s="10"/>
      <c r="M168" s="10"/>
      <c r="N168" s="10"/>
      <c r="O168" s="6">
        <v>0</v>
      </c>
      <c r="P168" s="8">
        <f t="shared" si="2"/>
        <v>8</v>
      </c>
    </row>
    <row r="169" spans="1:16" ht="20" customHeight="1">
      <c r="A169" s="4">
        <v>44997</v>
      </c>
      <c r="B169" s="10"/>
      <c r="C169" s="10"/>
      <c r="D169" s="6">
        <v>1</v>
      </c>
      <c r="E169" s="6">
        <v>2</v>
      </c>
      <c r="F169" s="6">
        <v>1</v>
      </c>
      <c r="G169" s="6">
        <v>5</v>
      </c>
      <c r="H169" s="6">
        <v>0</v>
      </c>
      <c r="I169" s="6">
        <v>0</v>
      </c>
      <c r="J169" s="6">
        <v>0</v>
      </c>
      <c r="K169" s="10"/>
      <c r="L169" s="10"/>
      <c r="M169" s="10"/>
      <c r="N169" s="10"/>
      <c r="O169" s="6">
        <v>0</v>
      </c>
      <c r="P169" s="8">
        <f t="shared" si="2"/>
        <v>9</v>
      </c>
    </row>
    <row r="170" spans="1:16" ht="20" customHeight="1">
      <c r="A170" s="4">
        <v>44998</v>
      </c>
      <c r="B170" s="10"/>
      <c r="C170" s="10"/>
      <c r="D170" s="6">
        <v>0</v>
      </c>
      <c r="E170" s="6">
        <v>0</v>
      </c>
      <c r="F170" s="6">
        <v>1</v>
      </c>
      <c r="G170" s="6">
        <v>2</v>
      </c>
      <c r="H170" s="6">
        <v>0</v>
      </c>
      <c r="I170" s="6">
        <v>2</v>
      </c>
      <c r="J170" s="6">
        <v>0</v>
      </c>
      <c r="K170" s="10"/>
      <c r="L170" s="10"/>
      <c r="M170" s="10"/>
      <c r="N170" s="10"/>
      <c r="O170" s="6">
        <v>0</v>
      </c>
      <c r="P170" s="8">
        <f t="shared" si="2"/>
        <v>5</v>
      </c>
    </row>
    <row r="171" spans="1:16" ht="20" customHeight="1">
      <c r="A171" s="4">
        <v>44999</v>
      </c>
      <c r="B171" s="10"/>
      <c r="C171" s="10"/>
      <c r="D171" s="6">
        <v>0</v>
      </c>
      <c r="E171" s="6">
        <v>1</v>
      </c>
      <c r="F171" s="6">
        <v>1</v>
      </c>
      <c r="G171" s="6">
        <v>2</v>
      </c>
      <c r="H171" s="6">
        <v>2</v>
      </c>
      <c r="I171" s="6">
        <v>2</v>
      </c>
      <c r="J171" s="6">
        <v>0</v>
      </c>
      <c r="K171" s="10"/>
      <c r="L171" s="10"/>
      <c r="M171" s="10"/>
      <c r="N171" s="10"/>
      <c r="O171" s="6">
        <v>0</v>
      </c>
      <c r="P171" s="8">
        <f t="shared" si="2"/>
        <v>8</v>
      </c>
    </row>
    <row r="172" spans="1:16" ht="20" customHeight="1">
      <c r="A172" s="4">
        <v>45000</v>
      </c>
      <c r="B172" s="10"/>
      <c r="C172" s="10"/>
      <c r="D172" s="6">
        <v>0</v>
      </c>
      <c r="E172" s="6">
        <v>4</v>
      </c>
      <c r="F172" s="6">
        <v>4</v>
      </c>
      <c r="G172" s="6">
        <v>4</v>
      </c>
      <c r="H172" s="6">
        <v>3</v>
      </c>
      <c r="I172" s="6">
        <v>0</v>
      </c>
      <c r="J172" s="6">
        <v>1</v>
      </c>
      <c r="K172" s="10"/>
      <c r="L172" s="10"/>
      <c r="M172" s="10"/>
      <c r="N172" s="10"/>
      <c r="O172" s="6">
        <v>0</v>
      </c>
      <c r="P172" s="8">
        <f t="shared" si="2"/>
        <v>16</v>
      </c>
    </row>
    <row r="173" spans="1:16" ht="20" customHeight="1">
      <c r="A173" s="4">
        <v>45001</v>
      </c>
      <c r="B173" s="10"/>
      <c r="C173" s="10"/>
      <c r="D173" s="6">
        <v>0</v>
      </c>
      <c r="E173" s="6">
        <v>1</v>
      </c>
      <c r="F173" s="6">
        <v>1</v>
      </c>
      <c r="G173" s="6">
        <v>2</v>
      </c>
      <c r="H173" s="6">
        <v>2</v>
      </c>
      <c r="I173" s="6">
        <v>0</v>
      </c>
      <c r="J173" s="6">
        <v>1</v>
      </c>
      <c r="K173" s="10"/>
      <c r="L173" s="10"/>
      <c r="M173" s="10"/>
      <c r="N173" s="10"/>
      <c r="O173" s="6">
        <v>0</v>
      </c>
      <c r="P173" s="8">
        <f t="shared" si="2"/>
        <v>7</v>
      </c>
    </row>
    <row r="174" spans="1:16" ht="20" customHeight="1">
      <c r="A174" s="4">
        <v>45002</v>
      </c>
      <c r="B174" s="10"/>
      <c r="C174" s="10"/>
      <c r="D174" s="6">
        <v>2</v>
      </c>
      <c r="E174" s="6">
        <v>0</v>
      </c>
      <c r="F174" s="6">
        <v>1</v>
      </c>
      <c r="G174" s="6">
        <v>1</v>
      </c>
      <c r="H174" s="6">
        <v>2</v>
      </c>
      <c r="I174" s="6">
        <v>2</v>
      </c>
      <c r="J174" s="6">
        <v>0</v>
      </c>
      <c r="K174" s="10"/>
      <c r="L174" s="10"/>
      <c r="M174" s="10"/>
      <c r="N174" s="10"/>
      <c r="O174" s="6">
        <v>0</v>
      </c>
      <c r="P174" s="8">
        <f t="shared" si="2"/>
        <v>8</v>
      </c>
    </row>
    <row r="175" spans="1:16" ht="20" customHeight="1">
      <c r="A175" s="4">
        <v>45003</v>
      </c>
      <c r="B175" s="10"/>
      <c r="C175" s="10"/>
      <c r="D175" s="6">
        <v>0</v>
      </c>
      <c r="E175" s="6">
        <v>0</v>
      </c>
      <c r="F175" s="6">
        <v>0</v>
      </c>
      <c r="G175" s="6">
        <v>1</v>
      </c>
      <c r="H175" s="6">
        <v>1</v>
      </c>
      <c r="I175" s="6">
        <v>1</v>
      </c>
      <c r="J175" s="6">
        <v>0</v>
      </c>
      <c r="K175" s="10"/>
      <c r="L175" s="10"/>
      <c r="M175" s="10"/>
      <c r="N175" s="10"/>
      <c r="O175" s="6">
        <v>0</v>
      </c>
      <c r="P175" s="8">
        <f t="shared" si="2"/>
        <v>3</v>
      </c>
    </row>
    <row r="176" spans="1:16" ht="20" customHeight="1">
      <c r="A176" s="4">
        <v>45004</v>
      </c>
      <c r="B176" s="10"/>
      <c r="C176" s="10"/>
      <c r="D176" s="6">
        <v>0</v>
      </c>
      <c r="E176" s="6">
        <v>0</v>
      </c>
      <c r="F176" s="6">
        <v>1</v>
      </c>
      <c r="G176" s="6">
        <v>2</v>
      </c>
      <c r="H176" s="6">
        <v>1</v>
      </c>
      <c r="I176" s="6">
        <v>0</v>
      </c>
      <c r="J176" s="6">
        <v>0</v>
      </c>
      <c r="K176" s="10"/>
      <c r="L176" s="10"/>
      <c r="M176" s="10"/>
      <c r="N176" s="10"/>
      <c r="O176" s="6">
        <v>0</v>
      </c>
      <c r="P176" s="8">
        <f t="shared" si="2"/>
        <v>4</v>
      </c>
    </row>
    <row r="177" spans="1:16" ht="20" customHeight="1">
      <c r="A177" s="4">
        <v>45005</v>
      </c>
      <c r="B177" s="10"/>
      <c r="C177" s="10"/>
      <c r="D177" s="6">
        <v>0</v>
      </c>
      <c r="E177" s="6">
        <v>0</v>
      </c>
      <c r="F177" s="6">
        <v>1</v>
      </c>
      <c r="G177" s="6">
        <v>0</v>
      </c>
      <c r="H177" s="6">
        <v>2</v>
      </c>
      <c r="I177" s="6">
        <v>0</v>
      </c>
      <c r="J177" s="6">
        <v>0</v>
      </c>
      <c r="K177" s="10"/>
      <c r="L177" s="10"/>
      <c r="M177" s="10"/>
      <c r="N177" s="10"/>
      <c r="O177" s="6">
        <v>0</v>
      </c>
      <c r="P177" s="8">
        <f t="shared" si="2"/>
        <v>3</v>
      </c>
    </row>
    <row r="178" spans="1:16" ht="20" customHeight="1">
      <c r="A178" s="4">
        <v>45006</v>
      </c>
      <c r="B178" s="10"/>
      <c r="C178" s="10"/>
      <c r="D178" s="6">
        <v>1</v>
      </c>
      <c r="E178" s="6">
        <v>1</v>
      </c>
      <c r="F178" s="6">
        <v>1</v>
      </c>
      <c r="G178" s="6">
        <v>2</v>
      </c>
      <c r="H178" s="6">
        <v>1</v>
      </c>
      <c r="I178" s="6">
        <v>1</v>
      </c>
      <c r="J178" s="6">
        <v>0</v>
      </c>
      <c r="K178" s="10"/>
      <c r="L178" s="10"/>
      <c r="M178" s="10"/>
      <c r="N178" s="10"/>
      <c r="O178" s="6">
        <v>0</v>
      </c>
      <c r="P178" s="8">
        <f t="shared" si="2"/>
        <v>7</v>
      </c>
    </row>
    <row r="179" spans="1:16" ht="20" customHeight="1">
      <c r="A179" s="4">
        <v>45007</v>
      </c>
      <c r="B179" s="10"/>
      <c r="C179" s="10"/>
      <c r="D179" s="6">
        <v>0</v>
      </c>
      <c r="E179" s="6">
        <v>3</v>
      </c>
      <c r="F179" s="6">
        <v>3</v>
      </c>
      <c r="G179" s="6">
        <v>5</v>
      </c>
      <c r="H179" s="6">
        <v>1</v>
      </c>
      <c r="I179" s="6">
        <v>2</v>
      </c>
      <c r="J179" s="6">
        <v>0</v>
      </c>
      <c r="K179" s="10"/>
      <c r="L179" s="10"/>
      <c r="M179" s="10"/>
      <c r="N179" s="10"/>
      <c r="O179" s="6">
        <v>0</v>
      </c>
      <c r="P179" s="8">
        <f t="shared" si="2"/>
        <v>14</v>
      </c>
    </row>
    <row r="180" spans="1:16" ht="20" customHeight="1">
      <c r="A180" s="4">
        <v>45008</v>
      </c>
      <c r="B180" s="10"/>
      <c r="C180" s="10"/>
      <c r="D180" s="6">
        <v>1</v>
      </c>
      <c r="E180" s="6">
        <v>0</v>
      </c>
      <c r="F180" s="6">
        <v>0</v>
      </c>
      <c r="G180" s="6">
        <v>2</v>
      </c>
      <c r="H180" s="6">
        <v>1</v>
      </c>
      <c r="I180" s="6">
        <v>2</v>
      </c>
      <c r="J180" s="6">
        <v>0</v>
      </c>
      <c r="K180" s="10"/>
      <c r="L180" s="10"/>
      <c r="M180" s="10"/>
      <c r="N180" s="10"/>
      <c r="O180" s="6">
        <v>0</v>
      </c>
      <c r="P180" s="8">
        <f t="shared" si="2"/>
        <v>6</v>
      </c>
    </row>
    <row r="181" spans="1:16" ht="20" customHeight="1">
      <c r="A181" s="4">
        <v>45009</v>
      </c>
      <c r="B181" s="10"/>
      <c r="C181" s="10"/>
      <c r="D181" s="6">
        <v>0</v>
      </c>
      <c r="E181" s="6">
        <v>1</v>
      </c>
      <c r="F181" s="6">
        <v>3</v>
      </c>
      <c r="G181" s="6">
        <v>1</v>
      </c>
      <c r="H181" s="6">
        <v>0</v>
      </c>
      <c r="I181" s="6">
        <v>1</v>
      </c>
      <c r="J181" s="6">
        <v>0</v>
      </c>
      <c r="K181" s="10"/>
      <c r="L181" s="10"/>
      <c r="M181" s="10"/>
      <c r="N181" s="10"/>
      <c r="O181" s="6">
        <v>0</v>
      </c>
      <c r="P181" s="8">
        <f t="shared" si="2"/>
        <v>6</v>
      </c>
    </row>
    <row r="182" spans="1:16" ht="20" customHeight="1">
      <c r="A182" s="4">
        <v>45010</v>
      </c>
      <c r="B182" s="10"/>
      <c r="C182" s="10"/>
      <c r="D182" s="6">
        <v>0</v>
      </c>
      <c r="E182" s="6">
        <v>0</v>
      </c>
      <c r="F182" s="6">
        <v>0</v>
      </c>
      <c r="G182" s="6">
        <v>4</v>
      </c>
      <c r="H182" s="6">
        <v>2</v>
      </c>
      <c r="I182" s="6">
        <v>1</v>
      </c>
      <c r="J182" s="6">
        <v>0</v>
      </c>
      <c r="K182" s="10"/>
      <c r="L182" s="10"/>
      <c r="M182" s="10"/>
      <c r="N182" s="10"/>
      <c r="O182" s="6">
        <v>0</v>
      </c>
      <c r="P182" s="8">
        <f t="shared" si="2"/>
        <v>7</v>
      </c>
    </row>
    <row r="183" spans="1:16" ht="20" customHeight="1">
      <c r="A183" s="4">
        <v>45011</v>
      </c>
      <c r="B183" s="10"/>
      <c r="C183" s="10"/>
      <c r="D183" s="6">
        <v>0</v>
      </c>
      <c r="E183" s="6">
        <v>0</v>
      </c>
      <c r="F183" s="6">
        <v>1</v>
      </c>
      <c r="G183" s="6">
        <v>2</v>
      </c>
      <c r="H183" s="6">
        <v>0</v>
      </c>
      <c r="I183" s="6">
        <v>2</v>
      </c>
      <c r="J183" s="6">
        <v>0</v>
      </c>
      <c r="K183" s="10"/>
      <c r="L183" s="10"/>
      <c r="M183" s="10"/>
      <c r="N183" s="10"/>
      <c r="O183" s="6">
        <v>0</v>
      </c>
      <c r="P183" s="8">
        <f t="shared" si="2"/>
        <v>5</v>
      </c>
    </row>
    <row r="184" spans="1:16" ht="20" customHeight="1">
      <c r="A184" s="4">
        <v>45012</v>
      </c>
      <c r="B184" s="10"/>
      <c r="C184" s="10"/>
      <c r="D184" s="6">
        <v>0</v>
      </c>
      <c r="E184" s="6">
        <v>0</v>
      </c>
      <c r="F184" s="6">
        <v>1</v>
      </c>
      <c r="G184" s="6">
        <v>1</v>
      </c>
      <c r="H184" s="6">
        <v>3</v>
      </c>
      <c r="I184" s="6">
        <v>0</v>
      </c>
      <c r="J184" s="6">
        <v>1</v>
      </c>
      <c r="K184" s="10"/>
      <c r="L184" s="10"/>
      <c r="M184" s="10"/>
      <c r="N184" s="10"/>
      <c r="O184" s="6">
        <v>0</v>
      </c>
      <c r="P184" s="8">
        <f t="shared" si="2"/>
        <v>6</v>
      </c>
    </row>
    <row r="185" spans="1:16" ht="20" customHeight="1">
      <c r="A185" s="4">
        <v>45013</v>
      </c>
      <c r="B185" s="10"/>
      <c r="C185" s="10"/>
      <c r="D185" s="6">
        <v>0</v>
      </c>
      <c r="E185" s="6">
        <v>0</v>
      </c>
      <c r="F185" s="6">
        <v>3</v>
      </c>
      <c r="G185" s="6">
        <v>0</v>
      </c>
      <c r="H185" s="6">
        <v>1</v>
      </c>
      <c r="I185" s="6">
        <v>2</v>
      </c>
      <c r="J185" s="6">
        <v>0</v>
      </c>
      <c r="K185" s="10"/>
      <c r="L185" s="10"/>
      <c r="M185" s="10"/>
      <c r="N185" s="10"/>
      <c r="O185" s="6">
        <v>0</v>
      </c>
      <c r="P185" s="8">
        <f t="shared" si="2"/>
        <v>6</v>
      </c>
    </row>
    <row r="186" spans="1:16" ht="20" customHeight="1">
      <c r="A186" s="4">
        <v>45014</v>
      </c>
      <c r="B186" s="10"/>
      <c r="C186" s="10"/>
      <c r="D186" s="6">
        <v>0</v>
      </c>
      <c r="E186" s="6">
        <v>1</v>
      </c>
      <c r="F186" s="6">
        <v>1</v>
      </c>
      <c r="G186" s="6">
        <v>0</v>
      </c>
      <c r="H186" s="6">
        <v>2</v>
      </c>
      <c r="I186" s="6">
        <v>1</v>
      </c>
      <c r="J186" s="6">
        <v>0</v>
      </c>
      <c r="K186" s="10"/>
      <c r="L186" s="10"/>
      <c r="M186" s="10"/>
      <c r="N186" s="10"/>
      <c r="O186" s="6">
        <v>0</v>
      </c>
      <c r="P186" s="8">
        <f t="shared" si="2"/>
        <v>5</v>
      </c>
    </row>
    <row r="187" spans="1:16" ht="20" customHeight="1">
      <c r="A187" s="4">
        <v>45015</v>
      </c>
      <c r="B187" s="10"/>
      <c r="C187" s="10"/>
      <c r="D187" s="6">
        <v>0</v>
      </c>
      <c r="E187" s="6">
        <v>1</v>
      </c>
      <c r="F187" s="6">
        <v>1</v>
      </c>
      <c r="G187" s="6">
        <v>0</v>
      </c>
      <c r="H187" s="6">
        <v>1</v>
      </c>
      <c r="I187" s="6">
        <v>1</v>
      </c>
      <c r="J187" s="6">
        <v>0</v>
      </c>
      <c r="K187" s="10"/>
      <c r="L187" s="10"/>
      <c r="M187" s="10"/>
      <c r="N187" s="10"/>
      <c r="O187" s="6">
        <v>0</v>
      </c>
      <c r="P187" s="8">
        <f t="shared" si="2"/>
        <v>4</v>
      </c>
    </row>
    <row r="188" spans="1:16" ht="20" customHeight="1">
      <c r="A188" s="4">
        <v>45016</v>
      </c>
      <c r="B188" s="10"/>
      <c r="C188" s="10"/>
      <c r="D188" s="6">
        <v>1</v>
      </c>
      <c r="E188" s="6">
        <v>0</v>
      </c>
      <c r="F188" s="6">
        <v>3</v>
      </c>
      <c r="G188" s="6">
        <v>2</v>
      </c>
      <c r="H188" s="6">
        <v>0</v>
      </c>
      <c r="I188" s="6">
        <v>1</v>
      </c>
      <c r="J188" s="6">
        <v>0</v>
      </c>
      <c r="K188" s="10"/>
      <c r="L188" s="10"/>
      <c r="M188" s="10"/>
      <c r="N188" s="10"/>
      <c r="O188" s="6">
        <v>0</v>
      </c>
      <c r="P188" s="8">
        <f t="shared" si="2"/>
        <v>7</v>
      </c>
    </row>
    <row r="189" spans="1:16" ht="20" customHeight="1">
      <c r="A189" s="4">
        <v>45017</v>
      </c>
      <c r="B189" s="10"/>
      <c r="C189" s="10"/>
      <c r="D189" s="6">
        <v>0</v>
      </c>
      <c r="E189" s="6">
        <v>0</v>
      </c>
      <c r="F189" s="6">
        <v>2</v>
      </c>
      <c r="G189" s="6">
        <v>3</v>
      </c>
      <c r="H189" s="6">
        <v>2</v>
      </c>
      <c r="I189" s="6">
        <v>2</v>
      </c>
      <c r="J189" s="6">
        <v>1</v>
      </c>
      <c r="K189" s="10"/>
      <c r="L189" s="10"/>
      <c r="M189" s="10"/>
      <c r="N189" s="10"/>
      <c r="O189" s="6">
        <v>0</v>
      </c>
      <c r="P189" s="8">
        <f t="shared" si="2"/>
        <v>10</v>
      </c>
    </row>
    <row r="190" spans="1:16" ht="20" customHeight="1">
      <c r="A190" s="4">
        <v>45018</v>
      </c>
      <c r="B190" s="10"/>
      <c r="C190" s="10"/>
      <c r="D190" s="6">
        <v>1</v>
      </c>
      <c r="E190" s="6">
        <v>3</v>
      </c>
      <c r="F190" s="6">
        <v>0</v>
      </c>
      <c r="G190" s="6">
        <v>4</v>
      </c>
      <c r="H190" s="6">
        <v>2</v>
      </c>
      <c r="I190" s="6">
        <v>4</v>
      </c>
      <c r="J190" s="6">
        <v>0</v>
      </c>
      <c r="K190" s="10"/>
      <c r="L190" s="10"/>
      <c r="M190" s="10"/>
      <c r="N190" s="10"/>
      <c r="O190" s="6">
        <v>0</v>
      </c>
      <c r="P190" s="8">
        <f t="shared" si="2"/>
        <v>14</v>
      </c>
    </row>
    <row r="191" spans="1:16" ht="20" customHeight="1">
      <c r="A191" s="4">
        <v>45019</v>
      </c>
      <c r="B191" s="10"/>
      <c r="C191" s="10"/>
      <c r="D191" s="6">
        <v>0</v>
      </c>
      <c r="E191" s="6">
        <v>1</v>
      </c>
      <c r="F191" s="6">
        <v>3</v>
      </c>
      <c r="G191" s="6">
        <v>1</v>
      </c>
      <c r="H191" s="6">
        <v>6</v>
      </c>
      <c r="I191" s="6">
        <v>1</v>
      </c>
      <c r="J191" s="6">
        <v>1</v>
      </c>
      <c r="K191" s="10"/>
      <c r="L191" s="10"/>
      <c r="M191" s="10"/>
      <c r="N191" s="10"/>
      <c r="O191" s="6">
        <v>0</v>
      </c>
      <c r="P191" s="8">
        <f t="shared" si="2"/>
        <v>13</v>
      </c>
    </row>
    <row r="192" spans="1:16" ht="20" customHeight="1">
      <c r="A192" s="4">
        <v>45020</v>
      </c>
      <c r="B192" s="10"/>
      <c r="C192" s="10"/>
      <c r="D192" s="6">
        <v>1</v>
      </c>
      <c r="E192" s="6">
        <v>3</v>
      </c>
      <c r="F192" s="6">
        <v>2</v>
      </c>
      <c r="G192" s="6">
        <v>3</v>
      </c>
      <c r="H192" s="6">
        <v>4</v>
      </c>
      <c r="I192" s="6">
        <v>2</v>
      </c>
      <c r="J192" s="6">
        <v>1</v>
      </c>
      <c r="K192" s="10"/>
      <c r="L192" s="10"/>
      <c r="M192" s="10"/>
      <c r="N192" s="10"/>
      <c r="O192" s="6">
        <v>0</v>
      </c>
      <c r="P192" s="8">
        <f t="shared" si="2"/>
        <v>16</v>
      </c>
    </row>
    <row r="193" spans="1:16" ht="20" customHeight="1">
      <c r="A193" s="4">
        <v>45021</v>
      </c>
      <c r="B193" s="10"/>
      <c r="C193" s="10"/>
      <c r="D193" s="6">
        <v>1</v>
      </c>
      <c r="E193" s="6">
        <v>2</v>
      </c>
      <c r="F193" s="6">
        <v>1</v>
      </c>
      <c r="G193" s="6">
        <v>2</v>
      </c>
      <c r="H193" s="6">
        <v>5</v>
      </c>
      <c r="I193" s="6">
        <v>2</v>
      </c>
      <c r="J193" s="6">
        <v>1</v>
      </c>
      <c r="K193" s="10"/>
      <c r="L193" s="10"/>
      <c r="M193" s="10"/>
      <c r="N193" s="10"/>
      <c r="O193" s="6">
        <v>0</v>
      </c>
      <c r="P193" s="8">
        <f t="shared" si="2"/>
        <v>14</v>
      </c>
    </row>
    <row r="194" spans="1:16" ht="20" customHeight="1">
      <c r="A194" s="4">
        <v>45022</v>
      </c>
      <c r="B194" s="10"/>
      <c r="C194" s="10"/>
      <c r="D194" s="6">
        <v>0</v>
      </c>
      <c r="E194" s="6">
        <v>0</v>
      </c>
      <c r="F194" s="6">
        <v>3</v>
      </c>
      <c r="G194" s="6">
        <v>1</v>
      </c>
      <c r="H194" s="6">
        <v>2</v>
      </c>
      <c r="I194" s="6">
        <v>1</v>
      </c>
      <c r="J194" s="6">
        <v>0</v>
      </c>
      <c r="K194" s="10"/>
      <c r="L194" s="10"/>
      <c r="M194" s="10"/>
      <c r="N194" s="10"/>
      <c r="O194" s="6">
        <v>0</v>
      </c>
      <c r="P194" s="8">
        <f t="shared" si="2"/>
        <v>7</v>
      </c>
    </row>
    <row r="195" spans="1:16" ht="20" customHeight="1">
      <c r="A195" s="4">
        <v>45023</v>
      </c>
      <c r="B195" s="10"/>
      <c r="C195" s="10"/>
      <c r="D195" s="6">
        <v>0</v>
      </c>
      <c r="E195" s="6">
        <v>1</v>
      </c>
      <c r="F195" s="6">
        <v>5</v>
      </c>
      <c r="G195" s="6">
        <v>4</v>
      </c>
      <c r="H195" s="6">
        <v>1</v>
      </c>
      <c r="I195" s="6">
        <v>4</v>
      </c>
      <c r="J195" s="6">
        <v>0</v>
      </c>
      <c r="K195" s="10"/>
      <c r="L195" s="10"/>
      <c r="M195" s="10"/>
      <c r="N195" s="10"/>
      <c r="O195" s="6">
        <v>0</v>
      </c>
      <c r="P195" s="8">
        <f t="shared" ref="P195:P226" si="3">SUM(B195:O195)</f>
        <v>15</v>
      </c>
    </row>
    <row r="196" spans="1:16" ht="20" customHeight="1">
      <c r="A196" s="4">
        <v>45024</v>
      </c>
      <c r="B196" s="10"/>
      <c r="C196" s="10"/>
      <c r="D196" s="6">
        <v>0</v>
      </c>
      <c r="E196" s="6">
        <v>1</v>
      </c>
      <c r="F196" s="6">
        <v>2</v>
      </c>
      <c r="G196" s="6">
        <v>3</v>
      </c>
      <c r="H196" s="6">
        <v>1</v>
      </c>
      <c r="I196" s="6">
        <v>0</v>
      </c>
      <c r="J196" s="6">
        <v>1</v>
      </c>
      <c r="K196" s="10"/>
      <c r="L196" s="10"/>
      <c r="M196" s="10"/>
      <c r="N196" s="10"/>
      <c r="O196" s="6">
        <v>0</v>
      </c>
      <c r="P196" s="8">
        <f t="shared" si="3"/>
        <v>8</v>
      </c>
    </row>
    <row r="197" spans="1:16" ht="20" customHeight="1">
      <c r="A197" s="4">
        <v>45025</v>
      </c>
      <c r="B197" s="10"/>
      <c r="C197" s="10"/>
      <c r="D197" s="6">
        <v>0</v>
      </c>
      <c r="E197" s="6">
        <v>1</v>
      </c>
      <c r="F197" s="6">
        <v>2</v>
      </c>
      <c r="G197" s="6">
        <v>1</v>
      </c>
      <c r="H197" s="6">
        <v>4</v>
      </c>
      <c r="I197" s="6">
        <v>1</v>
      </c>
      <c r="J197" s="6">
        <v>1</v>
      </c>
      <c r="K197" s="10"/>
      <c r="L197" s="10"/>
      <c r="M197" s="10"/>
      <c r="N197" s="10"/>
      <c r="O197" s="6">
        <v>0</v>
      </c>
      <c r="P197" s="8">
        <f t="shared" si="3"/>
        <v>10</v>
      </c>
    </row>
    <row r="198" spans="1:16" ht="20" customHeight="1">
      <c r="A198" s="4">
        <v>45026</v>
      </c>
      <c r="B198" s="10"/>
      <c r="C198" s="10"/>
      <c r="D198" s="6">
        <v>0</v>
      </c>
      <c r="E198" s="6">
        <v>0</v>
      </c>
      <c r="F198" s="6">
        <v>3</v>
      </c>
      <c r="G198" s="6">
        <v>4</v>
      </c>
      <c r="H198" s="6">
        <v>0</v>
      </c>
      <c r="I198" s="6">
        <v>1</v>
      </c>
      <c r="J198" s="6">
        <v>1</v>
      </c>
      <c r="K198" s="10"/>
      <c r="L198" s="10"/>
      <c r="M198" s="10"/>
      <c r="N198" s="10"/>
      <c r="O198" s="6">
        <v>0</v>
      </c>
      <c r="P198" s="8">
        <f t="shared" si="3"/>
        <v>9</v>
      </c>
    </row>
    <row r="199" spans="1:16" ht="20" customHeight="1">
      <c r="A199" s="4">
        <v>45027</v>
      </c>
      <c r="B199" s="10"/>
      <c r="C199" s="10"/>
      <c r="D199" s="6">
        <v>0</v>
      </c>
      <c r="E199" s="6">
        <v>1</v>
      </c>
      <c r="F199" s="6">
        <v>2</v>
      </c>
      <c r="G199" s="6">
        <v>3</v>
      </c>
      <c r="H199" s="6">
        <v>5</v>
      </c>
      <c r="I199" s="6">
        <v>1</v>
      </c>
      <c r="J199" s="6">
        <v>0</v>
      </c>
      <c r="K199" s="10"/>
      <c r="L199" s="10"/>
      <c r="M199" s="10"/>
      <c r="N199" s="10"/>
      <c r="O199" s="6">
        <v>0</v>
      </c>
      <c r="P199" s="8">
        <f t="shared" si="3"/>
        <v>12</v>
      </c>
    </row>
    <row r="200" spans="1:16" ht="20" customHeight="1">
      <c r="A200" s="4">
        <v>45028</v>
      </c>
      <c r="B200" s="10"/>
      <c r="C200" s="10"/>
      <c r="D200" s="6">
        <v>0</v>
      </c>
      <c r="E200" s="6">
        <v>4</v>
      </c>
      <c r="F200" s="6">
        <v>0</v>
      </c>
      <c r="G200" s="6">
        <v>3</v>
      </c>
      <c r="H200" s="6">
        <v>5</v>
      </c>
      <c r="I200" s="6">
        <v>3</v>
      </c>
      <c r="J200" s="6">
        <v>3</v>
      </c>
      <c r="K200" s="10"/>
      <c r="L200" s="10"/>
      <c r="M200" s="10"/>
      <c r="N200" s="10"/>
      <c r="O200" s="6">
        <v>0</v>
      </c>
      <c r="P200" s="8">
        <f t="shared" si="3"/>
        <v>18</v>
      </c>
    </row>
    <row r="201" spans="1:16" ht="20" customHeight="1">
      <c r="A201" s="4">
        <v>45029</v>
      </c>
      <c r="B201" s="10"/>
      <c r="C201" s="10"/>
      <c r="D201" s="6">
        <v>1</v>
      </c>
      <c r="E201" s="6">
        <v>0</v>
      </c>
      <c r="F201" s="6">
        <v>0</v>
      </c>
      <c r="G201" s="6">
        <v>4</v>
      </c>
      <c r="H201" s="6">
        <v>0</v>
      </c>
      <c r="I201" s="6">
        <v>1</v>
      </c>
      <c r="J201" s="6">
        <v>0</v>
      </c>
      <c r="K201" s="10"/>
      <c r="L201" s="10"/>
      <c r="M201" s="10"/>
      <c r="N201" s="10"/>
      <c r="O201" s="6">
        <v>0</v>
      </c>
      <c r="P201" s="8">
        <f t="shared" si="3"/>
        <v>6</v>
      </c>
    </row>
    <row r="202" spans="1:16" ht="20" customHeight="1">
      <c r="A202" s="4">
        <v>45030</v>
      </c>
      <c r="B202" s="10"/>
      <c r="C202" s="10"/>
      <c r="D202" s="6">
        <v>0</v>
      </c>
      <c r="E202" s="6">
        <v>0</v>
      </c>
      <c r="F202" s="6">
        <v>0</v>
      </c>
      <c r="G202" s="6">
        <v>1</v>
      </c>
      <c r="H202" s="6">
        <v>4</v>
      </c>
      <c r="I202" s="6">
        <v>0</v>
      </c>
      <c r="J202" s="6">
        <v>0</v>
      </c>
      <c r="K202" s="10"/>
      <c r="L202" s="10"/>
      <c r="M202" s="10"/>
      <c r="N202" s="10"/>
      <c r="O202" s="6">
        <v>0</v>
      </c>
      <c r="P202" s="8">
        <f t="shared" si="3"/>
        <v>5</v>
      </c>
    </row>
    <row r="203" spans="1:16" ht="20" customHeight="1">
      <c r="A203" s="4">
        <v>45031</v>
      </c>
      <c r="B203" s="10"/>
      <c r="C203" s="10"/>
      <c r="D203" s="6">
        <v>1</v>
      </c>
      <c r="E203" s="6">
        <v>0</v>
      </c>
      <c r="F203" s="6">
        <v>3</v>
      </c>
      <c r="G203" s="6">
        <v>3</v>
      </c>
      <c r="H203" s="6">
        <v>0</v>
      </c>
      <c r="I203" s="6">
        <v>1</v>
      </c>
      <c r="J203" s="6">
        <v>0</v>
      </c>
      <c r="K203" s="10"/>
      <c r="L203" s="10"/>
      <c r="M203" s="10"/>
      <c r="N203" s="10"/>
      <c r="O203" s="6">
        <v>0</v>
      </c>
      <c r="P203" s="8">
        <f t="shared" si="3"/>
        <v>8</v>
      </c>
    </row>
    <row r="204" spans="1:16" ht="20" customHeight="1">
      <c r="A204" s="4">
        <v>45032</v>
      </c>
      <c r="B204" s="10"/>
      <c r="C204" s="10"/>
      <c r="D204" s="6">
        <v>0</v>
      </c>
      <c r="E204" s="6">
        <v>0</v>
      </c>
      <c r="F204" s="6">
        <v>4</v>
      </c>
      <c r="G204" s="6">
        <v>3</v>
      </c>
      <c r="H204" s="6">
        <v>2</v>
      </c>
      <c r="I204" s="6">
        <v>3</v>
      </c>
      <c r="J204" s="6">
        <v>0</v>
      </c>
      <c r="K204" s="10"/>
      <c r="L204" s="10"/>
      <c r="M204" s="10"/>
      <c r="N204" s="10"/>
      <c r="O204" s="6">
        <v>0</v>
      </c>
      <c r="P204" s="8">
        <f t="shared" si="3"/>
        <v>12</v>
      </c>
    </row>
    <row r="205" spans="1:16" ht="20" customHeight="1">
      <c r="A205" s="4">
        <v>45033</v>
      </c>
      <c r="B205" s="10"/>
      <c r="C205" s="10"/>
      <c r="D205" s="6">
        <v>0</v>
      </c>
      <c r="E205" s="6">
        <v>0</v>
      </c>
      <c r="F205" s="6">
        <v>3</v>
      </c>
      <c r="G205" s="6">
        <v>1</v>
      </c>
      <c r="H205" s="6">
        <v>6</v>
      </c>
      <c r="I205" s="6">
        <v>1</v>
      </c>
      <c r="J205" s="6">
        <v>0</v>
      </c>
      <c r="K205" s="10"/>
      <c r="L205" s="10"/>
      <c r="M205" s="10"/>
      <c r="N205" s="10"/>
      <c r="O205" s="6">
        <v>0</v>
      </c>
      <c r="P205" s="8">
        <f t="shared" si="3"/>
        <v>11</v>
      </c>
    </row>
    <row r="206" spans="1:16" ht="20" customHeight="1">
      <c r="A206" s="4">
        <v>45034</v>
      </c>
      <c r="B206" s="10"/>
      <c r="C206" s="10"/>
      <c r="D206" s="6">
        <v>0</v>
      </c>
      <c r="E206" s="6">
        <v>0</v>
      </c>
      <c r="F206" s="6">
        <v>0</v>
      </c>
      <c r="G206" s="6">
        <v>3</v>
      </c>
      <c r="H206" s="6">
        <v>1</v>
      </c>
      <c r="I206" s="6">
        <v>2</v>
      </c>
      <c r="J206" s="6">
        <v>1</v>
      </c>
      <c r="K206" s="10"/>
      <c r="L206" s="10"/>
      <c r="M206" s="10"/>
      <c r="N206" s="10"/>
      <c r="O206" s="6">
        <v>0</v>
      </c>
      <c r="P206" s="8">
        <f t="shared" si="3"/>
        <v>7</v>
      </c>
    </row>
    <row r="207" spans="1:16" ht="20" customHeight="1">
      <c r="A207" s="4">
        <v>45035</v>
      </c>
      <c r="B207" s="10"/>
      <c r="C207" s="10"/>
      <c r="D207" s="6">
        <v>0</v>
      </c>
      <c r="E207" s="6">
        <v>2</v>
      </c>
      <c r="F207" s="6">
        <v>5</v>
      </c>
      <c r="G207" s="6">
        <v>2</v>
      </c>
      <c r="H207" s="6">
        <v>3</v>
      </c>
      <c r="I207" s="6">
        <v>3</v>
      </c>
      <c r="J207" s="6">
        <v>0</v>
      </c>
      <c r="K207" s="10"/>
      <c r="L207" s="10"/>
      <c r="M207" s="10"/>
      <c r="N207" s="10"/>
      <c r="O207" s="6">
        <v>0</v>
      </c>
      <c r="P207" s="8">
        <f t="shared" si="3"/>
        <v>15</v>
      </c>
    </row>
    <row r="208" spans="1:16" ht="20" customHeight="1">
      <c r="A208" s="4">
        <v>45036</v>
      </c>
      <c r="B208" s="10"/>
      <c r="C208" s="10"/>
      <c r="D208" s="6">
        <v>0</v>
      </c>
      <c r="E208" s="6">
        <v>3</v>
      </c>
      <c r="F208" s="6">
        <v>2</v>
      </c>
      <c r="G208" s="6">
        <v>5</v>
      </c>
      <c r="H208" s="6">
        <v>5</v>
      </c>
      <c r="I208" s="6">
        <v>4</v>
      </c>
      <c r="J208" s="6">
        <v>2</v>
      </c>
      <c r="K208" s="10"/>
      <c r="L208" s="10"/>
      <c r="M208" s="10"/>
      <c r="N208" s="10"/>
      <c r="O208" s="6">
        <v>0</v>
      </c>
      <c r="P208" s="8">
        <f t="shared" si="3"/>
        <v>21</v>
      </c>
    </row>
    <row r="209" spans="1:16" ht="20" customHeight="1">
      <c r="A209" s="4">
        <v>45037</v>
      </c>
      <c r="B209" s="10"/>
      <c r="C209" s="10"/>
      <c r="D209" s="6">
        <v>0</v>
      </c>
      <c r="E209" s="6">
        <v>2</v>
      </c>
      <c r="F209" s="6">
        <v>5</v>
      </c>
      <c r="G209" s="6">
        <v>5</v>
      </c>
      <c r="H209" s="6">
        <v>4</v>
      </c>
      <c r="I209" s="6">
        <v>0</v>
      </c>
      <c r="J209" s="6">
        <v>2</v>
      </c>
      <c r="K209" s="10"/>
      <c r="L209" s="10"/>
      <c r="M209" s="10"/>
      <c r="N209" s="10"/>
      <c r="O209" s="6">
        <v>0</v>
      </c>
      <c r="P209" s="8">
        <f t="shared" si="3"/>
        <v>18</v>
      </c>
    </row>
    <row r="210" spans="1:16" ht="20" customHeight="1">
      <c r="A210" s="4">
        <v>45038</v>
      </c>
      <c r="B210" s="10"/>
      <c r="C210" s="10"/>
      <c r="D210" s="6">
        <v>1</v>
      </c>
      <c r="E210" s="6">
        <v>1</v>
      </c>
      <c r="F210" s="6">
        <v>1</v>
      </c>
      <c r="G210" s="6">
        <v>1</v>
      </c>
      <c r="H210" s="6">
        <v>2</v>
      </c>
      <c r="I210" s="6">
        <v>3</v>
      </c>
      <c r="J210" s="6">
        <v>1</v>
      </c>
      <c r="K210" s="10"/>
      <c r="L210" s="10"/>
      <c r="M210" s="10"/>
      <c r="N210" s="10"/>
      <c r="O210" s="6">
        <v>0</v>
      </c>
      <c r="P210" s="8">
        <f t="shared" si="3"/>
        <v>10</v>
      </c>
    </row>
    <row r="211" spans="1:16" ht="20" customHeight="1">
      <c r="A211" s="4">
        <v>45039</v>
      </c>
      <c r="B211" s="10"/>
      <c r="C211" s="10"/>
      <c r="D211" s="6">
        <v>0</v>
      </c>
      <c r="E211" s="6">
        <v>2</v>
      </c>
      <c r="F211" s="6">
        <v>2</v>
      </c>
      <c r="G211" s="6">
        <v>4</v>
      </c>
      <c r="H211" s="6">
        <v>5</v>
      </c>
      <c r="I211" s="6">
        <v>3</v>
      </c>
      <c r="J211" s="6">
        <v>2</v>
      </c>
      <c r="K211" s="10"/>
      <c r="L211" s="10"/>
      <c r="M211" s="10"/>
      <c r="N211" s="10"/>
      <c r="O211" s="6">
        <v>0</v>
      </c>
      <c r="P211" s="8">
        <f t="shared" si="3"/>
        <v>18</v>
      </c>
    </row>
    <row r="212" spans="1:16" ht="20" customHeight="1">
      <c r="A212" s="4">
        <v>45040</v>
      </c>
      <c r="B212" s="10"/>
      <c r="C212" s="10"/>
      <c r="D212" s="6">
        <v>0</v>
      </c>
      <c r="E212" s="6">
        <v>1</v>
      </c>
      <c r="F212" s="6">
        <v>1</v>
      </c>
      <c r="G212" s="6">
        <v>2</v>
      </c>
      <c r="H212" s="6">
        <v>4</v>
      </c>
      <c r="I212" s="6">
        <v>0</v>
      </c>
      <c r="J212" s="6">
        <v>0</v>
      </c>
      <c r="K212" s="10"/>
      <c r="L212" s="10"/>
      <c r="M212" s="10"/>
      <c r="N212" s="10"/>
      <c r="O212" s="6">
        <v>0</v>
      </c>
      <c r="P212" s="8">
        <f t="shared" si="3"/>
        <v>8</v>
      </c>
    </row>
    <row r="213" spans="1:16" ht="20" customHeight="1">
      <c r="A213" s="4">
        <v>45041</v>
      </c>
      <c r="B213" s="10"/>
      <c r="C213" s="10"/>
      <c r="D213" s="6">
        <v>0</v>
      </c>
      <c r="E213" s="6">
        <v>1</v>
      </c>
      <c r="F213" s="6">
        <v>1</v>
      </c>
      <c r="G213" s="6">
        <v>1</v>
      </c>
      <c r="H213" s="6">
        <v>2</v>
      </c>
      <c r="I213" s="6">
        <v>1</v>
      </c>
      <c r="J213" s="6">
        <v>1</v>
      </c>
      <c r="K213" s="10"/>
      <c r="L213" s="10"/>
      <c r="M213" s="10"/>
      <c r="N213" s="10"/>
      <c r="O213" s="6">
        <v>0</v>
      </c>
      <c r="P213" s="8">
        <f t="shared" si="3"/>
        <v>7</v>
      </c>
    </row>
    <row r="214" spans="1:16" ht="20" customHeight="1">
      <c r="A214" s="4">
        <v>45042</v>
      </c>
      <c r="B214" s="10"/>
      <c r="C214" s="10"/>
      <c r="D214" s="6">
        <v>0</v>
      </c>
      <c r="E214" s="6">
        <v>0</v>
      </c>
      <c r="F214" s="6">
        <v>0</v>
      </c>
      <c r="G214" s="6">
        <v>3</v>
      </c>
      <c r="H214" s="6">
        <v>4</v>
      </c>
      <c r="I214" s="6">
        <v>3</v>
      </c>
      <c r="J214" s="6">
        <v>1</v>
      </c>
      <c r="K214" s="10"/>
      <c r="L214" s="10"/>
      <c r="M214" s="10"/>
      <c r="N214" s="10"/>
      <c r="O214" s="6">
        <v>0</v>
      </c>
      <c r="P214" s="8">
        <f t="shared" si="3"/>
        <v>11</v>
      </c>
    </row>
    <row r="215" spans="1:16" ht="20" customHeight="1">
      <c r="A215" s="4">
        <v>45043</v>
      </c>
      <c r="B215" s="10"/>
      <c r="C215" s="10"/>
      <c r="D215" s="6">
        <v>0</v>
      </c>
      <c r="E215" s="6">
        <v>5</v>
      </c>
      <c r="F215" s="6">
        <v>1</v>
      </c>
      <c r="G215" s="6">
        <v>0</v>
      </c>
      <c r="H215" s="6">
        <v>1</v>
      </c>
      <c r="I215" s="6">
        <v>0</v>
      </c>
      <c r="J215" s="6">
        <v>0</v>
      </c>
      <c r="K215" s="10"/>
      <c r="L215" s="10"/>
      <c r="M215" s="10"/>
      <c r="N215" s="10"/>
      <c r="O215" s="6">
        <v>0</v>
      </c>
      <c r="P215" s="8">
        <f t="shared" si="3"/>
        <v>7</v>
      </c>
    </row>
    <row r="216" spans="1:16" ht="20" customHeight="1">
      <c r="A216" s="4">
        <v>45044</v>
      </c>
      <c r="B216" s="10"/>
      <c r="C216" s="10"/>
      <c r="D216" s="6">
        <v>2</v>
      </c>
      <c r="E216" s="6">
        <v>1</v>
      </c>
      <c r="F216" s="6">
        <v>2</v>
      </c>
      <c r="G216" s="6">
        <v>5</v>
      </c>
      <c r="H216" s="6">
        <v>4</v>
      </c>
      <c r="I216" s="6">
        <v>3</v>
      </c>
      <c r="J216" s="6">
        <v>1</v>
      </c>
      <c r="K216" s="10"/>
      <c r="L216" s="10"/>
      <c r="M216" s="10"/>
      <c r="N216" s="10"/>
      <c r="O216" s="6">
        <v>0</v>
      </c>
      <c r="P216" s="8">
        <f t="shared" si="3"/>
        <v>18</v>
      </c>
    </row>
    <row r="217" spans="1:16" ht="20" customHeight="1">
      <c r="A217" s="4">
        <v>45045</v>
      </c>
      <c r="B217" s="10"/>
      <c r="C217" s="10"/>
      <c r="D217" s="6">
        <v>0</v>
      </c>
      <c r="E217" s="6">
        <v>3</v>
      </c>
      <c r="F217" s="6">
        <v>3</v>
      </c>
      <c r="G217" s="6">
        <v>0</v>
      </c>
      <c r="H217" s="6">
        <v>7</v>
      </c>
      <c r="I217" s="6">
        <v>2</v>
      </c>
      <c r="J217" s="6">
        <v>0</v>
      </c>
      <c r="K217" s="10"/>
      <c r="L217" s="10"/>
      <c r="M217" s="10"/>
      <c r="N217" s="10"/>
      <c r="O217" s="6">
        <v>0</v>
      </c>
      <c r="P217" s="8">
        <f t="shared" si="3"/>
        <v>15</v>
      </c>
    </row>
    <row r="218" spans="1:16" ht="20" customHeight="1">
      <c r="A218" s="4">
        <v>45046</v>
      </c>
      <c r="B218" s="10"/>
      <c r="C218" s="10"/>
      <c r="D218" s="6">
        <v>1</v>
      </c>
      <c r="E218" s="6">
        <v>0</v>
      </c>
      <c r="F218" s="6">
        <v>2</v>
      </c>
      <c r="G218" s="6">
        <v>2</v>
      </c>
      <c r="H218" s="6">
        <v>2</v>
      </c>
      <c r="I218" s="6">
        <v>3</v>
      </c>
      <c r="J218" s="6">
        <v>0</v>
      </c>
      <c r="K218" s="10"/>
      <c r="L218" s="10"/>
      <c r="M218" s="10"/>
      <c r="N218" s="10"/>
      <c r="O218" s="6">
        <v>0</v>
      </c>
      <c r="P218" s="8">
        <f t="shared" si="3"/>
        <v>10</v>
      </c>
    </row>
    <row r="219" spans="1:16" ht="20" customHeight="1">
      <c r="A219" s="4">
        <v>45047</v>
      </c>
      <c r="B219" s="10"/>
      <c r="C219" s="10"/>
      <c r="D219" s="6">
        <v>0</v>
      </c>
      <c r="E219" s="6">
        <v>1</v>
      </c>
      <c r="F219" s="6">
        <v>2</v>
      </c>
      <c r="G219" s="6">
        <v>7</v>
      </c>
      <c r="H219" s="6">
        <v>4</v>
      </c>
      <c r="I219" s="6">
        <v>3</v>
      </c>
      <c r="J219" s="6">
        <v>0</v>
      </c>
      <c r="K219" s="10"/>
      <c r="L219" s="10"/>
      <c r="M219" s="10"/>
      <c r="N219" s="10"/>
      <c r="O219" s="6">
        <v>0</v>
      </c>
      <c r="P219" s="8">
        <f t="shared" si="3"/>
        <v>17</v>
      </c>
    </row>
    <row r="220" spans="1:16" ht="20" customHeight="1">
      <c r="A220" s="4">
        <v>45048</v>
      </c>
      <c r="B220" s="10"/>
      <c r="C220" s="10"/>
      <c r="D220" s="6">
        <v>0</v>
      </c>
      <c r="E220" s="6">
        <v>3</v>
      </c>
      <c r="F220" s="6">
        <v>4</v>
      </c>
      <c r="G220" s="6">
        <v>1</v>
      </c>
      <c r="H220" s="6">
        <v>6</v>
      </c>
      <c r="I220" s="6">
        <v>2</v>
      </c>
      <c r="J220" s="6">
        <v>2</v>
      </c>
      <c r="K220" s="10"/>
      <c r="L220" s="10"/>
      <c r="M220" s="10"/>
      <c r="N220" s="10"/>
      <c r="O220" s="6">
        <v>0</v>
      </c>
      <c r="P220" s="8">
        <f t="shared" si="3"/>
        <v>18</v>
      </c>
    </row>
    <row r="221" spans="1:16" ht="20" customHeight="1">
      <c r="A221" s="4">
        <v>45049</v>
      </c>
      <c r="B221" s="10"/>
      <c r="C221" s="10"/>
      <c r="D221" s="6">
        <v>1</v>
      </c>
      <c r="E221" s="6">
        <v>1</v>
      </c>
      <c r="F221" s="6">
        <v>5</v>
      </c>
      <c r="G221" s="6">
        <v>2</v>
      </c>
      <c r="H221" s="6">
        <v>1</v>
      </c>
      <c r="I221" s="6">
        <v>4</v>
      </c>
      <c r="J221" s="6">
        <v>3</v>
      </c>
      <c r="K221" s="10"/>
      <c r="L221" s="10"/>
      <c r="M221" s="10"/>
      <c r="N221" s="10"/>
      <c r="O221" s="6">
        <v>0</v>
      </c>
      <c r="P221" s="8">
        <f t="shared" si="3"/>
        <v>17</v>
      </c>
    </row>
    <row r="222" spans="1:16" ht="20" customHeight="1">
      <c r="A222" s="4">
        <v>45050</v>
      </c>
      <c r="B222" s="10"/>
      <c r="C222" s="10"/>
      <c r="D222" s="6">
        <v>0</v>
      </c>
      <c r="E222" s="6">
        <v>1</v>
      </c>
      <c r="F222" s="6">
        <v>4</v>
      </c>
      <c r="G222" s="6">
        <v>2</v>
      </c>
      <c r="H222" s="6">
        <v>2</v>
      </c>
      <c r="I222" s="6">
        <v>5</v>
      </c>
      <c r="J222" s="6">
        <v>2</v>
      </c>
      <c r="K222" s="10"/>
      <c r="L222" s="10"/>
      <c r="M222" s="10"/>
      <c r="N222" s="10"/>
      <c r="O222" s="6">
        <v>0</v>
      </c>
      <c r="P222" s="8">
        <f t="shared" si="3"/>
        <v>16</v>
      </c>
    </row>
    <row r="223" spans="1:16" ht="20" customHeight="1">
      <c r="A223" s="4">
        <v>45051</v>
      </c>
      <c r="B223" s="10"/>
      <c r="C223" s="10"/>
      <c r="D223" s="6">
        <v>1</v>
      </c>
      <c r="E223" s="6">
        <v>2</v>
      </c>
      <c r="F223" s="6">
        <v>1</v>
      </c>
      <c r="G223" s="6">
        <v>4</v>
      </c>
      <c r="H223" s="6">
        <v>6</v>
      </c>
      <c r="I223" s="6">
        <v>3</v>
      </c>
      <c r="J223" s="6">
        <v>3</v>
      </c>
      <c r="K223" s="10"/>
      <c r="L223" s="10"/>
      <c r="M223" s="10"/>
      <c r="N223" s="10"/>
      <c r="O223" s="6">
        <v>0</v>
      </c>
      <c r="P223" s="8">
        <f t="shared" si="3"/>
        <v>20</v>
      </c>
    </row>
    <row r="224" spans="1:16" ht="20" customHeight="1">
      <c r="A224" s="4">
        <v>45052</v>
      </c>
      <c r="B224" s="10"/>
      <c r="C224" s="10"/>
      <c r="D224" s="6">
        <v>0</v>
      </c>
      <c r="E224" s="6">
        <v>4</v>
      </c>
      <c r="F224" s="6">
        <v>5</v>
      </c>
      <c r="G224" s="6">
        <v>3</v>
      </c>
      <c r="H224" s="6">
        <v>2</v>
      </c>
      <c r="I224" s="6">
        <v>3</v>
      </c>
      <c r="J224" s="6">
        <v>0</v>
      </c>
      <c r="K224" s="10"/>
      <c r="L224" s="10"/>
      <c r="M224" s="10"/>
      <c r="N224" s="10"/>
      <c r="O224" s="6">
        <v>0</v>
      </c>
      <c r="P224" s="8">
        <f t="shared" si="3"/>
        <v>17</v>
      </c>
    </row>
    <row r="225" spans="1:16" ht="20" customHeight="1">
      <c r="A225" s="4">
        <v>45053</v>
      </c>
      <c r="B225" s="10"/>
      <c r="C225" s="10"/>
      <c r="D225" s="6">
        <v>0</v>
      </c>
      <c r="E225" s="6">
        <v>2</v>
      </c>
      <c r="F225" s="6">
        <v>9</v>
      </c>
      <c r="G225" s="6">
        <v>2</v>
      </c>
      <c r="H225" s="6">
        <v>4</v>
      </c>
      <c r="I225" s="6">
        <v>5</v>
      </c>
      <c r="J225" s="6">
        <v>0</v>
      </c>
      <c r="K225" s="10"/>
      <c r="L225" s="10"/>
      <c r="M225" s="10"/>
      <c r="N225" s="10"/>
      <c r="O225" s="6">
        <v>0</v>
      </c>
      <c r="P225" s="8">
        <f t="shared" si="3"/>
        <v>22</v>
      </c>
    </row>
    <row r="226" spans="1:16" ht="20" customHeight="1">
      <c r="A226" s="4">
        <v>45054</v>
      </c>
      <c r="B226" s="10"/>
      <c r="C226" s="10"/>
      <c r="D226" s="6">
        <v>2</v>
      </c>
      <c r="E226" s="6">
        <v>5</v>
      </c>
      <c r="F226" s="6">
        <v>3</v>
      </c>
      <c r="G226" s="6">
        <v>10</v>
      </c>
      <c r="H226" s="6">
        <v>2</v>
      </c>
      <c r="I226" s="6">
        <v>2</v>
      </c>
      <c r="J226" s="6">
        <v>4</v>
      </c>
      <c r="K226" s="10"/>
      <c r="L226" s="10"/>
      <c r="M226" s="10"/>
      <c r="N226" s="10"/>
      <c r="O226" s="6">
        <v>0</v>
      </c>
      <c r="P226" s="8">
        <f t="shared" si="3"/>
        <v>28</v>
      </c>
    </row>
    <row r="227" spans="1:16" ht="20" customHeight="1">
      <c r="A227" s="3" t="s">
        <v>5</v>
      </c>
      <c r="B227" s="11"/>
      <c r="C227" s="11"/>
      <c r="D227" s="8">
        <f t="shared" ref="D227:J227" si="4">SUM(D3:D226)</f>
        <v>851</v>
      </c>
      <c r="E227" s="8">
        <f t="shared" si="4"/>
        <v>2940</v>
      </c>
      <c r="F227" s="8">
        <f t="shared" si="4"/>
        <v>2671</v>
      </c>
      <c r="G227" s="8">
        <f t="shared" si="4"/>
        <v>3892</v>
      </c>
      <c r="H227" s="8">
        <f t="shared" si="4"/>
        <v>4589</v>
      </c>
      <c r="I227" s="8">
        <f t="shared" si="4"/>
        <v>2413</v>
      </c>
      <c r="J227" s="8">
        <f t="shared" si="4"/>
        <v>822</v>
      </c>
      <c r="K227" s="11"/>
      <c r="L227" s="11"/>
      <c r="M227" s="11"/>
      <c r="N227" s="11"/>
      <c r="O227" s="8">
        <f>SUM(O3:O226)</f>
        <v>0</v>
      </c>
      <c r="P227" s="8">
        <f>SUM(P3:P226)</f>
        <v>18178</v>
      </c>
    </row>
  </sheetData>
  <phoneticPr fontId="1" type="Hiragana"/>
  <pageMargins left="0.7" right="0.7" top="0.75" bottom="0.75" header="0.3" footer="0.3"/>
  <pageSetup paperSize="9" scale="55" fitToWidth="1" fitToHeight="0" orientation="portrait" usePrinterDefaults="1" r:id="rId1"/>
  <headerFooter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28"/>
  <sheetViews>
    <sheetView tabSelected="1" workbookViewId="0">
      <pane xSplit="1" ySplit="2" topLeftCell="B216" activePane="bottomRight" state="frozen"/>
      <selection pane="topRight"/>
      <selection pane="bottomLeft"/>
      <selection pane="bottomRight" activeCell="Q228" sqref="Q228"/>
    </sheetView>
  </sheetViews>
  <sheetFormatPr defaultRowHeight="13.5"/>
  <cols>
    <col min="1" max="1" width="20.875" style="1" customWidth="1"/>
    <col min="2" max="16" width="9" style="2" customWidth="1"/>
    <col min="17" max="17" width="11.375" style="12" customWidth="1"/>
    <col min="18" max="16384" width="9" style="2" customWidth="1"/>
  </cols>
  <sheetData>
    <row r="1" spans="1:17" ht="20" customHeight="1">
      <c r="A1" s="1" t="s">
        <v>11</v>
      </c>
    </row>
    <row r="2" spans="1:17" ht="20" customHeight="1">
      <c r="A2" s="3" t="s">
        <v>0</v>
      </c>
      <c r="B2" s="5" t="s">
        <v>7</v>
      </c>
      <c r="C2" s="5" t="s">
        <v>10</v>
      </c>
      <c r="D2" s="5" t="s">
        <v>9</v>
      </c>
      <c r="E2" s="5" t="s">
        <v>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3</v>
      </c>
      <c r="L2" s="5" t="s">
        <v>17</v>
      </c>
      <c r="M2" s="5" t="s">
        <v>2</v>
      </c>
      <c r="N2" s="5" t="s">
        <v>4</v>
      </c>
      <c r="O2" s="9" t="s">
        <v>8</v>
      </c>
      <c r="P2" s="5" t="s">
        <v>6</v>
      </c>
      <c r="Q2" s="16" t="s">
        <v>21</v>
      </c>
    </row>
    <row r="3" spans="1:17" ht="20" customHeight="1">
      <c r="A3" s="13" t="s">
        <v>20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8">
        <f>98673-1</f>
        <v>98672</v>
      </c>
    </row>
    <row r="4" spans="1:17" ht="20" customHeight="1">
      <c r="A4" s="4">
        <v>44831</v>
      </c>
      <c r="B4" s="6">
        <f>医療機関!B3+陽性者登録センター!B3</f>
        <v>7</v>
      </c>
      <c r="C4" s="6">
        <f>医療機関!C3+陽性者登録センター!C3</f>
        <v>47</v>
      </c>
      <c r="D4" s="6">
        <f>医療機関!D3+陽性者登録センター!D3</f>
        <v>76</v>
      </c>
      <c r="E4" s="6">
        <f>医療機関!E3+陽性者登録センター!E3</f>
        <v>98</v>
      </c>
      <c r="F4" s="6">
        <f>医療機関!F3+陽性者登録センター!F3</f>
        <v>61</v>
      </c>
      <c r="G4" s="6">
        <f>医療機関!G3+陽性者登録センター!G3</f>
        <v>113</v>
      </c>
      <c r="H4" s="6">
        <f>医療機関!H3+陽性者登録センター!H3</f>
        <v>105</v>
      </c>
      <c r="I4" s="6">
        <f>医療機関!I3+陽性者登録センター!I3</f>
        <v>69</v>
      </c>
      <c r="J4" s="6">
        <f>医療機関!J3+陽性者登録センター!J3</f>
        <v>34</v>
      </c>
      <c r="K4" s="6">
        <f>医療機関!K3+陽性者登録センター!K3</f>
        <v>27</v>
      </c>
      <c r="L4" s="6">
        <f>医療機関!L3+陽性者登録センター!L3</f>
        <v>59</v>
      </c>
      <c r="M4" s="6">
        <f>医療機関!M3+陽性者登録センター!M3</f>
        <v>21</v>
      </c>
      <c r="N4" s="6">
        <f>医療機関!N3+陽性者登録センター!N3</f>
        <v>13</v>
      </c>
      <c r="O4" s="6">
        <f>医療機関!O3+陽性者登録センター!O3</f>
        <v>0</v>
      </c>
      <c r="P4" s="8">
        <f t="shared" ref="P4:P67" si="0">SUM(B4:O4)</f>
        <v>730</v>
      </c>
      <c r="Q4" s="8">
        <f t="shared" ref="Q4:Q67" si="1">Q3+P4</f>
        <v>99402</v>
      </c>
    </row>
    <row r="5" spans="1:17" ht="20" customHeight="1">
      <c r="A5" s="4">
        <v>44832</v>
      </c>
      <c r="B5" s="6">
        <f>医療機関!B4+陽性者登録センター!B4</f>
        <v>5</v>
      </c>
      <c r="C5" s="6">
        <f>医療機関!C4+陽性者登録センター!C4</f>
        <v>17</v>
      </c>
      <c r="D5" s="6">
        <f>医療機関!D4+陽性者登録センター!D4</f>
        <v>44</v>
      </c>
      <c r="E5" s="6">
        <f>医療機関!E4+陽性者登録センター!E4</f>
        <v>59</v>
      </c>
      <c r="F5" s="6">
        <f>医療機関!F4+陽性者登録センター!F4</f>
        <v>27</v>
      </c>
      <c r="G5" s="6">
        <f>医療機関!G4+陽性者登録センター!G4</f>
        <v>71</v>
      </c>
      <c r="H5" s="6">
        <f>医療機関!H4+陽性者登録センター!H4</f>
        <v>65</v>
      </c>
      <c r="I5" s="6">
        <f>医療機関!I4+陽性者登録センター!I4</f>
        <v>32</v>
      </c>
      <c r="J5" s="6">
        <f>医療機関!J4+陽性者登録センター!J4</f>
        <v>35</v>
      </c>
      <c r="K5" s="6">
        <f>医療機関!K4+陽性者登録センター!K4</f>
        <v>15</v>
      </c>
      <c r="L5" s="6">
        <f>医療機関!L4+陽性者登録センター!L4</f>
        <v>28</v>
      </c>
      <c r="M5" s="6">
        <f>医療機関!M4+陽性者登録センター!M4</f>
        <v>23</v>
      </c>
      <c r="N5" s="6">
        <f>医療機関!N4+陽性者登録センター!N4</f>
        <v>8</v>
      </c>
      <c r="O5" s="6">
        <f>医療機関!O4+陽性者登録センター!O4</f>
        <v>0</v>
      </c>
      <c r="P5" s="8">
        <f t="shared" si="0"/>
        <v>429</v>
      </c>
      <c r="Q5" s="8">
        <f t="shared" si="1"/>
        <v>99831</v>
      </c>
    </row>
    <row r="6" spans="1:17" ht="20" customHeight="1">
      <c r="A6" s="4">
        <v>44833</v>
      </c>
      <c r="B6" s="6">
        <f>医療機関!B5+陽性者登録センター!B5</f>
        <v>4</v>
      </c>
      <c r="C6" s="6">
        <f>医療機関!C5+陽性者登録センター!C5</f>
        <v>14</v>
      </c>
      <c r="D6" s="6">
        <f>医療機関!D5+陽性者登録センター!D5</f>
        <v>39</v>
      </c>
      <c r="E6" s="6">
        <f>医療機関!E5+陽性者登録センター!E5</f>
        <v>66</v>
      </c>
      <c r="F6" s="6">
        <f>医療機関!F5+陽性者登録センター!F5</f>
        <v>35</v>
      </c>
      <c r="G6" s="6">
        <f>医療機関!G5+陽性者登録センター!G5</f>
        <v>71</v>
      </c>
      <c r="H6" s="6">
        <f>医療機関!H5+陽性者登録センター!H5</f>
        <v>66</v>
      </c>
      <c r="I6" s="6">
        <f>医療機関!I5+陽性者登録センター!I5</f>
        <v>44</v>
      </c>
      <c r="J6" s="6">
        <f>医療機関!J5+陽性者登録センター!J5</f>
        <v>16</v>
      </c>
      <c r="K6" s="6">
        <f>医療機関!K5+陽性者登録センター!K5</f>
        <v>24</v>
      </c>
      <c r="L6" s="6">
        <f>医療機関!L5+陽性者登録センター!L5</f>
        <v>17</v>
      </c>
      <c r="M6" s="6">
        <f>医療機関!M5+陽性者登録センター!M5</f>
        <v>10</v>
      </c>
      <c r="N6" s="6">
        <f>医療機関!N5+陽性者登録センター!N5</f>
        <v>7</v>
      </c>
      <c r="O6" s="6">
        <f>医療機関!O5+陽性者登録センター!O5</f>
        <v>0</v>
      </c>
      <c r="P6" s="8">
        <f t="shared" si="0"/>
        <v>413</v>
      </c>
      <c r="Q6" s="8">
        <f t="shared" si="1"/>
        <v>100244</v>
      </c>
    </row>
    <row r="7" spans="1:17" ht="20" customHeight="1">
      <c r="A7" s="4">
        <v>44834</v>
      </c>
      <c r="B7" s="6">
        <f>医療機関!B6+陽性者登録センター!B6</f>
        <v>2</v>
      </c>
      <c r="C7" s="6">
        <f>医療機関!C6+陽性者登録センター!C6</f>
        <v>15</v>
      </c>
      <c r="D7" s="6">
        <f>医療機関!D6+陽性者登録センター!D6</f>
        <v>34</v>
      </c>
      <c r="E7" s="6">
        <f>医療機関!E6+陽性者登録センター!E6</f>
        <v>42</v>
      </c>
      <c r="F7" s="6">
        <f>医療機関!F6+陽性者登録センター!F6</f>
        <v>34</v>
      </c>
      <c r="G7" s="6">
        <f>医療機関!G6+陽性者登録センター!G6</f>
        <v>41</v>
      </c>
      <c r="H7" s="6">
        <f>医療機関!H6+陽性者登録センター!H6</f>
        <v>52</v>
      </c>
      <c r="I7" s="6">
        <f>医療機関!I6+陽性者登録センター!I6</f>
        <v>33</v>
      </c>
      <c r="J7" s="6">
        <f>医療機関!J6+陽性者登録センター!J6</f>
        <v>22</v>
      </c>
      <c r="K7" s="6">
        <f>医療機関!K6+陽性者登録センター!K6</f>
        <v>18</v>
      </c>
      <c r="L7" s="6">
        <f>医療機関!L6+陽性者登録センター!L6</f>
        <v>26</v>
      </c>
      <c r="M7" s="6">
        <f>医療機関!M6+陽性者登録センター!M6</f>
        <v>19</v>
      </c>
      <c r="N7" s="6">
        <f>医療機関!N6+陽性者登録センター!N6</f>
        <v>10</v>
      </c>
      <c r="O7" s="6">
        <f>医療機関!O6+陽性者登録センター!O6</f>
        <v>0</v>
      </c>
      <c r="P7" s="8">
        <f t="shared" si="0"/>
        <v>348</v>
      </c>
      <c r="Q7" s="8">
        <f t="shared" si="1"/>
        <v>100592</v>
      </c>
    </row>
    <row r="8" spans="1:17" ht="20" customHeight="1">
      <c r="A8" s="4">
        <v>44835</v>
      </c>
      <c r="B8" s="6">
        <f>医療機関!B7+陽性者登録センター!B7</f>
        <v>0</v>
      </c>
      <c r="C8" s="6">
        <f>医療機関!C7+陽性者登録センター!C7</f>
        <v>30</v>
      </c>
      <c r="D8" s="6">
        <f>医療機関!D7+陽性者登録センター!D7</f>
        <v>30</v>
      </c>
      <c r="E8" s="6">
        <f>医療機関!E7+陽性者登録センター!E7</f>
        <v>42</v>
      </c>
      <c r="F8" s="6">
        <f>医療機関!F7+陽性者登録センター!F7</f>
        <v>35</v>
      </c>
      <c r="G8" s="6">
        <f>医療機関!G7+陽性者登録センター!G7</f>
        <v>43</v>
      </c>
      <c r="H8" s="6">
        <f>医療機関!H7+陽性者登録センター!H7</f>
        <v>46</v>
      </c>
      <c r="I8" s="6">
        <f>医療機関!I7+陽性者登録センター!I7</f>
        <v>29</v>
      </c>
      <c r="J8" s="6">
        <f>医療機関!J7+陽性者登録センター!J7</f>
        <v>16</v>
      </c>
      <c r="K8" s="6">
        <f>医療機関!K7+陽性者登録センター!K7</f>
        <v>14</v>
      </c>
      <c r="L8" s="6">
        <f>医療機関!L7+陽性者登録センター!L7</f>
        <v>33</v>
      </c>
      <c r="M8" s="6">
        <f>医療機関!M7+陽性者登録センター!M7</f>
        <v>14</v>
      </c>
      <c r="N8" s="6">
        <f>医療機関!N7+陽性者登録センター!N7</f>
        <v>7</v>
      </c>
      <c r="O8" s="6">
        <f>医療機関!O7+陽性者登録センター!O7</f>
        <v>0</v>
      </c>
      <c r="P8" s="8">
        <f t="shared" si="0"/>
        <v>339</v>
      </c>
      <c r="Q8" s="8">
        <f t="shared" si="1"/>
        <v>100931</v>
      </c>
    </row>
    <row r="9" spans="1:17" ht="20" customHeight="1">
      <c r="A9" s="4">
        <v>44836</v>
      </c>
      <c r="B9" s="6">
        <f>医療機関!B8+陽性者登録センター!B8</f>
        <v>1</v>
      </c>
      <c r="C9" s="6">
        <f>医療機関!C8+陽性者登録センター!C8</f>
        <v>10</v>
      </c>
      <c r="D9" s="6">
        <f>医療機関!D8+陽性者登録センター!D8</f>
        <v>29</v>
      </c>
      <c r="E9" s="6">
        <f>医療機関!E8+陽性者登録センター!E8</f>
        <v>32</v>
      </c>
      <c r="F9" s="6">
        <f>医療機関!F8+陽性者登録センター!F8</f>
        <v>23</v>
      </c>
      <c r="G9" s="6">
        <f>医療機関!G8+陽性者登録センター!G8</f>
        <v>30</v>
      </c>
      <c r="H9" s="6">
        <f>医療機関!H8+陽性者登録センター!H8</f>
        <v>35</v>
      </c>
      <c r="I9" s="6">
        <f>医療機関!I8+陽性者登録センター!I8</f>
        <v>27</v>
      </c>
      <c r="J9" s="6">
        <f>医療機関!J8+陽性者登録センター!J8</f>
        <v>13</v>
      </c>
      <c r="K9" s="6">
        <f>医療機関!K8+陽性者登録センター!K8</f>
        <v>14</v>
      </c>
      <c r="L9" s="6">
        <f>医療機関!L8+陽性者登録センター!L8</f>
        <v>14</v>
      </c>
      <c r="M9" s="6">
        <f>医療機関!M8+陽性者登録センター!M8</f>
        <v>6</v>
      </c>
      <c r="N9" s="6">
        <f>医療機関!N8+陽性者登録センター!N8</f>
        <v>7</v>
      </c>
      <c r="O9" s="6">
        <f>医療機関!O8+陽性者登録センター!O8</f>
        <v>0</v>
      </c>
      <c r="P9" s="8">
        <f t="shared" si="0"/>
        <v>241</v>
      </c>
      <c r="Q9" s="8">
        <f t="shared" si="1"/>
        <v>101172</v>
      </c>
    </row>
    <row r="10" spans="1:17" ht="20" customHeight="1">
      <c r="A10" s="4">
        <v>44837</v>
      </c>
      <c r="B10" s="6">
        <f>医療機関!B9+陽性者登録センター!B9</f>
        <v>1</v>
      </c>
      <c r="C10" s="6">
        <f>医療機関!C9+陽性者登録センター!C9</f>
        <v>3</v>
      </c>
      <c r="D10" s="6">
        <f>医療機関!D9+陽性者登録センター!D9</f>
        <v>6</v>
      </c>
      <c r="E10" s="6">
        <f>医療機関!E9+陽性者登録センター!E9</f>
        <v>11</v>
      </c>
      <c r="F10" s="6">
        <f>医療機関!F9+陽性者登録センター!F9</f>
        <v>6</v>
      </c>
      <c r="G10" s="6">
        <f>医療機関!G9+陽性者登録センター!G9</f>
        <v>8</v>
      </c>
      <c r="H10" s="6">
        <f>医療機関!H9+陽性者登録センター!H9</f>
        <v>9</v>
      </c>
      <c r="I10" s="6">
        <f>医療機関!I9+陽性者登録センター!I9</f>
        <v>7</v>
      </c>
      <c r="J10" s="6">
        <f>医療機関!J9+陽性者登録センター!J9</f>
        <v>4</v>
      </c>
      <c r="K10" s="6">
        <f>医療機関!K9+陽性者登録センター!K9</f>
        <v>0</v>
      </c>
      <c r="L10" s="6">
        <f>医療機関!L9+陽性者登録センター!L9</f>
        <v>0</v>
      </c>
      <c r="M10" s="6">
        <f>医療機関!M9+陽性者登録センター!M9</f>
        <v>4</v>
      </c>
      <c r="N10" s="6">
        <f>医療機関!N9+陽性者登録センター!N9</f>
        <v>1</v>
      </c>
      <c r="O10" s="6">
        <f>医療機関!O9+陽性者登録センター!O9</f>
        <v>0</v>
      </c>
      <c r="P10" s="8">
        <f t="shared" si="0"/>
        <v>60</v>
      </c>
      <c r="Q10" s="8">
        <f t="shared" si="1"/>
        <v>101232</v>
      </c>
    </row>
    <row r="11" spans="1:17" ht="20" customHeight="1">
      <c r="A11" s="4">
        <v>44838</v>
      </c>
      <c r="B11" s="6">
        <f>医療機関!B10+陽性者登録センター!B10</f>
        <v>3</v>
      </c>
      <c r="C11" s="6">
        <f>医療機関!C10+陽性者登録センター!C10</f>
        <v>54</v>
      </c>
      <c r="D11" s="6">
        <f>医療機関!D10+陽性者登録センター!D10</f>
        <v>83</v>
      </c>
      <c r="E11" s="6">
        <f>医療機関!E10+陽性者登録センター!E10</f>
        <v>84</v>
      </c>
      <c r="F11" s="6">
        <f>医療機関!F10+陽性者登録センター!F10</f>
        <v>45</v>
      </c>
      <c r="G11" s="6">
        <f>医療機関!G10+陽性者登録センター!G10</f>
        <v>85</v>
      </c>
      <c r="H11" s="6">
        <f>医療機関!H10+陽性者登録センター!H10</f>
        <v>96</v>
      </c>
      <c r="I11" s="6">
        <f>医療機関!I10+陽性者登録センター!I10</f>
        <v>60</v>
      </c>
      <c r="J11" s="6">
        <f>医療機関!J10+陽性者登録センター!J10</f>
        <v>24</v>
      </c>
      <c r="K11" s="6">
        <f>医療機関!K10+陽性者登録センター!K10</f>
        <v>29</v>
      </c>
      <c r="L11" s="6">
        <f>医療機関!L10+陽性者登録センター!L10</f>
        <v>33</v>
      </c>
      <c r="M11" s="6">
        <f>医療機関!M10+陽性者登録センター!M10</f>
        <v>26</v>
      </c>
      <c r="N11" s="6">
        <f>医療機関!N10+陽性者登録センター!N10</f>
        <v>8</v>
      </c>
      <c r="O11" s="6">
        <f>医療機関!O10+陽性者登録センター!O10</f>
        <v>0</v>
      </c>
      <c r="P11" s="8">
        <f t="shared" si="0"/>
        <v>630</v>
      </c>
      <c r="Q11" s="8">
        <f t="shared" si="1"/>
        <v>101862</v>
      </c>
    </row>
    <row r="12" spans="1:17" ht="20" customHeight="1">
      <c r="A12" s="4">
        <v>44839</v>
      </c>
      <c r="B12" s="6">
        <f>医療機関!B11+陽性者登録センター!B11</f>
        <v>6</v>
      </c>
      <c r="C12" s="6">
        <f>医療機関!C11+陽性者登録センター!C11</f>
        <v>40</v>
      </c>
      <c r="D12" s="6">
        <f>医療機関!D11+陽性者登録センター!D11</f>
        <v>54</v>
      </c>
      <c r="E12" s="6">
        <f>医療機関!E11+陽性者登録センター!E11</f>
        <v>63</v>
      </c>
      <c r="F12" s="6">
        <f>医療機関!F11+陽性者登録センター!F11</f>
        <v>33</v>
      </c>
      <c r="G12" s="6">
        <f>医療機関!G11+陽性者登録センター!G11</f>
        <v>63</v>
      </c>
      <c r="H12" s="6">
        <f>医療機関!H11+陽性者登録センター!H11</f>
        <v>69</v>
      </c>
      <c r="I12" s="6">
        <f>医療機関!I11+陽性者登録センター!I11</f>
        <v>39</v>
      </c>
      <c r="J12" s="6">
        <f>医療機関!J11+陽性者登録センター!J11</f>
        <v>23</v>
      </c>
      <c r="K12" s="6">
        <f>医療機関!K11+陽性者登録センター!K11</f>
        <v>16</v>
      </c>
      <c r="L12" s="6">
        <f>医療機関!L11+陽性者登録センター!L11</f>
        <v>24</v>
      </c>
      <c r="M12" s="6">
        <f>医療機関!M11+陽性者登録センター!M11</f>
        <v>24</v>
      </c>
      <c r="N12" s="6">
        <f>医療機関!N11+陽性者登録センター!N11</f>
        <v>11</v>
      </c>
      <c r="O12" s="6">
        <f>医療機関!O11+陽性者登録センター!O11</f>
        <v>0</v>
      </c>
      <c r="P12" s="8">
        <f t="shared" si="0"/>
        <v>465</v>
      </c>
      <c r="Q12" s="8">
        <f t="shared" si="1"/>
        <v>102327</v>
      </c>
    </row>
    <row r="13" spans="1:17" ht="20" customHeight="1">
      <c r="A13" s="4">
        <v>44840</v>
      </c>
      <c r="B13" s="6">
        <f>医療機関!B12+陽性者登録センター!B12</f>
        <v>6</v>
      </c>
      <c r="C13" s="6">
        <f>医療機関!C12+陽性者登録センター!C12</f>
        <v>20</v>
      </c>
      <c r="D13" s="6">
        <f>医療機関!D12+陽性者登録センター!D12</f>
        <v>47</v>
      </c>
      <c r="E13" s="6">
        <f>医療機関!E12+陽性者登録センター!E12</f>
        <v>53</v>
      </c>
      <c r="F13" s="6">
        <f>医療機関!F12+陽性者登録センター!F12</f>
        <v>28</v>
      </c>
      <c r="G13" s="6">
        <f>医療機関!G12+陽性者登録センター!G12</f>
        <v>57</v>
      </c>
      <c r="H13" s="6">
        <f>医療機関!H12+陽性者登録センター!H12</f>
        <v>65</v>
      </c>
      <c r="I13" s="6">
        <f>医療機関!I12+陽性者登録センター!I12</f>
        <v>38</v>
      </c>
      <c r="J13" s="6">
        <f>医療機関!J12+陽性者登録センター!J12</f>
        <v>14</v>
      </c>
      <c r="K13" s="6">
        <f>医療機関!K12+陽性者登録センター!K12</f>
        <v>14</v>
      </c>
      <c r="L13" s="6">
        <f>医療機関!L12+陽性者登録センター!L12</f>
        <v>15</v>
      </c>
      <c r="M13" s="6">
        <f>医療機関!M12+陽性者登録センター!M12</f>
        <v>11</v>
      </c>
      <c r="N13" s="6">
        <f>医療機関!N12+陽性者登録センター!N12</f>
        <v>1</v>
      </c>
      <c r="O13" s="6">
        <f>医療機関!O12+陽性者登録センター!O12</f>
        <v>0</v>
      </c>
      <c r="P13" s="8">
        <f t="shared" si="0"/>
        <v>369</v>
      </c>
      <c r="Q13" s="8">
        <f t="shared" si="1"/>
        <v>102696</v>
      </c>
    </row>
    <row r="14" spans="1:17" ht="20" customHeight="1">
      <c r="A14" s="4">
        <v>44841</v>
      </c>
      <c r="B14" s="6">
        <f>医療機関!B13+陽性者登録センター!B13</f>
        <v>1</v>
      </c>
      <c r="C14" s="6">
        <f>医療機関!C13+陽性者登録センター!C13</f>
        <v>23</v>
      </c>
      <c r="D14" s="6">
        <f>医療機関!D13+陽性者登録センター!D13</f>
        <v>42</v>
      </c>
      <c r="E14" s="6">
        <f>医療機関!E13+陽性者登録センター!E13</f>
        <v>48</v>
      </c>
      <c r="F14" s="6">
        <f>医療機関!F13+陽性者登録センター!F13</f>
        <v>37</v>
      </c>
      <c r="G14" s="6">
        <f>医療機関!G13+陽性者登録センター!G13</f>
        <v>65</v>
      </c>
      <c r="H14" s="6">
        <f>医療機関!H13+陽性者登録センター!H13</f>
        <v>46</v>
      </c>
      <c r="I14" s="6">
        <f>医療機関!I13+陽性者登録センター!I13</f>
        <v>32</v>
      </c>
      <c r="J14" s="6">
        <f>医療機関!J13+陽性者登録センター!J13</f>
        <v>18</v>
      </c>
      <c r="K14" s="6">
        <f>医療機関!K13+陽性者登録センター!K13</f>
        <v>10</v>
      </c>
      <c r="L14" s="6">
        <f>医療機関!L13+陽性者登録センター!L13</f>
        <v>13</v>
      </c>
      <c r="M14" s="6">
        <f>医療機関!M13+陽性者登録センター!M13</f>
        <v>12</v>
      </c>
      <c r="N14" s="6">
        <f>医療機関!N13+陽性者登録センター!N13</f>
        <v>18</v>
      </c>
      <c r="O14" s="6">
        <f>医療機関!O13+陽性者登録センター!O13</f>
        <v>0</v>
      </c>
      <c r="P14" s="8">
        <f t="shared" si="0"/>
        <v>365</v>
      </c>
      <c r="Q14" s="8">
        <f t="shared" si="1"/>
        <v>103061</v>
      </c>
    </row>
    <row r="15" spans="1:17" ht="20" customHeight="1">
      <c r="A15" s="4">
        <v>44842</v>
      </c>
      <c r="B15" s="6">
        <f>医療機関!B14+陽性者登録センター!B14</f>
        <v>2</v>
      </c>
      <c r="C15" s="6">
        <f>医療機関!C14+陽性者登録センター!C14</f>
        <v>27</v>
      </c>
      <c r="D15" s="6">
        <f>医療機関!D14+陽性者登録センター!D14</f>
        <v>32</v>
      </c>
      <c r="E15" s="6">
        <f>医療機関!E14+陽性者登録センター!E14</f>
        <v>49</v>
      </c>
      <c r="F15" s="6">
        <f>医療機関!F14+陽性者登録センター!F14</f>
        <v>21</v>
      </c>
      <c r="G15" s="6">
        <f>医療機関!G14+陽性者登録センター!G14</f>
        <v>43</v>
      </c>
      <c r="H15" s="6">
        <f>医療機関!H14+陽性者登録センター!H14</f>
        <v>61</v>
      </c>
      <c r="I15" s="6">
        <f>医療機関!I14+陽性者登録センター!I14</f>
        <v>32</v>
      </c>
      <c r="J15" s="6">
        <f>医療機関!J14+陽性者登録センター!J14</f>
        <v>16</v>
      </c>
      <c r="K15" s="6">
        <f>医療機関!K14+陽性者登録センター!K14</f>
        <v>13</v>
      </c>
      <c r="L15" s="6">
        <f>医療機関!L14+陽性者登録センター!L14</f>
        <v>16</v>
      </c>
      <c r="M15" s="6">
        <f>医療機関!M14+陽性者登録センター!M14</f>
        <v>12</v>
      </c>
      <c r="N15" s="6">
        <f>医療機関!N14+陽性者登録センター!N14</f>
        <v>8</v>
      </c>
      <c r="O15" s="6">
        <f>医療機関!O14+陽性者登録センター!O14</f>
        <v>0</v>
      </c>
      <c r="P15" s="8">
        <f t="shared" si="0"/>
        <v>332</v>
      </c>
      <c r="Q15" s="8">
        <f t="shared" si="1"/>
        <v>103393</v>
      </c>
    </row>
    <row r="16" spans="1:17" ht="20" customHeight="1">
      <c r="A16" s="4">
        <v>44843</v>
      </c>
      <c r="B16" s="6">
        <f>医療機関!B15+陽性者登録センター!B15</f>
        <v>0</v>
      </c>
      <c r="C16" s="6">
        <f>医療機関!C15+陽性者登録センター!C15</f>
        <v>16</v>
      </c>
      <c r="D16" s="6">
        <f>医療機関!D15+陽性者登録センター!D15</f>
        <v>23</v>
      </c>
      <c r="E16" s="6">
        <f>医療機関!E15+陽性者登録センター!E15</f>
        <v>39</v>
      </c>
      <c r="F16" s="6">
        <f>医療機関!F15+陽性者登録センター!F15</f>
        <v>17</v>
      </c>
      <c r="G16" s="6">
        <f>医療機関!G15+陽性者登録センター!G15</f>
        <v>33</v>
      </c>
      <c r="H16" s="6">
        <f>医療機関!H15+陽性者登録センター!H15</f>
        <v>40</v>
      </c>
      <c r="I16" s="6">
        <f>医療機関!I15+陽性者登録センター!I15</f>
        <v>23</v>
      </c>
      <c r="J16" s="6">
        <f>医療機関!J15+陽性者登録センター!J15</f>
        <v>10</v>
      </c>
      <c r="K16" s="6">
        <f>医療機関!K15+陽性者登録センター!K15</f>
        <v>9</v>
      </c>
      <c r="L16" s="6">
        <f>医療機関!L15+陽性者登録センター!L15</f>
        <v>9</v>
      </c>
      <c r="M16" s="6">
        <f>医療機関!M15+陽性者登録センター!M15</f>
        <v>5</v>
      </c>
      <c r="N16" s="6">
        <f>医療機関!N15+陽性者登録センター!N15</f>
        <v>1</v>
      </c>
      <c r="O16" s="6">
        <f>医療機関!O15+陽性者登録センター!O15</f>
        <v>0</v>
      </c>
      <c r="P16" s="8">
        <f t="shared" si="0"/>
        <v>225</v>
      </c>
      <c r="Q16" s="8">
        <f t="shared" si="1"/>
        <v>103618</v>
      </c>
    </row>
    <row r="17" spans="1:17" ht="20" customHeight="1">
      <c r="A17" s="4">
        <v>44844</v>
      </c>
      <c r="B17" s="6">
        <f>医療機関!B16+陽性者登録センター!B16</f>
        <v>1</v>
      </c>
      <c r="C17" s="6">
        <f>医療機関!C16+陽性者登録センター!C16</f>
        <v>7</v>
      </c>
      <c r="D17" s="6">
        <f>医療機関!D16+陽性者登録センター!D16</f>
        <v>19</v>
      </c>
      <c r="E17" s="6">
        <f>医療機関!E16+陽性者登録センター!E16</f>
        <v>15</v>
      </c>
      <c r="F17" s="6">
        <f>医療機関!F16+陽性者登録センター!F16</f>
        <v>8</v>
      </c>
      <c r="G17" s="6">
        <f>医療機関!G16+陽性者登録センター!G16</f>
        <v>13</v>
      </c>
      <c r="H17" s="6">
        <f>医療機関!H16+陽性者登録センター!H16</f>
        <v>12</v>
      </c>
      <c r="I17" s="6">
        <f>医療機関!I16+陽性者登録センター!I16</f>
        <v>7</v>
      </c>
      <c r="J17" s="6">
        <f>医療機関!J16+陽性者登録センター!J16</f>
        <v>1</v>
      </c>
      <c r="K17" s="6">
        <f>医療機関!K16+陽性者登録センター!K16</f>
        <v>4</v>
      </c>
      <c r="L17" s="6">
        <f>医療機関!L16+陽性者登録センター!L16</f>
        <v>5</v>
      </c>
      <c r="M17" s="6">
        <f>医療機関!M16+陽性者登録センター!M16</f>
        <v>2</v>
      </c>
      <c r="N17" s="6">
        <f>医療機関!N16+陽性者登録センター!N16</f>
        <v>0</v>
      </c>
      <c r="O17" s="6">
        <f>医療機関!O16+陽性者登録センター!O16</f>
        <v>0</v>
      </c>
      <c r="P17" s="8">
        <f t="shared" si="0"/>
        <v>94</v>
      </c>
      <c r="Q17" s="8">
        <f t="shared" si="1"/>
        <v>103712</v>
      </c>
    </row>
    <row r="18" spans="1:17" ht="20" customHeight="1">
      <c r="A18" s="4">
        <v>44845</v>
      </c>
      <c r="B18" s="6">
        <f>医療機関!B17+陽性者登録センター!B17</f>
        <v>0</v>
      </c>
      <c r="C18" s="6">
        <f>医療機関!C17+陽性者登録センター!C17</f>
        <v>7</v>
      </c>
      <c r="D18" s="6">
        <f>医療機関!D17+陽性者登録センター!D17</f>
        <v>5</v>
      </c>
      <c r="E18" s="6">
        <f>医療機関!E17+陽性者登録センター!E17</f>
        <v>11</v>
      </c>
      <c r="F18" s="6">
        <f>医療機関!F17+陽性者登録センター!F17</f>
        <v>5</v>
      </c>
      <c r="G18" s="6">
        <f>医療機関!G17+陽性者登録センター!G17</f>
        <v>6</v>
      </c>
      <c r="H18" s="6">
        <f>医療機関!H17+陽性者登録センター!H17</f>
        <v>6</v>
      </c>
      <c r="I18" s="6">
        <f>医療機関!I17+陽性者登録センター!I17</f>
        <v>4</v>
      </c>
      <c r="J18" s="6">
        <f>医療機関!J17+陽性者登録センター!J17</f>
        <v>3</v>
      </c>
      <c r="K18" s="6">
        <f>医療機関!K17+陽性者登録センター!K17</f>
        <v>1</v>
      </c>
      <c r="L18" s="6">
        <f>医療機関!L17+陽性者登録センター!L17</f>
        <v>1</v>
      </c>
      <c r="M18" s="6">
        <f>医療機関!M17+陽性者登録センター!M17</f>
        <v>1</v>
      </c>
      <c r="N18" s="6">
        <f>医療機関!N17+陽性者登録センター!N17</f>
        <v>3</v>
      </c>
      <c r="O18" s="6">
        <f>医療機関!O17+陽性者登録センター!O17</f>
        <v>0</v>
      </c>
      <c r="P18" s="8">
        <f t="shared" si="0"/>
        <v>53</v>
      </c>
      <c r="Q18" s="8">
        <f t="shared" si="1"/>
        <v>103765</v>
      </c>
    </row>
    <row r="19" spans="1:17" ht="20" customHeight="1">
      <c r="A19" s="4">
        <v>44846</v>
      </c>
      <c r="B19" s="6">
        <f>医療機関!B18+陽性者登録センター!B18</f>
        <v>5</v>
      </c>
      <c r="C19" s="6">
        <f>医療機関!C18+陽性者登録センター!C18</f>
        <v>42</v>
      </c>
      <c r="D19" s="6">
        <f>医療機関!D18+陽性者登録センター!D18</f>
        <v>84</v>
      </c>
      <c r="E19" s="6">
        <f>医療機関!E18+陽性者登録センター!E18</f>
        <v>159</v>
      </c>
      <c r="F19" s="6">
        <f>医療機関!F18+陽性者登録センター!F18</f>
        <v>79</v>
      </c>
      <c r="G19" s="6">
        <f>医療機関!G18+陽性者登録センター!G18</f>
        <v>121</v>
      </c>
      <c r="H19" s="6">
        <f>医療機関!H18+陽性者登録センター!H18</f>
        <v>144</v>
      </c>
      <c r="I19" s="6">
        <f>医療機関!I18+陽性者登録センター!I18</f>
        <v>64</v>
      </c>
      <c r="J19" s="6">
        <f>医療機関!J18+陽性者登録センター!J18</f>
        <v>42</v>
      </c>
      <c r="K19" s="6">
        <f>医療機関!K18+陽性者登録センター!K18</f>
        <v>27</v>
      </c>
      <c r="L19" s="6">
        <f>医療機関!L18+陽性者登録センター!L18</f>
        <v>47</v>
      </c>
      <c r="M19" s="6">
        <f>医療機関!M18+陽性者登録センター!M18</f>
        <v>41</v>
      </c>
      <c r="N19" s="6">
        <f>医療機関!N18+陽性者登録センター!N18</f>
        <v>30</v>
      </c>
      <c r="O19" s="6">
        <f>医療機関!O18+陽性者登録センター!O18</f>
        <v>0</v>
      </c>
      <c r="P19" s="8">
        <f t="shared" si="0"/>
        <v>885</v>
      </c>
      <c r="Q19" s="8">
        <f t="shared" si="1"/>
        <v>104650</v>
      </c>
    </row>
    <row r="20" spans="1:17" ht="20" customHeight="1">
      <c r="A20" s="4">
        <v>44847</v>
      </c>
      <c r="B20" s="6">
        <f>医療機関!B19+陽性者登録センター!B19</f>
        <v>6</v>
      </c>
      <c r="C20" s="6">
        <f>医療機関!C19+陽性者登録センター!C19</f>
        <v>31</v>
      </c>
      <c r="D20" s="6">
        <f>医療機関!D19+陽性者登録センター!D19</f>
        <v>66</v>
      </c>
      <c r="E20" s="6">
        <f>医療機関!E19+陽性者登録センター!E19</f>
        <v>121</v>
      </c>
      <c r="F20" s="6">
        <f>医療機関!F19+陽性者登録センター!F19</f>
        <v>43</v>
      </c>
      <c r="G20" s="6">
        <f>医療機関!G19+陽性者登録センター!G19</f>
        <v>77</v>
      </c>
      <c r="H20" s="6">
        <f>医療機関!H19+陽性者登録センター!H19</f>
        <v>86</v>
      </c>
      <c r="I20" s="6">
        <f>医療機関!I19+陽性者登録センター!I19</f>
        <v>46</v>
      </c>
      <c r="J20" s="6">
        <f>医療機関!J19+陽性者登録センター!J19</f>
        <v>20</v>
      </c>
      <c r="K20" s="6">
        <f>医療機関!K19+陽性者登録センター!K19</f>
        <v>12</v>
      </c>
      <c r="L20" s="6">
        <f>医療機関!L19+陽性者登録センター!L19</f>
        <v>26</v>
      </c>
      <c r="M20" s="6">
        <f>医療機関!M19+陽性者登録センター!M19</f>
        <v>11</v>
      </c>
      <c r="N20" s="6">
        <f>医療機関!N19+陽性者登録センター!N19</f>
        <v>13</v>
      </c>
      <c r="O20" s="6">
        <f>医療機関!O19+陽性者登録センター!O19</f>
        <v>0</v>
      </c>
      <c r="P20" s="8">
        <f t="shared" si="0"/>
        <v>558</v>
      </c>
      <c r="Q20" s="8">
        <f t="shared" si="1"/>
        <v>105208</v>
      </c>
    </row>
    <row r="21" spans="1:17" ht="20" customHeight="1">
      <c r="A21" s="4">
        <v>44848</v>
      </c>
      <c r="B21" s="6">
        <f>医療機関!B20+陽性者登録センター!B20</f>
        <v>4</v>
      </c>
      <c r="C21" s="6">
        <f>医療機関!C20+陽性者登録センター!C20</f>
        <v>15</v>
      </c>
      <c r="D21" s="6">
        <f>医療機関!D20+陽性者登録センター!D20</f>
        <v>40</v>
      </c>
      <c r="E21" s="6">
        <f>医療機関!E20+陽性者登録センター!E20</f>
        <v>78</v>
      </c>
      <c r="F21" s="6">
        <f>医療機関!F20+陽性者登録センター!F20</f>
        <v>38</v>
      </c>
      <c r="G21" s="6">
        <f>医療機関!G20+陽性者登録センター!G20</f>
        <v>90</v>
      </c>
      <c r="H21" s="6">
        <f>医療機関!H20+陽性者登録センター!H20</f>
        <v>85</v>
      </c>
      <c r="I21" s="6">
        <f>医療機関!I20+陽性者登録センター!I20</f>
        <v>44</v>
      </c>
      <c r="J21" s="6">
        <f>医療機関!J20+陽性者登録センター!J20</f>
        <v>28</v>
      </c>
      <c r="K21" s="6">
        <f>医療機関!K20+陽性者登録センター!K20</f>
        <v>19</v>
      </c>
      <c r="L21" s="6">
        <f>医療機関!L20+陽性者登録センター!L20</f>
        <v>30</v>
      </c>
      <c r="M21" s="6">
        <f>医療機関!M20+陽性者登録センター!M20</f>
        <v>24</v>
      </c>
      <c r="N21" s="6">
        <f>医療機関!N20+陽性者登録センター!N20</f>
        <v>8</v>
      </c>
      <c r="O21" s="6">
        <f>医療機関!O20+陽性者登録センター!O20</f>
        <v>0</v>
      </c>
      <c r="P21" s="8">
        <f t="shared" si="0"/>
        <v>503</v>
      </c>
      <c r="Q21" s="8">
        <f t="shared" si="1"/>
        <v>105711</v>
      </c>
    </row>
    <row r="22" spans="1:17" ht="20" customHeight="1">
      <c r="A22" s="4">
        <v>44849</v>
      </c>
      <c r="B22" s="6">
        <f>医療機関!B21+陽性者登録センター!B21</f>
        <v>2</v>
      </c>
      <c r="C22" s="6">
        <f>医療機関!C21+陽性者登録センター!C21</f>
        <v>17</v>
      </c>
      <c r="D22" s="6">
        <f>医療機関!D21+陽性者登録センター!D21</f>
        <v>47</v>
      </c>
      <c r="E22" s="6">
        <f>医療機関!E21+陽性者登録センター!E21</f>
        <v>83</v>
      </c>
      <c r="F22" s="6">
        <f>医療機関!F21+陽性者登録センター!F21</f>
        <v>26</v>
      </c>
      <c r="G22" s="6">
        <f>医療機関!G21+陽性者登録センター!G21</f>
        <v>59</v>
      </c>
      <c r="H22" s="6">
        <f>医療機関!H21+陽性者登録センター!H21</f>
        <v>68</v>
      </c>
      <c r="I22" s="6">
        <f>医療機関!I21+陽性者登録センター!I21</f>
        <v>28</v>
      </c>
      <c r="J22" s="6">
        <f>医療機関!J21+陽性者登録センター!J21</f>
        <v>22</v>
      </c>
      <c r="K22" s="6">
        <f>医療機関!K21+陽性者登録センター!K21</f>
        <v>23</v>
      </c>
      <c r="L22" s="6">
        <f>医療機関!L21+陽性者登録センター!L21</f>
        <v>22</v>
      </c>
      <c r="M22" s="6">
        <f>医療機関!M21+陽性者登録センター!M21</f>
        <v>16</v>
      </c>
      <c r="N22" s="6">
        <f>医療機関!N21+陽性者登録センター!N21</f>
        <v>13</v>
      </c>
      <c r="O22" s="6">
        <f>医療機関!O21+陽性者登録センター!O21</f>
        <v>0</v>
      </c>
      <c r="P22" s="8">
        <f t="shared" si="0"/>
        <v>426</v>
      </c>
      <c r="Q22" s="8">
        <f t="shared" si="1"/>
        <v>106137</v>
      </c>
    </row>
    <row r="23" spans="1:17" ht="20" customHeight="1">
      <c r="A23" s="4">
        <v>44850</v>
      </c>
      <c r="B23" s="6">
        <f>医療機関!B22+陽性者登録センター!B22</f>
        <v>4</v>
      </c>
      <c r="C23" s="6">
        <f>医療機関!C22+陽性者登録センター!C22</f>
        <v>14</v>
      </c>
      <c r="D23" s="6">
        <f>医療機関!D22+陽性者登録センター!D22</f>
        <v>33</v>
      </c>
      <c r="E23" s="6">
        <f>医療機関!E22+陽性者登録センター!E22</f>
        <v>59</v>
      </c>
      <c r="F23" s="6">
        <f>医療機関!F22+陽性者登録センター!F22</f>
        <v>16</v>
      </c>
      <c r="G23" s="6">
        <f>医療機関!G22+陽性者登録センター!G22</f>
        <v>32</v>
      </c>
      <c r="H23" s="6">
        <f>医療機関!H22+陽性者登録センター!H22</f>
        <v>49</v>
      </c>
      <c r="I23" s="6">
        <f>医療機関!I22+陽性者登録センター!I22</f>
        <v>35</v>
      </c>
      <c r="J23" s="6">
        <f>医療機関!J22+陽性者登録センター!J22</f>
        <v>11</v>
      </c>
      <c r="K23" s="6">
        <f>医療機関!K22+陽性者登録センター!K22</f>
        <v>9</v>
      </c>
      <c r="L23" s="6">
        <f>医療機関!L22+陽性者登録センター!L22</f>
        <v>18</v>
      </c>
      <c r="M23" s="6">
        <f>医療機関!M22+陽性者登録センター!M22</f>
        <v>9</v>
      </c>
      <c r="N23" s="6">
        <f>医療機関!N22+陽性者登録センター!N22</f>
        <v>8</v>
      </c>
      <c r="O23" s="6">
        <f>医療機関!O22+陽性者登録センター!O22</f>
        <v>0</v>
      </c>
      <c r="P23" s="8">
        <f t="shared" si="0"/>
        <v>297</v>
      </c>
      <c r="Q23" s="8">
        <f t="shared" si="1"/>
        <v>106434</v>
      </c>
    </row>
    <row r="24" spans="1:17" ht="20" customHeight="1">
      <c r="A24" s="4">
        <v>44851</v>
      </c>
      <c r="B24" s="6">
        <f>医療機関!B23+陽性者登録センター!B23</f>
        <v>0</v>
      </c>
      <c r="C24" s="6">
        <f>医療機関!C23+陽性者登録センター!C23</f>
        <v>2</v>
      </c>
      <c r="D24" s="6">
        <f>医療機関!D23+陽性者登録センター!D23</f>
        <v>16</v>
      </c>
      <c r="E24" s="6">
        <f>医療機関!E23+陽性者登録センター!E23</f>
        <v>30</v>
      </c>
      <c r="F24" s="6">
        <f>医療機関!F23+陽性者登録センター!F23</f>
        <v>9</v>
      </c>
      <c r="G24" s="6">
        <f>医療機関!G23+陽性者登録センター!G23</f>
        <v>17</v>
      </c>
      <c r="H24" s="6">
        <f>医療機関!H23+陽性者登録センター!H23</f>
        <v>26</v>
      </c>
      <c r="I24" s="6">
        <f>医療機関!I23+陽性者登録センター!I23</f>
        <v>15</v>
      </c>
      <c r="J24" s="6">
        <f>医療機関!J23+陽性者登録センター!J23</f>
        <v>7</v>
      </c>
      <c r="K24" s="6">
        <f>医療機関!K23+陽性者登録センター!K23</f>
        <v>2</v>
      </c>
      <c r="L24" s="6">
        <f>医療機関!L23+陽性者登録センター!L23</f>
        <v>6</v>
      </c>
      <c r="M24" s="6">
        <f>医療機関!M23+陽性者登録センター!M23</f>
        <v>4</v>
      </c>
      <c r="N24" s="6">
        <f>医療機関!N23+陽性者登録センター!N23</f>
        <v>1</v>
      </c>
      <c r="O24" s="6">
        <f>医療機関!O23+陽性者登録センター!O23</f>
        <v>0</v>
      </c>
      <c r="P24" s="8">
        <f t="shared" si="0"/>
        <v>135</v>
      </c>
      <c r="Q24" s="8">
        <f t="shared" si="1"/>
        <v>106569</v>
      </c>
    </row>
    <row r="25" spans="1:17" ht="20" customHeight="1">
      <c r="A25" s="4">
        <v>44852</v>
      </c>
      <c r="B25" s="6">
        <f>医療機関!B24+陽性者登録センター!B24</f>
        <v>2</v>
      </c>
      <c r="C25" s="6">
        <f>医療機関!C24+陽性者登録センター!C24</f>
        <v>38</v>
      </c>
      <c r="D25" s="6">
        <f>医療機関!D24+陽性者登録センター!D24</f>
        <v>102</v>
      </c>
      <c r="E25" s="6">
        <f>医療機関!E24+陽性者登録センター!E24</f>
        <v>158</v>
      </c>
      <c r="F25" s="6">
        <f>医療機関!F24+陽性者登録センター!F24</f>
        <v>38</v>
      </c>
      <c r="G25" s="6">
        <f>医療機関!G24+陽性者登録センター!G24</f>
        <v>108</v>
      </c>
      <c r="H25" s="6">
        <f>医療機関!H24+陽性者登録センター!H24</f>
        <v>122</v>
      </c>
      <c r="I25" s="6">
        <f>医療機関!I24+陽性者登録センター!I24</f>
        <v>66</v>
      </c>
      <c r="J25" s="6">
        <f>医療機関!J24+陽性者登録センター!J24</f>
        <v>29</v>
      </c>
      <c r="K25" s="6">
        <f>医療機関!K24+陽性者登録センター!K24</f>
        <v>30</v>
      </c>
      <c r="L25" s="6">
        <f>医療機関!L24+陽性者登録センター!L24</f>
        <v>46</v>
      </c>
      <c r="M25" s="6">
        <f>医療機関!M24+陽性者登録センター!M24</f>
        <v>44</v>
      </c>
      <c r="N25" s="6">
        <f>医療機関!N24+陽性者登録センター!N24</f>
        <v>21</v>
      </c>
      <c r="O25" s="6">
        <f>医療機関!O24+陽性者登録センター!O24</f>
        <v>0</v>
      </c>
      <c r="P25" s="8">
        <f t="shared" si="0"/>
        <v>804</v>
      </c>
      <c r="Q25" s="8">
        <f t="shared" si="1"/>
        <v>107373</v>
      </c>
    </row>
    <row r="26" spans="1:17" ht="20" customHeight="1">
      <c r="A26" s="4">
        <v>44853</v>
      </c>
      <c r="B26" s="6">
        <f>医療機関!B25+陽性者登録センター!B25</f>
        <v>1</v>
      </c>
      <c r="C26" s="6">
        <f>医療機関!C25+陽性者登録センター!C25</f>
        <v>15</v>
      </c>
      <c r="D26" s="6">
        <f>医療機関!D25+陽性者登録センター!D25</f>
        <v>45</v>
      </c>
      <c r="E26" s="6">
        <f>医療機関!E25+陽性者登録センター!E25</f>
        <v>119</v>
      </c>
      <c r="F26" s="6">
        <f>医療機関!F25+陽性者登録センター!F25</f>
        <v>38</v>
      </c>
      <c r="G26" s="6">
        <f>医療機関!G25+陽性者登録センター!G25</f>
        <v>65</v>
      </c>
      <c r="H26" s="6">
        <f>医療機関!H25+陽性者登録センター!H25</f>
        <v>90</v>
      </c>
      <c r="I26" s="6">
        <f>医療機関!I25+陽性者登録センター!I25</f>
        <v>51</v>
      </c>
      <c r="J26" s="6">
        <f>医療機関!J25+陽性者登録センター!J25</f>
        <v>17</v>
      </c>
      <c r="K26" s="6">
        <f>医療機関!K25+陽性者登録センター!K25</f>
        <v>17</v>
      </c>
      <c r="L26" s="6">
        <f>医療機関!L25+陽性者登録センター!L25</f>
        <v>26</v>
      </c>
      <c r="M26" s="6">
        <f>医療機関!M25+陽性者登録センター!M25</f>
        <v>19</v>
      </c>
      <c r="N26" s="6">
        <f>医療機関!N25+陽性者登録センター!N25</f>
        <v>6</v>
      </c>
      <c r="O26" s="6">
        <f>医療機関!O25+陽性者登録センター!O25</f>
        <v>0</v>
      </c>
      <c r="P26" s="8">
        <f t="shared" si="0"/>
        <v>509</v>
      </c>
      <c r="Q26" s="8">
        <f t="shared" si="1"/>
        <v>107882</v>
      </c>
    </row>
    <row r="27" spans="1:17" ht="20" customHeight="1">
      <c r="A27" s="4">
        <v>44854</v>
      </c>
      <c r="B27" s="6">
        <f>医療機関!B26+陽性者登録センター!B26</f>
        <v>3</v>
      </c>
      <c r="C27" s="6">
        <f>医療機関!C26+陽性者登録センター!C26</f>
        <v>22</v>
      </c>
      <c r="D27" s="6">
        <f>医療機関!D26+陽性者登録センター!D26</f>
        <v>41</v>
      </c>
      <c r="E27" s="6">
        <f>医療機関!E26+陽性者登録センター!E26</f>
        <v>83</v>
      </c>
      <c r="F27" s="6">
        <f>医療機関!F26+陽性者登録センター!F26</f>
        <v>27</v>
      </c>
      <c r="G27" s="6">
        <f>医療機関!G26+陽性者登録センター!G26</f>
        <v>71</v>
      </c>
      <c r="H27" s="6">
        <f>医療機関!H26+陽性者登録センター!H26</f>
        <v>74</v>
      </c>
      <c r="I27" s="6">
        <f>医療機関!I26+陽性者登録センター!I26</f>
        <v>42</v>
      </c>
      <c r="J27" s="6">
        <f>医療機関!J26+陽性者登録センター!J26</f>
        <v>20</v>
      </c>
      <c r="K27" s="6">
        <f>医療機関!K26+陽性者登録センター!K26</f>
        <v>25</v>
      </c>
      <c r="L27" s="6">
        <f>医療機関!L26+陽性者登録センター!L26</f>
        <v>22</v>
      </c>
      <c r="M27" s="6">
        <f>医療機関!M26+陽性者登録センター!M26</f>
        <v>22</v>
      </c>
      <c r="N27" s="6">
        <f>医療機関!N26+陽性者登録センター!N26</f>
        <v>10</v>
      </c>
      <c r="O27" s="6">
        <f>医療機関!O26+陽性者登録センター!O26</f>
        <v>0</v>
      </c>
      <c r="P27" s="8">
        <f t="shared" si="0"/>
        <v>462</v>
      </c>
      <c r="Q27" s="8">
        <f t="shared" si="1"/>
        <v>108344</v>
      </c>
    </row>
    <row r="28" spans="1:17" ht="20" customHeight="1">
      <c r="A28" s="4">
        <v>44855</v>
      </c>
      <c r="B28" s="6">
        <f>医療機関!B27+陽性者登録センター!B27</f>
        <v>2</v>
      </c>
      <c r="C28" s="6">
        <f>医療機関!C27+陽性者登録センター!C27</f>
        <v>17</v>
      </c>
      <c r="D28" s="6">
        <f>医療機関!D27+陽性者登録センター!D27</f>
        <v>43</v>
      </c>
      <c r="E28" s="6">
        <f>医療機関!E27+陽性者登録センター!E27</f>
        <v>100</v>
      </c>
      <c r="F28" s="6">
        <f>医療機関!F27+陽性者登録センター!F27</f>
        <v>45</v>
      </c>
      <c r="G28" s="6">
        <f>医療機関!G27+陽性者登録センター!G27</f>
        <v>75</v>
      </c>
      <c r="H28" s="6">
        <f>医療機関!H27+陽性者登録センター!H27</f>
        <v>72</v>
      </c>
      <c r="I28" s="6">
        <f>医療機関!I27+陽性者登録センター!I27</f>
        <v>40</v>
      </c>
      <c r="J28" s="6">
        <f>医療機関!J27+陽性者登録センター!J27</f>
        <v>26</v>
      </c>
      <c r="K28" s="6">
        <f>医療機関!K27+陽性者登録センター!K27</f>
        <v>18</v>
      </c>
      <c r="L28" s="6">
        <f>医療機関!L27+陽性者登録センター!L27</f>
        <v>37</v>
      </c>
      <c r="M28" s="6">
        <f>医療機関!M27+陽性者登録センター!M27</f>
        <v>21</v>
      </c>
      <c r="N28" s="6">
        <f>医療機関!N27+陽性者登録センター!N27</f>
        <v>2</v>
      </c>
      <c r="O28" s="6">
        <f>医療機関!O27+陽性者登録センター!O27</f>
        <v>0</v>
      </c>
      <c r="P28" s="8">
        <f t="shared" si="0"/>
        <v>498</v>
      </c>
      <c r="Q28" s="8">
        <f t="shared" si="1"/>
        <v>108842</v>
      </c>
    </row>
    <row r="29" spans="1:17" ht="20" customHeight="1">
      <c r="A29" s="4">
        <v>44856</v>
      </c>
      <c r="B29" s="6">
        <f>医療機関!B28+陽性者登録センター!B28</f>
        <v>2</v>
      </c>
      <c r="C29" s="6">
        <f>医療機関!C28+陽性者登録センター!C28</f>
        <v>18</v>
      </c>
      <c r="D29" s="6">
        <f>医療機関!D28+陽性者登録センター!D28</f>
        <v>49</v>
      </c>
      <c r="E29" s="6">
        <f>医療機関!E28+陽性者登録センター!E28</f>
        <v>94</v>
      </c>
      <c r="F29" s="6">
        <f>医療機関!F28+陽性者登録センター!F28</f>
        <v>36</v>
      </c>
      <c r="G29" s="6">
        <f>医療機関!G28+陽性者登録センター!G28</f>
        <v>54</v>
      </c>
      <c r="H29" s="6">
        <f>医療機関!H28+陽性者登録センター!H28</f>
        <v>68</v>
      </c>
      <c r="I29" s="6">
        <f>医療機関!I28+陽性者登録センター!I28</f>
        <v>50</v>
      </c>
      <c r="J29" s="6">
        <f>医療機関!J28+陽性者登録センター!J28</f>
        <v>17</v>
      </c>
      <c r="K29" s="6">
        <f>医療機関!K28+陽性者登録センター!K28</f>
        <v>26</v>
      </c>
      <c r="L29" s="6">
        <f>医療機関!L28+陽性者登録センター!L28</f>
        <v>32</v>
      </c>
      <c r="M29" s="6">
        <f>医療機関!M28+陽性者登録センター!M28</f>
        <v>18</v>
      </c>
      <c r="N29" s="6">
        <f>医療機関!N28+陽性者登録センター!N28</f>
        <v>2</v>
      </c>
      <c r="O29" s="6">
        <f>医療機関!O28+陽性者登録センター!O28</f>
        <v>0</v>
      </c>
      <c r="P29" s="8">
        <f t="shared" si="0"/>
        <v>466</v>
      </c>
      <c r="Q29" s="8">
        <f t="shared" si="1"/>
        <v>109308</v>
      </c>
    </row>
    <row r="30" spans="1:17" ht="20" customHeight="1">
      <c r="A30" s="4">
        <v>44857</v>
      </c>
      <c r="B30" s="6">
        <f>医療機関!B29+陽性者登録センター!B29</f>
        <v>0</v>
      </c>
      <c r="C30" s="6">
        <f>医療機関!C29+陽性者登録センター!C29</f>
        <v>20</v>
      </c>
      <c r="D30" s="6">
        <f>医療機関!D29+陽性者登録センター!D29</f>
        <v>37</v>
      </c>
      <c r="E30" s="6">
        <f>医療機関!E29+陽性者登録センター!E29</f>
        <v>52</v>
      </c>
      <c r="F30" s="6">
        <f>医療機関!F29+陽性者登録センター!F29</f>
        <v>28</v>
      </c>
      <c r="G30" s="6">
        <f>医療機関!G29+陽性者登録センター!G29</f>
        <v>36</v>
      </c>
      <c r="H30" s="6">
        <f>医療機関!H29+陽性者登録センター!H29</f>
        <v>54</v>
      </c>
      <c r="I30" s="6">
        <f>医療機関!I29+陽性者登録センター!I29</f>
        <v>32</v>
      </c>
      <c r="J30" s="6">
        <f>医療機関!J29+陽性者登録センター!J29</f>
        <v>19</v>
      </c>
      <c r="K30" s="6">
        <f>医療機関!K29+陽性者登録センター!K29</f>
        <v>7</v>
      </c>
      <c r="L30" s="6">
        <f>医療機関!L29+陽性者登録センター!L29</f>
        <v>16</v>
      </c>
      <c r="M30" s="6">
        <f>医療機関!M29+陽性者登録センター!M29</f>
        <v>8</v>
      </c>
      <c r="N30" s="6">
        <f>医療機関!N29+陽性者登録センター!N29</f>
        <v>1</v>
      </c>
      <c r="O30" s="6">
        <f>医療機関!O29+陽性者登録センター!O29</f>
        <v>0</v>
      </c>
      <c r="P30" s="8">
        <f t="shared" si="0"/>
        <v>310</v>
      </c>
      <c r="Q30" s="8">
        <f t="shared" si="1"/>
        <v>109618</v>
      </c>
    </row>
    <row r="31" spans="1:17" ht="20" customHeight="1">
      <c r="A31" s="4">
        <v>44858</v>
      </c>
      <c r="B31" s="6">
        <f>医療機関!B30+陽性者登録センター!B30</f>
        <v>0</v>
      </c>
      <c r="C31" s="6">
        <f>医療機関!C30+陽性者登録センター!C30</f>
        <v>7</v>
      </c>
      <c r="D31" s="6">
        <f>医療機関!D30+陽性者登録センター!D30</f>
        <v>15</v>
      </c>
      <c r="E31" s="6">
        <f>医療機関!E30+陽性者登録センター!E30</f>
        <v>16</v>
      </c>
      <c r="F31" s="6">
        <f>医療機関!F30+陽性者登録センター!F30</f>
        <v>13</v>
      </c>
      <c r="G31" s="6">
        <f>医療機関!G30+陽性者登録センター!G30</f>
        <v>12</v>
      </c>
      <c r="H31" s="6">
        <f>医療機関!H30+陽性者登録センター!H30</f>
        <v>34</v>
      </c>
      <c r="I31" s="6">
        <f>医療機関!I30+陽性者登録センター!I30</f>
        <v>14</v>
      </c>
      <c r="J31" s="6">
        <f>医療機関!J30+陽性者登録センター!J30</f>
        <v>6</v>
      </c>
      <c r="K31" s="6">
        <f>医療機関!K30+陽性者登録センター!K30</f>
        <v>4</v>
      </c>
      <c r="L31" s="6">
        <f>医療機関!L30+陽性者登録センター!L30</f>
        <v>8</v>
      </c>
      <c r="M31" s="6">
        <f>医療機関!M30+陽性者登録センター!M30</f>
        <v>2</v>
      </c>
      <c r="N31" s="6">
        <f>医療機関!N30+陽性者登録センター!N30</f>
        <v>1</v>
      </c>
      <c r="O31" s="6">
        <f>医療機関!O30+陽性者登録センター!O30</f>
        <v>0</v>
      </c>
      <c r="P31" s="8">
        <f t="shared" si="0"/>
        <v>132</v>
      </c>
      <c r="Q31" s="8">
        <f t="shared" si="1"/>
        <v>109750</v>
      </c>
    </row>
    <row r="32" spans="1:17" ht="20" customHeight="1">
      <c r="A32" s="4">
        <v>44859</v>
      </c>
      <c r="B32" s="6">
        <f>医療機関!B31+陽性者登録センター!B31</f>
        <v>2</v>
      </c>
      <c r="C32" s="6">
        <f>医療機関!C31+陽性者登録センター!C31</f>
        <v>42</v>
      </c>
      <c r="D32" s="6">
        <f>医療機関!D31+陽性者登録センター!D31</f>
        <v>84</v>
      </c>
      <c r="E32" s="6">
        <f>医療機関!E31+陽性者登録センター!E31</f>
        <v>139</v>
      </c>
      <c r="F32" s="6">
        <f>医療機関!F31+陽性者登録センター!F31</f>
        <v>54</v>
      </c>
      <c r="G32" s="6">
        <f>医療機関!G31+陽性者登録センター!G31</f>
        <v>105</v>
      </c>
      <c r="H32" s="6">
        <f>医療機関!H31+陽性者登録センター!H31</f>
        <v>125</v>
      </c>
      <c r="I32" s="6">
        <f>医療機関!I31+陽性者登録センター!I31</f>
        <v>83</v>
      </c>
      <c r="J32" s="6">
        <f>医療機関!J31+陽性者登録センター!J31</f>
        <v>36</v>
      </c>
      <c r="K32" s="6">
        <f>医療機関!K31+陽性者登録センター!K31</f>
        <v>37</v>
      </c>
      <c r="L32" s="6">
        <f>医療機関!L31+陽性者登録センター!L31</f>
        <v>39</v>
      </c>
      <c r="M32" s="6">
        <f>医療機関!M31+陽性者登録センター!M31</f>
        <v>25</v>
      </c>
      <c r="N32" s="6">
        <f>医療機関!N31+陽性者登録センター!N31</f>
        <v>18</v>
      </c>
      <c r="O32" s="6">
        <f>医療機関!O31+陽性者登録センター!O31</f>
        <v>0</v>
      </c>
      <c r="P32" s="8">
        <f t="shared" si="0"/>
        <v>789</v>
      </c>
      <c r="Q32" s="8">
        <f t="shared" si="1"/>
        <v>110539</v>
      </c>
    </row>
    <row r="33" spans="1:17" ht="20" customHeight="1">
      <c r="A33" s="4">
        <v>44860</v>
      </c>
      <c r="B33" s="6">
        <f>医療機関!B32+陽性者登録センター!B32</f>
        <v>2</v>
      </c>
      <c r="C33" s="6">
        <f>医療機関!C32+陽性者登録センター!C32</f>
        <v>16</v>
      </c>
      <c r="D33" s="6">
        <f>医療機関!D32+陽性者登録センター!D32</f>
        <v>44</v>
      </c>
      <c r="E33" s="6">
        <f>医療機関!E32+陽性者登録センター!E32</f>
        <v>122</v>
      </c>
      <c r="F33" s="6">
        <f>医療機関!F32+陽性者登録センター!F32</f>
        <v>57</v>
      </c>
      <c r="G33" s="6">
        <f>医療機関!G32+陽性者登録センター!G32</f>
        <v>82</v>
      </c>
      <c r="H33" s="6">
        <f>医療機関!H32+陽性者登録センター!H32</f>
        <v>83</v>
      </c>
      <c r="I33" s="6">
        <f>医療機関!I32+陽性者登録センター!I32</f>
        <v>53</v>
      </c>
      <c r="J33" s="6">
        <f>医療機関!J32+陽性者登録センター!J32</f>
        <v>26</v>
      </c>
      <c r="K33" s="6">
        <f>医療機関!K32+陽性者登録センター!K32</f>
        <v>24</v>
      </c>
      <c r="L33" s="6">
        <f>医療機関!L32+陽性者登録センター!L32</f>
        <v>33</v>
      </c>
      <c r="M33" s="6">
        <f>医療機関!M32+陽性者登録センター!M32</f>
        <v>23</v>
      </c>
      <c r="N33" s="6">
        <f>医療機関!N32+陽性者登録センター!N32</f>
        <v>23</v>
      </c>
      <c r="O33" s="6">
        <f>医療機関!O32+陽性者登録センター!O32</f>
        <v>0</v>
      </c>
      <c r="P33" s="8">
        <f t="shared" si="0"/>
        <v>588</v>
      </c>
      <c r="Q33" s="8">
        <f t="shared" si="1"/>
        <v>111127</v>
      </c>
    </row>
    <row r="34" spans="1:17" ht="20" customHeight="1">
      <c r="A34" s="4">
        <v>44861</v>
      </c>
      <c r="B34" s="6">
        <f>医療機関!B33+陽性者登録センター!B33</f>
        <v>2</v>
      </c>
      <c r="C34" s="6">
        <f>医療機関!C33+陽性者登録センター!C33</f>
        <v>16</v>
      </c>
      <c r="D34" s="6">
        <f>医療機関!D33+陽性者登録センター!D33</f>
        <v>49</v>
      </c>
      <c r="E34" s="6">
        <f>医療機関!E33+陽性者登録センター!E33</f>
        <v>105</v>
      </c>
      <c r="F34" s="6">
        <f>医療機関!F33+陽性者登録センター!F33</f>
        <v>47</v>
      </c>
      <c r="G34" s="6">
        <f>医療機関!G33+陽性者登録センター!G33</f>
        <v>66</v>
      </c>
      <c r="H34" s="6">
        <f>医療機関!H33+陽性者登録センター!H33</f>
        <v>84</v>
      </c>
      <c r="I34" s="6">
        <f>医療機関!I33+陽性者登録センター!I33</f>
        <v>51</v>
      </c>
      <c r="J34" s="6">
        <f>医療機関!J33+陽性者登録センター!J33</f>
        <v>22</v>
      </c>
      <c r="K34" s="6">
        <f>医療機関!K33+陽性者登録センター!K33</f>
        <v>17</v>
      </c>
      <c r="L34" s="6">
        <f>医療機関!L33+陽性者登録センター!L33</f>
        <v>35</v>
      </c>
      <c r="M34" s="6">
        <f>医療機関!M33+陽性者登録センター!M33</f>
        <v>31</v>
      </c>
      <c r="N34" s="6">
        <f>医療機関!N33+陽性者登録センター!N33</f>
        <v>17</v>
      </c>
      <c r="O34" s="6">
        <f>医療機関!O33+陽性者登録センター!O33</f>
        <v>0</v>
      </c>
      <c r="P34" s="8">
        <f t="shared" si="0"/>
        <v>542</v>
      </c>
      <c r="Q34" s="8">
        <f t="shared" si="1"/>
        <v>111669</v>
      </c>
    </row>
    <row r="35" spans="1:17" ht="20" customHeight="1">
      <c r="A35" s="4">
        <v>44862</v>
      </c>
      <c r="B35" s="6">
        <f>医療機関!B34+陽性者登録センター!B34</f>
        <v>2</v>
      </c>
      <c r="C35" s="6">
        <f>医療機関!C34+陽性者登録センター!C34</f>
        <v>26</v>
      </c>
      <c r="D35" s="6">
        <f>医療機関!D34+陽性者登録センター!D34</f>
        <v>47</v>
      </c>
      <c r="E35" s="6">
        <f>医療機関!E34+陽性者登録センター!E34</f>
        <v>116</v>
      </c>
      <c r="F35" s="6">
        <f>医療機関!F34+陽性者登録センター!F34</f>
        <v>43</v>
      </c>
      <c r="G35" s="6">
        <f>医療機関!G34+陽性者登録センター!G34</f>
        <v>67</v>
      </c>
      <c r="H35" s="6">
        <f>医療機関!H34+陽性者登録センター!H34</f>
        <v>98</v>
      </c>
      <c r="I35" s="6">
        <f>医療機関!I34+陽性者登録センター!I34</f>
        <v>54</v>
      </c>
      <c r="J35" s="6">
        <f>医療機関!J34+陽性者登録センター!J34</f>
        <v>19</v>
      </c>
      <c r="K35" s="6">
        <f>医療機関!K34+陽性者登録センター!K34</f>
        <v>15</v>
      </c>
      <c r="L35" s="6">
        <f>医療機関!L34+陽性者登録センター!L34</f>
        <v>32</v>
      </c>
      <c r="M35" s="6">
        <f>医療機関!M34+陽性者登録センター!M34</f>
        <v>27</v>
      </c>
      <c r="N35" s="6">
        <f>医療機関!N34+陽性者登録センター!N34</f>
        <v>7</v>
      </c>
      <c r="O35" s="6">
        <f>医療機関!O34+陽性者登録センター!O34</f>
        <v>0</v>
      </c>
      <c r="P35" s="8">
        <f t="shared" si="0"/>
        <v>553</v>
      </c>
      <c r="Q35" s="8">
        <f t="shared" si="1"/>
        <v>112222</v>
      </c>
    </row>
    <row r="36" spans="1:17" ht="20" customHeight="1">
      <c r="A36" s="4">
        <v>44863</v>
      </c>
      <c r="B36" s="6">
        <f>医療機関!B35+陽性者登録センター!B35</f>
        <v>3</v>
      </c>
      <c r="C36" s="6">
        <f>医療機関!C35+陽性者登録センター!C35</f>
        <v>26</v>
      </c>
      <c r="D36" s="6">
        <f>医療機関!D35+陽性者登録センター!D35</f>
        <v>52</v>
      </c>
      <c r="E36" s="6">
        <f>医療機関!E35+陽性者登録センター!E35</f>
        <v>126</v>
      </c>
      <c r="F36" s="6">
        <f>医療機関!F35+陽性者登録センター!F35</f>
        <v>34</v>
      </c>
      <c r="G36" s="6">
        <f>医療機関!G35+陽性者登録センター!G35</f>
        <v>69</v>
      </c>
      <c r="H36" s="6">
        <f>医療機関!H35+陽性者登録センター!H35</f>
        <v>86</v>
      </c>
      <c r="I36" s="6">
        <f>医療機関!I35+陽性者登録センター!I35</f>
        <v>72</v>
      </c>
      <c r="J36" s="6">
        <f>医療機関!J35+陽性者登録センター!J35</f>
        <v>25</v>
      </c>
      <c r="K36" s="6">
        <f>医療機関!K35+陽性者登録センター!K35</f>
        <v>15</v>
      </c>
      <c r="L36" s="6">
        <f>医療機関!L35+陽性者登録センター!L35</f>
        <v>47</v>
      </c>
      <c r="M36" s="6">
        <f>医療機関!M35+陽性者登録センター!M35</f>
        <v>29</v>
      </c>
      <c r="N36" s="6">
        <f>医療機関!N35+陽性者登録センター!N35</f>
        <v>20</v>
      </c>
      <c r="O36" s="6">
        <f>医療機関!O35+陽性者登録センター!O35</f>
        <v>0</v>
      </c>
      <c r="P36" s="8">
        <f t="shared" si="0"/>
        <v>604</v>
      </c>
      <c r="Q36" s="8">
        <f t="shared" si="1"/>
        <v>112826</v>
      </c>
    </row>
    <row r="37" spans="1:17" ht="20" customHeight="1">
      <c r="A37" s="4">
        <v>44864</v>
      </c>
      <c r="B37" s="6">
        <f>医療機関!B36+陽性者登録センター!B36</f>
        <v>0</v>
      </c>
      <c r="C37" s="6">
        <f>医療機関!C36+陽性者登録センター!C36</f>
        <v>16</v>
      </c>
      <c r="D37" s="6">
        <f>医療機関!D36+陽性者登録センター!D36</f>
        <v>54</v>
      </c>
      <c r="E37" s="6">
        <f>医療機関!E36+陽性者登録センター!E36</f>
        <v>84</v>
      </c>
      <c r="F37" s="6">
        <f>医療機関!F36+陽性者登録センター!F36</f>
        <v>32</v>
      </c>
      <c r="G37" s="6">
        <f>医療機関!G36+陽性者登録センター!G36</f>
        <v>54</v>
      </c>
      <c r="H37" s="6">
        <f>医療機関!H36+陽性者登録センター!H36</f>
        <v>86</v>
      </c>
      <c r="I37" s="6">
        <f>医療機関!I36+陽性者登録センター!I36</f>
        <v>51</v>
      </c>
      <c r="J37" s="6">
        <f>医療機関!J36+陽性者登録センター!J36</f>
        <v>21</v>
      </c>
      <c r="K37" s="6">
        <f>医療機関!K36+陽性者登録センター!K36</f>
        <v>11</v>
      </c>
      <c r="L37" s="6">
        <f>医療機関!L36+陽性者登録センター!L36</f>
        <v>19</v>
      </c>
      <c r="M37" s="6">
        <f>医療機関!M36+陽性者登録センター!M36</f>
        <v>18</v>
      </c>
      <c r="N37" s="6">
        <f>医療機関!N36+陽性者登録センター!N36</f>
        <v>8</v>
      </c>
      <c r="O37" s="6">
        <f>医療機関!O36+陽性者登録センター!O36</f>
        <v>0</v>
      </c>
      <c r="P37" s="8">
        <f t="shared" si="0"/>
        <v>454</v>
      </c>
      <c r="Q37" s="8">
        <f t="shared" si="1"/>
        <v>113280</v>
      </c>
    </row>
    <row r="38" spans="1:17" ht="20" customHeight="1">
      <c r="A38" s="4">
        <v>44865</v>
      </c>
      <c r="B38" s="6">
        <f>医療機関!B37+陽性者登録センター!B37</f>
        <v>0</v>
      </c>
      <c r="C38" s="6">
        <f>医療機関!C37+陽性者登録センター!C37</f>
        <v>4</v>
      </c>
      <c r="D38" s="6">
        <f>医療機関!D37+陽性者登録センター!D37</f>
        <v>14</v>
      </c>
      <c r="E38" s="6">
        <f>医療機関!E37+陽性者登録センター!E37</f>
        <v>32</v>
      </c>
      <c r="F38" s="6">
        <f>医療機関!F37+陽性者登録センター!F37</f>
        <v>15</v>
      </c>
      <c r="G38" s="6">
        <f>医療機関!G37+陽性者登録センター!G37</f>
        <v>29</v>
      </c>
      <c r="H38" s="6">
        <f>医療機関!H37+陽性者登録センター!H37</f>
        <v>29</v>
      </c>
      <c r="I38" s="6">
        <f>医療機関!I37+陽性者登録センター!I37</f>
        <v>19</v>
      </c>
      <c r="J38" s="6">
        <f>医療機関!J37+陽性者登録センター!J37</f>
        <v>8</v>
      </c>
      <c r="K38" s="6">
        <f>医療機関!K37+陽性者登録センター!K37</f>
        <v>1</v>
      </c>
      <c r="L38" s="6">
        <f>医療機関!L37+陽性者登録センター!L37</f>
        <v>5</v>
      </c>
      <c r="M38" s="6">
        <f>医療機関!M37+陽性者登録センター!M37</f>
        <v>6</v>
      </c>
      <c r="N38" s="6">
        <f>医療機関!N37+陽性者登録センター!N37</f>
        <v>4</v>
      </c>
      <c r="O38" s="6">
        <f>医療機関!O37+陽性者登録センター!O37</f>
        <v>0</v>
      </c>
      <c r="P38" s="8">
        <f t="shared" si="0"/>
        <v>166</v>
      </c>
      <c r="Q38" s="8">
        <f t="shared" si="1"/>
        <v>113446</v>
      </c>
    </row>
    <row r="39" spans="1:17" ht="20" customHeight="1">
      <c r="A39" s="4">
        <v>44866</v>
      </c>
      <c r="B39" s="6">
        <f>医療機関!B38+陽性者登録センター!B38</f>
        <v>10</v>
      </c>
      <c r="C39" s="6">
        <f>医療機関!C38+陽性者登録センター!C38</f>
        <v>45</v>
      </c>
      <c r="D39" s="6">
        <f>医療機関!D38+陽性者登録センター!D38</f>
        <v>140</v>
      </c>
      <c r="E39" s="6">
        <f>医療機関!E38+陽性者登録センター!E38</f>
        <v>196</v>
      </c>
      <c r="F39" s="6">
        <f>医療機関!F38+陽性者登録センター!F38</f>
        <v>90</v>
      </c>
      <c r="G39" s="6">
        <f>医療機関!G38+陽性者登録センター!G38</f>
        <v>148</v>
      </c>
      <c r="H39" s="6">
        <f>医療機関!H38+陽性者登録センター!H38</f>
        <v>172</v>
      </c>
      <c r="I39" s="6">
        <f>医療機関!I38+陽性者登録センター!I38</f>
        <v>126</v>
      </c>
      <c r="J39" s="6">
        <f>医療機関!J38+陽性者登録センター!J38</f>
        <v>55</v>
      </c>
      <c r="K39" s="6">
        <f>医療機関!K38+陽性者登録センター!K38</f>
        <v>31</v>
      </c>
      <c r="L39" s="6">
        <f>医療機関!L38+陽性者登録センター!L38</f>
        <v>71</v>
      </c>
      <c r="M39" s="6">
        <f>医療機関!M38+陽性者登録センター!M38</f>
        <v>83</v>
      </c>
      <c r="N39" s="6">
        <f>医療機関!N38+陽性者登録センター!N38</f>
        <v>44</v>
      </c>
      <c r="O39" s="6">
        <f>医療機関!O38+陽性者登録センター!O38</f>
        <v>0</v>
      </c>
      <c r="P39" s="8">
        <f t="shared" si="0"/>
        <v>1211</v>
      </c>
      <c r="Q39" s="8">
        <f t="shared" si="1"/>
        <v>114657</v>
      </c>
    </row>
    <row r="40" spans="1:17" ht="20" customHeight="1">
      <c r="A40" s="4">
        <v>44867</v>
      </c>
      <c r="B40" s="6">
        <f>医療機関!B39+陽性者登録センター!B39</f>
        <v>3</v>
      </c>
      <c r="C40" s="6">
        <f>医療機関!C39+陽性者登録センター!C39</f>
        <v>37</v>
      </c>
      <c r="D40" s="6">
        <f>医療機関!D39+陽性者登録センター!D39</f>
        <v>89</v>
      </c>
      <c r="E40" s="6">
        <f>医療機関!E39+陽性者登録センター!E39</f>
        <v>165</v>
      </c>
      <c r="F40" s="6">
        <f>医療機関!F39+陽性者登録センター!F39</f>
        <v>50</v>
      </c>
      <c r="G40" s="6">
        <f>医療機関!G39+陽性者登録センター!G39</f>
        <v>101</v>
      </c>
      <c r="H40" s="6">
        <f>医療機関!H39+陽性者登録センター!H39</f>
        <v>146</v>
      </c>
      <c r="I40" s="6">
        <f>医療機関!I39+陽性者登録センター!I39</f>
        <v>88</v>
      </c>
      <c r="J40" s="6">
        <f>医療機関!J39+陽性者登録センター!J39</f>
        <v>28</v>
      </c>
      <c r="K40" s="6">
        <f>医療機関!K39+陽性者登録センター!K39</f>
        <v>35</v>
      </c>
      <c r="L40" s="6">
        <f>医療機関!L39+陽性者登録センター!L39</f>
        <v>42</v>
      </c>
      <c r="M40" s="6">
        <f>医療機関!M39+陽性者登録センター!M39</f>
        <v>34</v>
      </c>
      <c r="N40" s="6">
        <f>医療機関!N39+陽性者登録センター!N39</f>
        <v>9</v>
      </c>
      <c r="O40" s="6">
        <f>医療機関!O39+陽性者登録センター!O39</f>
        <v>0</v>
      </c>
      <c r="P40" s="8">
        <f t="shared" si="0"/>
        <v>827</v>
      </c>
      <c r="Q40" s="8">
        <f t="shared" si="1"/>
        <v>115484</v>
      </c>
    </row>
    <row r="41" spans="1:17" ht="20" customHeight="1">
      <c r="A41" s="4">
        <v>44868</v>
      </c>
      <c r="B41" s="6">
        <f>医療機関!B40+陽性者登録センター!B40</f>
        <v>4</v>
      </c>
      <c r="C41" s="6">
        <f>医療機関!C40+陽性者登録センター!C40</f>
        <v>35</v>
      </c>
      <c r="D41" s="6">
        <f>医療機関!D40+陽性者登録センター!D40</f>
        <v>73</v>
      </c>
      <c r="E41" s="6">
        <f>医療機関!E40+陽性者登録センター!E40</f>
        <v>162</v>
      </c>
      <c r="F41" s="6">
        <f>医療機関!F40+陽性者登録センター!F40</f>
        <v>68</v>
      </c>
      <c r="G41" s="6">
        <f>医療機関!G40+陽性者登録センター!G40</f>
        <v>131</v>
      </c>
      <c r="H41" s="6">
        <f>医療機関!H40+陽性者登録センター!H40</f>
        <v>136</v>
      </c>
      <c r="I41" s="6">
        <f>医療機関!I40+陽性者登録センター!I40</f>
        <v>83</v>
      </c>
      <c r="J41" s="6">
        <f>医療機関!J40+陽性者登録センター!J40</f>
        <v>37</v>
      </c>
      <c r="K41" s="6">
        <f>医療機関!K40+陽性者登録センター!K40</f>
        <v>29</v>
      </c>
      <c r="L41" s="6">
        <f>医療機関!L40+陽性者登録センター!L40</f>
        <v>58</v>
      </c>
      <c r="M41" s="6">
        <f>医療機関!M40+陽性者登録センター!M40</f>
        <v>34</v>
      </c>
      <c r="N41" s="6">
        <f>医療機関!N40+陽性者登録センター!N40</f>
        <v>31</v>
      </c>
      <c r="O41" s="6">
        <f>医療機関!O40+陽性者登録センター!O40</f>
        <v>0</v>
      </c>
      <c r="P41" s="8">
        <f t="shared" si="0"/>
        <v>881</v>
      </c>
      <c r="Q41" s="8">
        <f t="shared" si="1"/>
        <v>116365</v>
      </c>
    </row>
    <row r="42" spans="1:17" ht="20" customHeight="1">
      <c r="A42" s="4">
        <v>44869</v>
      </c>
      <c r="B42" s="6">
        <f>医療機関!B41+陽性者登録センター!B41</f>
        <v>2</v>
      </c>
      <c r="C42" s="6">
        <f>医療機関!C41+陽性者登録センター!C41</f>
        <v>3</v>
      </c>
      <c r="D42" s="6">
        <f>医療機関!D41+陽性者登録センター!D41</f>
        <v>15</v>
      </c>
      <c r="E42" s="6">
        <f>医療機関!E41+陽性者登録センター!E41</f>
        <v>47</v>
      </c>
      <c r="F42" s="6">
        <f>医療機関!F41+陽性者登録センター!F41</f>
        <v>15</v>
      </c>
      <c r="G42" s="6">
        <f>医療機関!G41+陽性者登録センター!G41</f>
        <v>41</v>
      </c>
      <c r="H42" s="6">
        <f>医療機関!H41+陽性者登録センター!H41</f>
        <v>41</v>
      </c>
      <c r="I42" s="6">
        <f>医療機関!I41+陽性者登録センター!I41</f>
        <v>20</v>
      </c>
      <c r="J42" s="6">
        <f>医療機関!J41+陽性者登録センター!J41</f>
        <v>5</v>
      </c>
      <c r="K42" s="6">
        <f>医療機関!K41+陽性者登録センター!K41</f>
        <v>2</v>
      </c>
      <c r="L42" s="6">
        <f>医療機関!L41+陽性者登録センター!L41</f>
        <v>7</v>
      </c>
      <c r="M42" s="6">
        <f>医療機関!M41+陽性者登録センター!M41</f>
        <v>2</v>
      </c>
      <c r="N42" s="6">
        <f>医療機関!N41+陽性者登録センター!N41</f>
        <v>5</v>
      </c>
      <c r="O42" s="6">
        <f>医療機関!O41+陽性者登録センター!O41</f>
        <v>0</v>
      </c>
      <c r="P42" s="8">
        <f t="shared" si="0"/>
        <v>205</v>
      </c>
      <c r="Q42" s="8">
        <f t="shared" si="1"/>
        <v>116570</v>
      </c>
    </row>
    <row r="43" spans="1:17" ht="20" customHeight="1">
      <c r="A43" s="4">
        <v>44870</v>
      </c>
      <c r="B43" s="6">
        <f>医療機関!B42+陽性者登録センター!B42</f>
        <v>9</v>
      </c>
      <c r="C43" s="6">
        <f>医療機関!C42+陽性者登録センター!C42</f>
        <v>65</v>
      </c>
      <c r="D43" s="6">
        <f>医療機関!D42+陽性者登録センター!D42</f>
        <v>104</v>
      </c>
      <c r="E43" s="6">
        <f>医療機関!E42+陽性者登録センター!E42</f>
        <v>227</v>
      </c>
      <c r="F43" s="6">
        <f>医療機関!F42+陽性者登録センター!F42</f>
        <v>87</v>
      </c>
      <c r="G43" s="6">
        <f>医療機関!G42+陽性者登録センター!G42</f>
        <v>135</v>
      </c>
      <c r="H43" s="6">
        <f>医療機関!H42+陽性者登録センター!H42</f>
        <v>200</v>
      </c>
      <c r="I43" s="6">
        <f>医療機関!I42+陽性者登録センター!I42</f>
        <v>119</v>
      </c>
      <c r="J43" s="6">
        <f>医療機関!J42+陽性者登録センター!J42</f>
        <v>75</v>
      </c>
      <c r="K43" s="6">
        <f>医療機関!K42+陽性者登録センター!K42</f>
        <v>45</v>
      </c>
      <c r="L43" s="6">
        <f>医療機関!L42+陽性者登録センター!L42</f>
        <v>73</v>
      </c>
      <c r="M43" s="6">
        <f>医療機関!M42+陽性者登録センター!M42</f>
        <v>54</v>
      </c>
      <c r="N43" s="6">
        <f>医療機関!N42+陽性者登録センター!N42</f>
        <v>31</v>
      </c>
      <c r="O43" s="6">
        <f>医療機関!O42+陽性者登録センター!O42</f>
        <v>0</v>
      </c>
      <c r="P43" s="8">
        <f t="shared" si="0"/>
        <v>1224</v>
      </c>
      <c r="Q43" s="8">
        <f t="shared" si="1"/>
        <v>117794</v>
      </c>
    </row>
    <row r="44" spans="1:17" ht="20" customHeight="1">
      <c r="A44" s="4">
        <v>44871</v>
      </c>
      <c r="B44" s="6">
        <f>医療機関!B43+陽性者登録センター!B43</f>
        <v>3</v>
      </c>
      <c r="C44" s="6">
        <f>医療機関!C43+陽性者登録センター!C43</f>
        <v>28</v>
      </c>
      <c r="D44" s="6">
        <f>医療機関!D43+陽性者登録センター!D43</f>
        <v>60</v>
      </c>
      <c r="E44" s="6">
        <f>医療機関!E43+陽性者登録センター!E43</f>
        <v>111</v>
      </c>
      <c r="F44" s="6">
        <f>医療機関!F43+陽性者登録センター!F43</f>
        <v>60</v>
      </c>
      <c r="G44" s="6">
        <f>医療機関!G43+陽性者登録センター!G43</f>
        <v>70</v>
      </c>
      <c r="H44" s="6">
        <f>医療機関!H43+陽性者登録センター!H43</f>
        <v>106</v>
      </c>
      <c r="I44" s="6">
        <f>医療機関!I43+陽性者登録センター!I43</f>
        <v>49</v>
      </c>
      <c r="J44" s="6">
        <f>医療機関!J43+陽性者登録センター!J43</f>
        <v>22</v>
      </c>
      <c r="K44" s="6">
        <f>医療機関!K43+陽性者登録センター!K43</f>
        <v>18</v>
      </c>
      <c r="L44" s="6">
        <f>医療機関!L43+陽性者登録センター!L43</f>
        <v>37</v>
      </c>
      <c r="M44" s="6">
        <f>医療機関!M43+陽性者登録センター!M43</f>
        <v>46</v>
      </c>
      <c r="N44" s="6">
        <f>医療機関!N43+陽性者登録センター!N43</f>
        <v>25</v>
      </c>
      <c r="O44" s="6">
        <f>医療機関!O43+陽性者登録センター!O43</f>
        <v>0</v>
      </c>
      <c r="P44" s="8">
        <f t="shared" si="0"/>
        <v>635</v>
      </c>
      <c r="Q44" s="8">
        <f t="shared" si="1"/>
        <v>118429</v>
      </c>
    </row>
    <row r="45" spans="1:17" ht="20" customHeight="1">
      <c r="A45" s="4">
        <v>44872</v>
      </c>
      <c r="B45" s="6">
        <f>医療機関!B44+陽性者登録センター!B44</f>
        <v>0</v>
      </c>
      <c r="C45" s="6">
        <f>医療機関!C44+陽性者登録センター!C44</f>
        <v>9</v>
      </c>
      <c r="D45" s="6">
        <f>医療機関!D44+陽性者登録センター!D44</f>
        <v>19</v>
      </c>
      <c r="E45" s="6">
        <f>医療機関!E44+陽性者登録センター!E44</f>
        <v>59</v>
      </c>
      <c r="F45" s="6">
        <f>医療機関!F44+陽性者登録センター!F44</f>
        <v>10</v>
      </c>
      <c r="G45" s="6">
        <f>医療機関!G44+陽性者登録センター!G44</f>
        <v>33</v>
      </c>
      <c r="H45" s="6">
        <f>医療機関!H44+陽性者登録センター!H44</f>
        <v>33</v>
      </c>
      <c r="I45" s="6">
        <f>医療機関!I44+陽性者登録センター!I44</f>
        <v>20</v>
      </c>
      <c r="J45" s="6">
        <f>医療機関!J44+陽性者登録センター!J44</f>
        <v>5</v>
      </c>
      <c r="K45" s="6">
        <f>医療機関!K44+陽性者登録センター!K44</f>
        <v>7</v>
      </c>
      <c r="L45" s="6">
        <f>医療機関!L44+陽性者登録センター!L44</f>
        <v>14</v>
      </c>
      <c r="M45" s="6">
        <f>医療機関!M44+陽性者登録センター!M44</f>
        <v>13</v>
      </c>
      <c r="N45" s="6">
        <f>医療機関!N44+陽性者登録センター!N44</f>
        <v>13</v>
      </c>
      <c r="O45" s="6">
        <f>医療機関!O44+陽性者登録センター!O44</f>
        <v>0</v>
      </c>
      <c r="P45" s="8">
        <f t="shared" si="0"/>
        <v>235</v>
      </c>
      <c r="Q45" s="8">
        <f t="shared" si="1"/>
        <v>118664</v>
      </c>
    </row>
    <row r="46" spans="1:17" ht="20" customHeight="1">
      <c r="A46" s="4">
        <v>44873</v>
      </c>
      <c r="B46" s="6">
        <f>医療機関!B45+陽性者登録センター!B45</f>
        <v>10</v>
      </c>
      <c r="C46" s="6">
        <f>医療機関!C45+陽性者登録センター!C45</f>
        <v>54</v>
      </c>
      <c r="D46" s="6">
        <f>医療機関!D45+陽性者登録センター!D45</f>
        <v>92</v>
      </c>
      <c r="E46" s="6">
        <f>医療機関!E45+陽性者登録センター!E45</f>
        <v>292</v>
      </c>
      <c r="F46" s="6">
        <f>医療機関!F45+陽性者登録センター!F45</f>
        <v>93</v>
      </c>
      <c r="G46" s="6">
        <f>医療機関!G45+陽性者登録センター!G45</f>
        <v>180</v>
      </c>
      <c r="H46" s="6">
        <f>医療機関!H45+陽性者登録センター!H45</f>
        <v>197</v>
      </c>
      <c r="I46" s="6">
        <f>医療機関!I45+陽性者登録センター!I45</f>
        <v>150</v>
      </c>
      <c r="J46" s="6">
        <f>医療機関!J45+陽性者登録センター!J45</f>
        <v>67</v>
      </c>
      <c r="K46" s="6">
        <f>医療機関!K45+陽性者登録センター!K45</f>
        <v>52</v>
      </c>
      <c r="L46" s="6">
        <f>医療機関!L45+陽性者登録センター!L45</f>
        <v>71</v>
      </c>
      <c r="M46" s="6">
        <f>医療機関!M45+陽性者登録センター!M45</f>
        <v>52</v>
      </c>
      <c r="N46" s="6">
        <f>医療機関!N45+陽性者登録センター!N45</f>
        <v>19</v>
      </c>
      <c r="O46" s="6">
        <f>医療機関!O45+陽性者登録センター!O45</f>
        <v>0</v>
      </c>
      <c r="P46" s="8">
        <f t="shared" si="0"/>
        <v>1329</v>
      </c>
      <c r="Q46" s="8">
        <f t="shared" si="1"/>
        <v>119993</v>
      </c>
    </row>
    <row r="47" spans="1:17" ht="20" customHeight="1">
      <c r="A47" s="4">
        <v>44874</v>
      </c>
      <c r="B47" s="6">
        <f>医療機関!B46+陽性者登録センター!B46</f>
        <v>7</v>
      </c>
      <c r="C47" s="6">
        <f>医療機関!C46+陽性者登録センター!C46</f>
        <v>40</v>
      </c>
      <c r="D47" s="6">
        <f>医療機関!D46+陽性者登録センター!D46</f>
        <v>70</v>
      </c>
      <c r="E47" s="6">
        <f>医療機関!E46+陽性者登録センター!E46</f>
        <v>210</v>
      </c>
      <c r="F47" s="6">
        <f>医療機関!F46+陽性者登録センター!F46</f>
        <v>85</v>
      </c>
      <c r="G47" s="6">
        <f>医療機関!G46+陽性者登録センター!G46</f>
        <v>147</v>
      </c>
      <c r="H47" s="6">
        <f>医療機関!H46+陽性者登録センター!H46</f>
        <v>179</v>
      </c>
      <c r="I47" s="6">
        <f>医療機関!I46+陽性者登録センター!I46</f>
        <v>120</v>
      </c>
      <c r="J47" s="6">
        <f>医療機関!J46+陽性者登録センター!J46</f>
        <v>41</v>
      </c>
      <c r="K47" s="6">
        <f>医療機関!K46+陽性者登録センター!K46</f>
        <v>44</v>
      </c>
      <c r="L47" s="6">
        <f>医療機関!L46+陽性者登録センター!L46</f>
        <v>53</v>
      </c>
      <c r="M47" s="6">
        <f>医療機関!M46+陽性者登録センター!M46</f>
        <v>42</v>
      </c>
      <c r="N47" s="6">
        <f>医療機関!N46+陽性者登録センター!N46</f>
        <v>16</v>
      </c>
      <c r="O47" s="6">
        <f>医療機関!O46+陽性者登録センター!O46</f>
        <v>0</v>
      </c>
      <c r="P47" s="8">
        <f t="shared" si="0"/>
        <v>1054</v>
      </c>
      <c r="Q47" s="8">
        <f t="shared" si="1"/>
        <v>121047</v>
      </c>
    </row>
    <row r="48" spans="1:17" ht="20" customHeight="1">
      <c r="A48" s="4">
        <v>44875</v>
      </c>
      <c r="B48" s="6">
        <f>医療機関!B47+陽性者登録センター!B47</f>
        <v>8</v>
      </c>
      <c r="C48" s="6">
        <f>医療機関!C47+陽性者登録センター!C47</f>
        <v>35</v>
      </c>
      <c r="D48" s="6">
        <f>医療機関!D47+陽性者登録センター!D47</f>
        <v>60</v>
      </c>
      <c r="E48" s="6">
        <f>医療機関!E47+陽性者登録センター!E47</f>
        <v>153</v>
      </c>
      <c r="F48" s="6">
        <f>医療機関!F47+陽性者登録センター!F47</f>
        <v>86</v>
      </c>
      <c r="G48" s="6">
        <f>医療機関!G47+陽性者登録センター!G47</f>
        <v>113</v>
      </c>
      <c r="H48" s="6">
        <f>医療機関!H47+陽性者登録センター!H47</f>
        <v>161</v>
      </c>
      <c r="I48" s="6">
        <f>医療機関!I47+陽性者登録センター!I47</f>
        <v>91</v>
      </c>
      <c r="J48" s="6">
        <f>医療機関!J47+陽性者登録センター!J47</f>
        <v>46</v>
      </c>
      <c r="K48" s="6">
        <f>医療機関!K47+陽性者登録センター!K47</f>
        <v>45</v>
      </c>
      <c r="L48" s="6">
        <f>医療機関!L47+陽性者登録センター!L47</f>
        <v>49</v>
      </c>
      <c r="M48" s="6">
        <f>医療機関!M47+陽性者登録センター!M47</f>
        <v>32</v>
      </c>
      <c r="N48" s="6">
        <f>医療機関!N47+陽性者登録センター!N47</f>
        <v>13</v>
      </c>
      <c r="O48" s="6">
        <f>医療機関!O47+陽性者登録センター!O47</f>
        <v>0</v>
      </c>
      <c r="P48" s="8">
        <f t="shared" si="0"/>
        <v>892</v>
      </c>
      <c r="Q48" s="8">
        <f t="shared" si="1"/>
        <v>121939</v>
      </c>
    </row>
    <row r="49" spans="1:17" ht="20" customHeight="1">
      <c r="A49" s="4">
        <v>44876</v>
      </c>
      <c r="B49" s="6">
        <f>医療機関!B48+陽性者登録センター!B48</f>
        <v>5</v>
      </c>
      <c r="C49" s="6">
        <f>医療機関!C48+陽性者登録センター!C48</f>
        <v>32</v>
      </c>
      <c r="D49" s="6">
        <f>医療機関!D48+陽性者登録センター!D48</f>
        <v>52</v>
      </c>
      <c r="E49" s="6">
        <f>医療機関!E48+陽性者登録センター!E48</f>
        <v>158</v>
      </c>
      <c r="F49" s="6">
        <f>医療機関!F48+陽性者登録センター!F48</f>
        <v>74</v>
      </c>
      <c r="G49" s="6">
        <f>医療機関!G48+陽性者登録センター!G48</f>
        <v>94</v>
      </c>
      <c r="H49" s="6">
        <f>医療機関!H48+陽性者登録センター!H48</f>
        <v>124</v>
      </c>
      <c r="I49" s="6">
        <f>医療機関!I48+陽性者登録センター!I48</f>
        <v>89</v>
      </c>
      <c r="J49" s="6">
        <f>医療機関!J48+陽性者登録センター!J48</f>
        <v>38</v>
      </c>
      <c r="K49" s="6">
        <f>医療機関!K48+陽性者登録センター!K48</f>
        <v>35</v>
      </c>
      <c r="L49" s="6">
        <f>医療機関!L48+陽性者登録センター!L48</f>
        <v>66</v>
      </c>
      <c r="M49" s="6">
        <f>医療機関!M48+陽性者登録センター!M48</f>
        <v>43</v>
      </c>
      <c r="N49" s="6">
        <f>医療機関!N48+陽性者登録センター!N48</f>
        <v>21</v>
      </c>
      <c r="O49" s="6">
        <f>医療機関!O48+陽性者登録センター!O48</f>
        <v>0</v>
      </c>
      <c r="P49" s="8">
        <f t="shared" si="0"/>
        <v>831</v>
      </c>
      <c r="Q49" s="8">
        <f t="shared" si="1"/>
        <v>122770</v>
      </c>
    </row>
    <row r="50" spans="1:17" ht="20" customHeight="1">
      <c r="A50" s="4">
        <v>44877</v>
      </c>
      <c r="B50" s="6">
        <f>医療機関!B49+陽性者登録センター!B49</f>
        <v>6</v>
      </c>
      <c r="C50" s="6">
        <f>医療機関!C49+陽性者登録センター!C49</f>
        <v>45</v>
      </c>
      <c r="D50" s="6">
        <f>医療機関!D49+陽性者登録センター!D49</f>
        <v>92</v>
      </c>
      <c r="E50" s="6">
        <f>医療機関!E49+陽性者登録センター!E49</f>
        <v>183</v>
      </c>
      <c r="F50" s="6">
        <f>医療機関!F49+陽性者登録センター!F49</f>
        <v>85</v>
      </c>
      <c r="G50" s="6">
        <f>医療機関!G49+陽性者登録センター!G49</f>
        <v>124</v>
      </c>
      <c r="H50" s="6">
        <f>医療機関!H49+陽性者登録センター!H49</f>
        <v>147</v>
      </c>
      <c r="I50" s="6">
        <f>医療機関!I49+陽性者登録センター!I49</f>
        <v>112</v>
      </c>
      <c r="J50" s="6">
        <f>医療機関!J49+陽性者登録センター!J49</f>
        <v>58</v>
      </c>
      <c r="K50" s="6">
        <f>医療機関!K49+陽性者登録センター!K49</f>
        <v>46</v>
      </c>
      <c r="L50" s="6">
        <f>医療機関!L49+陽性者登録センター!L49</f>
        <v>75</v>
      </c>
      <c r="M50" s="6">
        <f>医療機関!M49+陽性者登録センター!M49</f>
        <v>52</v>
      </c>
      <c r="N50" s="6">
        <f>医療機関!N49+陽性者登録センター!N49</f>
        <v>22</v>
      </c>
      <c r="O50" s="6">
        <f>医療機関!O49+陽性者登録センター!O49</f>
        <v>0</v>
      </c>
      <c r="P50" s="8">
        <f t="shared" si="0"/>
        <v>1047</v>
      </c>
      <c r="Q50" s="8">
        <f t="shared" si="1"/>
        <v>123817</v>
      </c>
    </row>
    <row r="51" spans="1:17" ht="20" customHeight="1">
      <c r="A51" s="4">
        <v>44878</v>
      </c>
      <c r="B51" s="6">
        <f>医療機関!B50+陽性者登録センター!B50</f>
        <v>1</v>
      </c>
      <c r="C51" s="6">
        <f>医療機関!C50+陽性者登録センター!C50</f>
        <v>37</v>
      </c>
      <c r="D51" s="6">
        <f>医療機関!D50+陽性者登録センター!D50</f>
        <v>64</v>
      </c>
      <c r="E51" s="6">
        <f>医療機関!E50+陽性者登録センター!E50</f>
        <v>119</v>
      </c>
      <c r="F51" s="6">
        <f>医療機関!F50+陽性者登録センター!F50</f>
        <v>39</v>
      </c>
      <c r="G51" s="6">
        <f>医療機関!G50+陽性者登録センター!G50</f>
        <v>66</v>
      </c>
      <c r="H51" s="6">
        <f>医療機関!H50+陽性者登録センター!H50</f>
        <v>122</v>
      </c>
      <c r="I51" s="6">
        <f>医療機関!I50+陽性者登録センター!I50</f>
        <v>61</v>
      </c>
      <c r="J51" s="6">
        <f>医療機関!J50+陽性者登録センター!J50</f>
        <v>37</v>
      </c>
      <c r="K51" s="6">
        <f>医療機関!K50+陽性者登録センター!K50</f>
        <v>21</v>
      </c>
      <c r="L51" s="6">
        <f>医療機関!L50+陽性者登録センター!L50</f>
        <v>30</v>
      </c>
      <c r="M51" s="6">
        <f>医療機関!M50+陽性者登録センター!M50</f>
        <v>25</v>
      </c>
      <c r="N51" s="6">
        <f>医療機関!N50+陽性者登録センター!N50</f>
        <v>18</v>
      </c>
      <c r="O51" s="6">
        <f>医療機関!O50+陽性者登録センター!O50</f>
        <v>0</v>
      </c>
      <c r="P51" s="8">
        <f t="shared" si="0"/>
        <v>640</v>
      </c>
      <c r="Q51" s="8">
        <f t="shared" si="1"/>
        <v>124457</v>
      </c>
    </row>
    <row r="52" spans="1:17" ht="20" customHeight="1">
      <c r="A52" s="4">
        <v>44879</v>
      </c>
      <c r="B52" s="6">
        <f>医療機関!B51+陽性者登録センター!B51</f>
        <v>1</v>
      </c>
      <c r="C52" s="6">
        <f>医療機関!C51+陽性者登録センター!C51</f>
        <v>14</v>
      </c>
      <c r="D52" s="6">
        <f>医療機関!D51+陽性者登録センター!D51</f>
        <v>39</v>
      </c>
      <c r="E52" s="6">
        <f>医療機関!E51+陽性者登録センター!E51</f>
        <v>62</v>
      </c>
      <c r="F52" s="6">
        <f>医療機関!F51+陽性者登録センター!F51</f>
        <v>14</v>
      </c>
      <c r="G52" s="6">
        <f>医療機関!G51+陽性者登録センター!G51</f>
        <v>31</v>
      </c>
      <c r="H52" s="6">
        <f>医療機関!H51+陽性者登録センター!H51</f>
        <v>56</v>
      </c>
      <c r="I52" s="6">
        <f>医療機関!I51+陽性者登録センター!I51</f>
        <v>30</v>
      </c>
      <c r="J52" s="6">
        <f>医療機関!J51+陽性者登録センター!J51</f>
        <v>8</v>
      </c>
      <c r="K52" s="6">
        <f>医療機関!K51+陽性者登録センター!K51</f>
        <v>8</v>
      </c>
      <c r="L52" s="6">
        <f>医療機関!L51+陽性者登録センター!L51</f>
        <v>12</v>
      </c>
      <c r="M52" s="6">
        <f>医療機関!M51+陽性者登録センター!M51</f>
        <v>16</v>
      </c>
      <c r="N52" s="6">
        <f>医療機関!N51+陽性者登録センター!N51</f>
        <v>4</v>
      </c>
      <c r="O52" s="6">
        <f>医療機関!O51+陽性者登録センター!O51</f>
        <v>0</v>
      </c>
      <c r="P52" s="8">
        <f t="shared" si="0"/>
        <v>295</v>
      </c>
      <c r="Q52" s="8">
        <f t="shared" si="1"/>
        <v>124752</v>
      </c>
    </row>
    <row r="53" spans="1:17" ht="20" customHeight="1">
      <c r="A53" s="4">
        <v>44880</v>
      </c>
      <c r="B53" s="6">
        <f>医療機関!B52+陽性者登録センター!B52</f>
        <v>10</v>
      </c>
      <c r="C53" s="6">
        <f>医療機関!C52+陽性者登録センター!C52</f>
        <v>65</v>
      </c>
      <c r="D53" s="6">
        <f>医療機関!D52+陽性者登録センター!D52</f>
        <v>142</v>
      </c>
      <c r="E53" s="6">
        <f>医療機関!E52+陽性者登録センター!E52</f>
        <v>387</v>
      </c>
      <c r="F53" s="6">
        <f>医療機関!F52+陽性者登録センター!F52</f>
        <v>120</v>
      </c>
      <c r="G53" s="6">
        <f>医療機関!G52+陽性者登録センター!G52</f>
        <v>220</v>
      </c>
      <c r="H53" s="6">
        <f>医療機関!H52+陽性者登録センター!H52</f>
        <v>245</v>
      </c>
      <c r="I53" s="6">
        <f>医療機関!I52+陽性者登録センター!I52</f>
        <v>166</v>
      </c>
      <c r="J53" s="6">
        <f>医療機関!J52+陽性者登録センター!J52</f>
        <v>91</v>
      </c>
      <c r="K53" s="6">
        <f>医療機関!K52+陽性者登録センター!K52</f>
        <v>78</v>
      </c>
      <c r="L53" s="6">
        <f>医療機関!L52+陽性者登録センター!L52</f>
        <v>118</v>
      </c>
      <c r="M53" s="6">
        <f>医療機関!M52+陽性者登録センター!M52</f>
        <v>63</v>
      </c>
      <c r="N53" s="6">
        <f>医療機関!N52+陽性者登録センター!N52</f>
        <v>47</v>
      </c>
      <c r="O53" s="6">
        <f>医療機関!O52+陽性者登録センター!O52</f>
        <v>0</v>
      </c>
      <c r="P53" s="8">
        <f t="shared" si="0"/>
        <v>1752</v>
      </c>
      <c r="Q53" s="8">
        <f t="shared" si="1"/>
        <v>126504</v>
      </c>
    </row>
    <row r="54" spans="1:17" ht="20" customHeight="1">
      <c r="A54" s="4">
        <v>44881</v>
      </c>
      <c r="B54" s="6">
        <f>医療機関!B53+陽性者登録センター!B53</f>
        <v>7</v>
      </c>
      <c r="C54" s="6">
        <f>医療機関!C53+陽性者登録センター!C53</f>
        <v>47</v>
      </c>
      <c r="D54" s="6">
        <f>医療機関!D53+陽性者登録センター!D53</f>
        <v>98</v>
      </c>
      <c r="E54" s="6">
        <f>医療機関!E53+陽性者登録センター!E53</f>
        <v>269</v>
      </c>
      <c r="F54" s="6">
        <f>医療機関!F53+陽性者登録センター!F53</f>
        <v>104</v>
      </c>
      <c r="G54" s="6">
        <f>医療機関!G53+陽性者登録センター!G53</f>
        <v>169</v>
      </c>
      <c r="H54" s="6">
        <f>医療機関!H53+陽性者登録センター!H53</f>
        <v>209</v>
      </c>
      <c r="I54" s="6">
        <f>医療機関!I53+陽性者登録センター!I53</f>
        <v>120</v>
      </c>
      <c r="J54" s="6">
        <f>医療機関!J53+陽性者登録センター!J53</f>
        <v>51</v>
      </c>
      <c r="K54" s="6">
        <f>医療機関!K53+陽性者登録センター!K53</f>
        <v>50</v>
      </c>
      <c r="L54" s="6">
        <f>医療機関!L53+陽性者登録センター!L53</f>
        <v>83</v>
      </c>
      <c r="M54" s="6">
        <f>医療機関!M53+陽性者登録センター!M53</f>
        <v>39</v>
      </c>
      <c r="N54" s="6">
        <f>医療機関!N53+陽性者登録センター!N53</f>
        <v>26</v>
      </c>
      <c r="O54" s="6">
        <f>医療機関!O53+陽性者登録センター!O53</f>
        <v>0</v>
      </c>
      <c r="P54" s="8">
        <f t="shared" si="0"/>
        <v>1272</v>
      </c>
      <c r="Q54" s="8">
        <f t="shared" si="1"/>
        <v>127776</v>
      </c>
    </row>
    <row r="55" spans="1:17" ht="20" customHeight="1">
      <c r="A55" s="4">
        <v>44882</v>
      </c>
      <c r="B55" s="6">
        <f>医療機関!B54+陽性者登録センター!B54</f>
        <v>2</v>
      </c>
      <c r="C55" s="6">
        <f>医療機関!C54+陽性者登録センター!C54</f>
        <v>45</v>
      </c>
      <c r="D55" s="6">
        <f>医療機関!D54+陽性者登録センター!D54</f>
        <v>85</v>
      </c>
      <c r="E55" s="6">
        <f>医療機関!E54+陽性者登録センター!E54</f>
        <v>195</v>
      </c>
      <c r="F55" s="6">
        <f>医療機関!F54+陽性者登録センター!F54</f>
        <v>98</v>
      </c>
      <c r="G55" s="6">
        <f>医療機関!G54+陽性者登録センター!G54</f>
        <v>169</v>
      </c>
      <c r="H55" s="6">
        <f>医療機関!H54+陽性者登録センター!H54</f>
        <v>208</v>
      </c>
      <c r="I55" s="6">
        <f>医療機関!I54+陽性者登録センター!I54</f>
        <v>138</v>
      </c>
      <c r="J55" s="6">
        <f>医療機関!J54+陽性者登録センター!J54</f>
        <v>41</v>
      </c>
      <c r="K55" s="6">
        <f>医療機関!K54+陽性者登録センター!K54</f>
        <v>38</v>
      </c>
      <c r="L55" s="6">
        <f>医療機関!L54+陽性者登録センター!L54</f>
        <v>76</v>
      </c>
      <c r="M55" s="6">
        <f>医療機関!M54+陽性者登録センター!M54</f>
        <v>49</v>
      </c>
      <c r="N55" s="6">
        <f>医療機関!N54+陽性者登録センター!N54</f>
        <v>16</v>
      </c>
      <c r="O55" s="6">
        <f>医療機関!O54+陽性者登録センター!O54</f>
        <v>0</v>
      </c>
      <c r="P55" s="8">
        <f t="shared" si="0"/>
        <v>1160</v>
      </c>
      <c r="Q55" s="8">
        <f t="shared" si="1"/>
        <v>128936</v>
      </c>
    </row>
    <row r="56" spans="1:17" ht="20" customHeight="1">
      <c r="A56" s="4">
        <v>44883</v>
      </c>
      <c r="B56" s="6">
        <f>医療機関!B55+陽性者登録センター!B55</f>
        <v>9</v>
      </c>
      <c r="C56" s="6">
        <f>医療機関!C55+陽性者登録センター!C55</f>
        <v>39</v>
      </c>
      <c r="D56" s="6">
        <f>医療機関!D55+陽性者登録センター!D55</f>
        <v>96</v>
      </c>
      <c r="E56" s="6">
        <f>医療機関!E55+陽性者登録センター!E55</f>
        <v>167</v>
      </c>
      <c r="F56" s="6">
        <f>医療機関!F55+陽性者登録センター!F55</f>
        <v>108</v>
      </c>
      <c r="G56" s="6">
        <f>医療機関!G55+陽性者登録センター!G55</f>
        <v>132</v>
      </c>
      <c r="H56" s="6">
        <f>医療機関!H55+陽性者登録センター!H55</f>
        <v>163</v>
      </c>
      <c r="I56" s="6">
        <f>医療機関!I55+陽性者登録センター!I55</f>
        <v>101</v>
      </c>
      <c r="J56" s="6">
        <f>医療機関!J55+陽性者登録センター!J55</f>
        <v>53</v>
      </c>
      <c r="K56" s="6">
        <f>医療機関!K55+陽性者登録センター!K55</f>
        <v>50</v>
      </c>
      <c r="L56" s="6">
        <f>医療機関!L55+陽性者登録センター!L55</f>
        <v>67</v>
      </c>
      <c r="M56" s="6">
        <f>医療機関!M55+陽性者登録センター!M55</f>
        <v>43</v>
      </c>
      <c r="N56" s="6">
        <f>医療機関!N55+陽性者登録センター!N55</f>
        <v>28</v>
      </c>
      <c r="O56" s="6">
        <f>医療機関!O55+陽性者登録センター!O55</f>
        <v>0</v>
      </c>
      <c r="P56" s="8">
        <f t="shared" si="0"/>
        <v>1056</v>
      </c>
      <c r="Q56" s="8">
        <f t="shared" si="1"/>
        <v>129992</v>
      </c>
    </row>
    <row r="57" spans="1:17" ht="20" customHeight="1">
      <c r="A57" s="4">
        <v>44884</v>
      </c>
      <c r="B57" s="6">
        <f>医療機関!B56+陽性者登録センター!B56</f>
        <v>9</v>
      </c>
      <c r="C57" s="6">
        <f>医療機関!C56+陽性者登録センター!C56</f>
        <v>36</v>
      </c>
      <c r="D57" s="6">
        <f>医療機関!D56+陽性者登録センター!D56</f>
        <v>103</v>
      </c>
      <c r="E57" s="6">
        <f>医療機関!E56+陽性者登録センター!E56</f>
        <v>215</v>
      </c>
      <c r="F57" s="6">
        <f>医療機関!F56+陽性者登録センター!F56</f>
        <v>95</v>
      </c>
      <c r="G57" s="6">
        <f>医療機関!G56+陽性者登録センター!G56</f>
        <v>159</v>
      </c>
      <c r="H57" s="6">
        <f>医療機関!H56+陽性者登録センター!H56</f>
        <v>207</v>
      </c>
      <c r="I57" s="6">
        <f>医療機関!I56+陽性者登録センター!I56</f>
        <v>121</v>
      </c>
      <c r="J57" s="6">
        <f>医療機関!J56+陽性者登録センター!J56</f>
        <v>58</v>
      </c>
      <c r="K57" s="6">
        <f>医療機関!K56+陽性者登録センター!K56</f>
        <v>49</v>
      </c>
      <c r="L57" s="6">
        <f>医療機関!L56+陽性者登録センター!L56</f>
        <v>66</v>
      </c>
      <c r="M57" s="6">
        <f>医療機関!M56+陽性者登録センター!M56</f>
        <v>52</v>
      </c>
      <c r="N57" s="6">
        <f>医療機関!N56+陽性者登録センター!N56</f>
        <v>19</v>
      </c>
      <c r="O57" s="6">
        <f>医療機関!O56+陽性者登録センター!O56</f>
        <v>0</v>
      </c>
      <c r="P57" s="8">
        <f t="shared" si="0"/>
        <v>1189</v>
      </c>
      <c r="Q57" s="8">
        <f t="shared" si="1"/>
        <v>131181</v>
      </c>
    </row>
    <row r="58" spans="1:17" ht="20" customHeight="1">
      <c r="A58" s="4">
        <v>44885</v>
      </c>
      <c r="B58" s="6">
        <f>医療機関!B57+陽性者登録センター!B57</f>
        <v>5</v>
      </c>
      <c r="C58" s="6">
        <f>医療機関!C57+陽性者登録センター!C57</f>
        <v>22</v>
      </c>
      <c r="D58" s="6">
        <f>医療機関!D57+陽性者登録センター!D57</f>
        <v>73</v>
      </c>
      <c r="E58" s="6">
        <f>医療機関!E57+陽性者登録センター!E57</f>
        <v>129</v>
      </c>
      <c r="F58" s="6">
        <f>医療機関!F57+陽性者登録センター!F57</f>
        <v>50</v>
      </c>
      <c r="G58" s="6">
        <f>医療機関!G57+陽性者登録センター!G57</f>
        <v>90</v>
      </c>
      <c r="H58" s="6">
        <f>医療機関!H57+陽性者登録センター!H57</f>
        <v>116</v>
      </c>
      <c r="I58" s="6">
        <f>医療機関!I57+陽性者登録センター!I57</f>
        <v>81</v>
      </c>
      <c r="J58" s="6">
        <f>医療機関!J57+陽性者登録センター!J57</f>
        <v>42</v>
      </c>
      <c r="K58" s="6">
        <f>医療機関!K57+陽性者登録センター!K57</f>
        <v>22</v>
      </c>
      <c r="L58" s="6">
        <f>医療機関!L57+陽性者登録センター!L57</f>
        <v>35</v>
      </c>
      <c r="M58" s="6">
        <f>医療機関!M57+陽性者登録センター!M57</f>
        <v>22</v>
      </c>
      <c r="N58" s="6">
        <f>医療機関!N57+陽性者登録センター!N57</f>
        <v>8</v>
      </c>
      <c r="O58" s="6">
        <f>医療機関!O57+陽性者登録センター!O57</f>
        <v>0</v>
      </c>
      <c r="P58" s="8">
        <f t="shared" si="0"/>
        <v>695</v>
      </c>
      <c r="Q58" s="8">
        <f t="shared" si="1"/>
        <v>131876</v>
      </c>
    </row>
    <row r="59" spans="1:17" ht="20" customHeight="1">
      <c r="A59" s="4">
        <v>44886</v>
      </c>
      <c r="B59" s="6">
        <f>医療機関!B58+陽性者登録センター!B58</f>
        <v>0</v>
      </c>
      <c r="C59" s="6">
        <f>医療機関!C58+陽性者登録センター!C58</f>
        <v>19</v>
      </c>
      <c r="D59" s="6">
        <f>医療機関!D58+陽性者登録センター!D58</f>
        <v>37</v>
      </c>
      <c r="E59" s="6">
        <f>医療機関!E58+陽性者登録センター!E58</f>
        <v>70</v>
      </c>
      <c r="F59" s="6">
        <f>医療機関!F58+陽性者登録センター!F58</f>
        <v>19</v>
      </c>
      <c r="G59" s="6">
        <f>医療機関!G58+陽性者登録センター!G58</f>
        <v>53</v>
      </c>
      <c r="H59" s="6">
        <f>医療機関!H58+陽性者登録センター!H58</f>
        <v>70</v>
      </c>
      <c r="I59" s="6">
        <f>医療機関!I58+陽性者登録センター!I58</f>
        <v>25</v>
      </c>
      <c r="J59" s="6">
        <f>医療機関!J58+陽性者登録センター!J58</f>
        <v>13</v>
      </c>
      <c r="K59" s="6">
        <f>医療機関!K58+陽性者登録センター!K58</f>
        <v>1</v>
      </c>
      <c r="L59" s="6">
        <f>医療機関!L58+陽性者登録センター!L58</f>
        <v>9</v>
      </c>
      <c r="M59" s="6">
        <f>医療機関!M58+陽性者登録センター!M58</f>
        <v>7</v>
      </c>
      <c r="N59" s="6">
        <f>医療機関!N58+陽性者登録センター!N58</f>
        <v>2</v>
      </c>
      <c r="O59" s="6">
        <f>医療機関!O58+陽性者登録センター!O58</f>
        <v>0</v>
      </c>
      <c r="P59" s="8">
        <f t="shared" si="0"/>
        <v>325</v>
      </c>
      <c r="Q59" s="8">
        <f t="shared" si="1"/>
        <v>132201</v>
      </c>
    </row>
    <row r="60" spans="1:17" ht="20" customHeight="1">
      <c r="A60" s="4">
        <v>44887</v>
      </c>
      <c r="B60" s="6">
        <f>医療機関!B59+陽性者登録センター!B59</f>
        <v>12</v>
      </c>
      <c r="C60" s="6">
        <f>医療機関!C59+陽性者登録センター!C59</f>
        <v>85</v>
      </c>
      <c r="D60" s="6">
        <f>医療機関!D59+陽性者登録センター!D59</f>
        <v>164</v>
      </c>
      <c r="E60" s="6">
        <f>医療機関!E59+陽性者登録センター!E59</f>
        <v>306</v>
      </c>
      <c r="F60" s="6">
        <f>医療機関!F59+陽性者登録センター!F59</f>
        <v>148</v>
      </c>
      <c r="G60" s="6">
        <f>医療機関!G59+陽性者登録センター!G59</f>
        <v>233</v>
      </c>
      <c r="H60" s="6">
        <f>医療機関!H59+陽性者登録センター!H59</f>
        <v>287</v>
      </c>
      <c r="I60" s="6">
        <f>医療機関!I59+陽性者登録センター!I59</f>
        <v>190</v>
      </c>
      <c r="J60" s="6">
        <f>医療機関!J59+陽性者登録センター!J59</f>
        <v>100</v>
      </c>
      <c r="K60" s="6">
        <f>医療機関!K59+陽性者登録センター!K59</f>
        <v>92</v>
      </c>
      <c r="L60" s="6">
        <f>医療機関!L59+陽性者登録センター!L59</f>
        <v>116</v>
      </c>
      <c r="M60" s="6">
        <f>医療機関!M59+陽性者登録センター!M59</f>
        <v>80</v>
      </c>
      <c r="N60" s="6">
        <f>医療機関!N59+陽性者登録センター!N59</f>
        <v>37</v>
      </c>
      <c r="O60" s="6">
        <f>医療機関!O59+陽性者登録センター!O59</f>
        <v>0</v>
      </c>
      <c r="P60" s="8">
        <f t="shared" si="0"/>
        <v>1850</v>
      </c>
      <c r="Q60" s="8">
        <f t="shared" si="1"/>
        <v>134051</v>
      </c>
    </row>
    <row r="61" spans="1:17" ht="20" customHeight="1">
      <c r="A61" s="4">
        <v>44888</v>
      </c>
      <c r="B61" s="6">
        <f>医療機関!B60+陽性者登録センター!B60</f>
        <v>12</v>
      </c>
      <c r="C61" s="6">
        <f>医療機関!C60+陽性者登録センター!C60</f>
        <v>61</v>
      </c>
      <c r="D61" s="6">
        <f>医療機関!D60+陽性者登録センター!D60</f>
        <v>148</v>
      </c>
      <c r="E61" s="6">
        <f>医療機関!E60+陽性者登録センター!E60</f>
        <v>236</v>
      </c>
      <c r="F61" s="6">
        <f>医療機関!F60+陽性者登録センター!F60</f>
        <v>136</v>
      </c>
      <c r="G61" s="6">
        <f>医療機関!G60+陽性者登録センター!G60</f>
        <v>226</v>
      </c>
      <c r="H61" s="6">
        <f>医療機関!H60+陽性者登録センター!H60</f>
        <v>270</v>
      </c>
      <c r="I61" s="6">
        <f>医療機関!I60+陽性者登録センター!I60</f>
        <v>162</v>
      </c>
      <c r="J61" s="6">
        <f>医療機関!J60+陽性者登録センター!J60</f>
        <v>80</v>
      </c>
      <c r="K61" s="6">
        <f>医療機関!K60+陽性者登録センター!K60</f>
        <v>51</v>
      </c>
      <c r="L61" s="6">
        <f>医療機関!L60+陽性者登録センター!L60</f>
        <v>102</v>
      </c>
      <c r="M61" s="6">
        <f>医療機関!M60+陽性者登録センター!M60</f>
        <v>80</v>
      </c>
      <c r="N61" s="6">
        <f>医療機関!N60+陽性者登録センター!N60</f>
        <v>30</v>
      </c>
      <c r="O61" s="6">
        <f>医療機関!O60+陽性者登録センター!O60</f>
        <v>0</v>
      </c>
      <c r="P61" s="8">
        <f t="shared" si="0"/>
        <v>1594</v>
      </c>
      <c r="Q61" s="8">
        <f t="shared" si="1"/>
        <v>135645</v>
      </c>
    </row>
    <row r="62" spans="1:17" ht="20" customHeight="1">
      <c r="A62" s="4">
        <v>44889</v>
      </c>
      <c r="B62" s="6">
        <f>医療機関!B61+陽性者登録センター!B61</f>
        <v>0</v>
      </c>
      <c r="C62" s="6">
        <f>医療機関!C61+陽性者登録センター!C61</f>
        <v>4</v>
      </c>
      <c r="D62" s="6">
        <f>医療機関!D61+陽性者登録センター!D61</f>
        <v>26</v>
      </c>
      <c r="E62" s="6">
        <f>医療機関!E61+陽性者登録センター!E61</f>
        <v>54</v>
      </c>
      <c r="F62" s="6">
        <f>医療機関!F61+陽性者登録センター!F61</f>
        <v>28</v>
      </c>
      <c r="G62" s="6">
        <f>医療機関!G61+陽性者登録センター!G61</f>
        <v>56</v>
      </c>
      <c r="H62" s="6">
        <f>医療機関!H61+陽性者登録センター!H61</f>
        <v>56</v>
      </c>
      <c r="I62" s="6">
        <f>医療機関!I61+陽性者登録センター!I61</f>
        <v>36</v>
      </c>
      <c r="J62" s="6">
        <f>医療機関!J61+陽性者登録センター!J61</f>
        <v>14</v>
      </c>
      <c r="K62" s="6">
        <f>医療機関!K61+陽性者登録センター!K61</f>
        <v>2</v>
      </c>
      <c r="L62" s="6">
        <f>医療機関!L61+陽性者登録センター!L61</f>
        <v>10</v>
      </c>
      <c r="M62" s="6">
        <f>医療機関!M61+陽性者登録センター!M61</f>
        <v>5</v>
      </c>
      <c r="N62" s="6">
        <f>医療機関!N61+陽性者登録センター!N61</f>
        <v>8</v>
      </c>
      <c r="O62" s="6">
        <f>医療機関!O61+陽性者登録センター!O61</f>
        <v>0</v>
      </c>
      <c r="P62" s="8">
        <f t="shared" si="0"/>
        <v>299</v>
      </c>
      <c r="Q62" s="8">
        <f t="shared" si="1"/>
        <v>135944</v>
      </c>
    </row>
    <row r="63" spans="1:17" ht="20" customHeight="1">
      <c r="A63" s="4">
        <v>44890</v>
      </c>
      <c r="B63" s="6">
        <f>医療機関!B62+陽性者登録センター!B62</f>
        <v>10</v>
      </c>
      <c r="C63" s="6">
        <f>医療機関!C62+陽性者登録センター!C62</f>
        <v>71</v>
      </c>
      <c r="D63" s="6">
        <f>医療機関!D62+陽性者登録センター!D62</f>
        <v>130</v>
      </c>
      <c r="E63" s="6">
        <f>医療機関!E62+陽性者登録センター!E62</f>
        <v>203</v>
      </c>
      <c r="F63" s="6">
        <f>医療機関!F62+陽性者登録センター!F62</f>
        <v>145</v>
      </c>
      <c r="G63" s="6">
        <f>医療機関!G62+陽性者登録センター!G62</f>
        <v>226</v>
      </c>
      <c r="H63" s="6">
        <f>医療機関!H62+陽性者登録センター!H62</f>
        <v>293</v>
      </c>
      <c r="I63" s="6">
        <f>医療機関!I62+陽性者登録センター!I62</f>
        <v>174</v>
      </c>
      <c r="J63" s="6">
        <f>医療機関!J62+陽性者登録センター!J62</f>
        <v>96</v>
      </c>
      <c r="K63" s="6">
        <f>医療機関!K62+陽性者登録センター!K62</f>
        <v>95</v>
      </c>
      <c r="L63" s="6">
        <f>医療機関!L62+陽性者登録センター!L62</f>
        <v>135</v>
      </c>
      <c r="M63" s="6">
        <f>医療機関!M62+陽性者登録センター!M62</f>
        <v>101</v>
      </c>
      <c r="N63" s="6">
        <f>医療機関!N62+陽性者登録センター!N62</f>
        <v>59</v>
      </c>
      <c r="O63" s="6">
        <f>医療機関!O62+陽性者登録センター!O62</f>
        <v>0</v>
      </c>
      <c r="P63" s="8">
        <f t="shared" si="0"/>
        <v>1738</v>
      </c>
      <c r="Q63" s="8">
        <f t="shared" si="1"/>
        <v>137682</v>
      </c>
    </row>
    <row r="64" spans="1:17" ht="20" customHeight="1">
      <c r="A64" s="4">
        <v>44891</v>
      </c>
      <c r="B64" s="6">
        <f>医療機関!B63+陽性者登録センター!B63</f>
        <v>17</v>
      </c>
      <c r="C64" s="6">
        <f>医療機関!C63+陽性者登録センター!C63</f>
        <v>46</v>
      </c>
      <c r="D64" s="6">
        <f>医療機関!D63+陽性者登録センター!D63</f>
        <v>119</v>
      </c>
      <c r="E64" s="6">
        <f>医療機関!E63+陽性者登録センター!E63</f>
        <v>175</v>
      </c>
      <c r="F64" s="6">
        <f>医療機関!F63+陽性者登録センター!F63</f>
        <v>135</v>
      </c>
      <c r="G64" s="6">
        <f>医療機関!G63+陽性者登録センター!G63</f>
        <v>207</v>
      </c>
      <c r="H64" s="6">
        <f>医療機関!H63+陽性者登録センター!H63</f>
        <v>213</v>
      </c>
      <c r="I64" s="6">
        <f>医療機関!I63+陽性者登録センター!I63</f>
        <v>170</v>
      </c>
      <c r="J64" s="6">
        <f>医療機関!J63+陽性者登録センター!J63</f>
        <v>84</v>
      </c>
      <c r="K64" s="6">
        <f>医療機関!K63+陽性者登録センター!K63</f>
        <v>72</v>
      </c>
      <c r="L64" s="6">
        <f>医療機関!L63+陽性者登録センター!L63</f>
        <v>103</v>
      </c>
      <c r="M64" s="6">
        <f>医療機関!M63+陽性者登録センター!M63</f>
        <v>66</v>
      </c>
      <c r="N64" s="6">
        <f>医療機関!N63+陽性者登録センター!N63</f>
        <v>41</v>
      </c>
      <c r="O64" s="6">
        <f>医療機関!O63+陽性者登録センター!O63</f>
        <v>0</v>
      </c>
      <c r="P64" s="8">
        <f t="shared" si="0"/>
        <v>1448</v>
      </c>
      <c r="Q64" s="8">
        <f t="shared" si="1"/>
        <v>139130</v>
      </c>
    </row>
    <row r="65" spans="1:17" ht="20" customHeight="1">
      <c r="A65" s="4">
        <v>44892</v>
      </c>
      <c r="B65" s="6">
        <f>医療機関!B64+陽性者登録センター!B64</f>
        <v>10</v>
      </c>
      <c r="C65" s="6">
        <f>医療機関!C64+陽性者登録センター!C64</f>
        <v>47</v>
      </c>
      <c r="D65" s="6">
        <f>医療機関!D64+陽性者登録センター!D64</f>
        <v>67</v>
      </c>
      <c r="E65" s="6">
        <f>医療機関!E64+陽性者登録センター!E64</f>
        <v>91</v>
      </c>
      <c r="F65" s="6">
        <f>医療機関!F64+陽性者登録センター!F64</f>
        <v>78</v>
      </c>
      <c r="G65" s="6">
        <f>医療機関!G64+陽性者登録センター!G64</f>
        <v>117</v>
      </c>
      <c r="H65" s="6">
        <f>医療機関!H64+陽性者登録センター!H64</f>
        <v>129</v>
      </c>
      <c r="I65" s="6">
        <f>医療機関!I64+陽性者登録センター!I64</f>
        <v>104</v>
      </c>
      <c r="J65" s="6">
        <f>医療機関!J64+陽性者登録センター!J64</f>
        <v>58</v>
      </c>
      <c r="K65" s="6">
        <f>医療機関!K64+陽性者登録センター!K64</f>
        <v>28</v>
      </c>
      <c r="L65" s="6">
        <f>医療機関!L64+陽性者登録センター!L64</f>
        <v>50</v>
      </c>
      <c r="M65" s="6">
        <f>医療機関!M64+陽性者登録センター!M64</f>
        <v>44</v>
      </c>
      <c r="N65" s="6">
        <f>医療機関!N64+陽性者登録センター!N64</f>
        <v>26</v>
      </c>
      <c r="O65" s="6">
        <f>医療機関!O64+陽性者登録センター!O64</f>
        <v>0</v>
      </c>
      <c r="P65" s="8">
        <f t="shared" si="0"/>
        <v>849</v>
      </c>
      <c r="Q65" s="8">
        <f t="shared" si="1"/>
        <v>139979</v>
      </c>
    </row>
    <row r="66" spans="1:17" ht="20" customHeight="1">
      <c r="A66" s="4">
        <v>44893</v>
      </c>
      <c r="B66" s="6">
        <f>医療機関!B65+陽性者登録センター!B65</f>
        <v>0</v>
      </c>
      <c r="C66" s="6">
        <f>医療機関!C65+陽性者登録センター!C65</f>
        <v>16</v>
      </c>
      <c r="D66" s="6">
        <f>医療機関!D65+陽性者登録センター!D65</f>
        <v>31</v>
      </c>
      <c r="E66" s="6">
        <f>医療機関!E65+陽性者登録センター!E65</f>
        <v>51</v>
      </c>
      <c r="F66" s="6">
        <f>医療機関!F65+陽性者登録センター!F65</f>
        <v>39</v>
      </c>
      <c r="G66" s="6">
        <f>医療機関!G65+陽性者登録センター!G65</f>
        <v>66</v>
      </c>
      <c r="H66" s="6">
        <f>医療機関!H65+陽性者登録センター!H65</f>
        <v>84</v>
      </c>
      <c r="I66" s="6">
        <f>医療機関!I65+陽性者登録センター!I65</f>
        <v>36</v>
      </c>
      <c r="J66" s="6">
        <f>医療機関!J65+陽性者登録センター!J65</f>
        <v>18</v>
      </c>
      <c r="K66" s="6">
        <f>医療機関!K65+陽性者登録センター!K65</f>
        <v>9</v>
      </c>
      <c r="L66" s="6">
        <f>医療機関!L65+陽性者登録センター!L65</f>
        <v>12</v>
      </c>
      <c r="M66" s="6">
        <f>医療機関!M65+陽性者登録センター!M65</f>
        <v>14</v>
      </c>
      <c r="N66" s="6">
        <f>医療機関!N65+陽性者登録センター!N65</f>
        <v>13</v>
      </c>
      <c r="O66" s="6">
        <f>医療機関!O65+陽性者登録センター!O65</f>
        <v>0</v>
      </c>
      <c r="P66" s="8">
        <f t="shared" si="0"/>
        <v>389</v>
      </c>
      <c r="Q66" s="8">
        <f t="shared" si="1"/>
        <v>140368</v>
      </c>
    </row>
    <row r="67" spans="1:17" ht="20" customHeight="1">
      <c r="A67" s="4">
        <v>44894</v>
      </c>
      <c r="B67" s="6">
        <f>医療機関!B66+陽性者登録センター!B66</f>
        <v>13</v>
      </c>
      <c r="C67" s="6">
        <f>医療機関!C66+陽性者登録センター!C66</f>
        <v>84</v>
      </c>
      <c r="D67" s="6">
        <f>医療機関!D66+陽性者登録センター!D66</f>
        <v>172</v>
      </c>
      <c r="E67" s="6">
        <f>医療機関!E66+陽性者登録センター!E66</f>
        <v>224</v>
      </c>
      <c r="F67" s="6">
        <f>医療機関!F66+陽性者登録センター!F66</f>
        <v>156</v>
      </c>
      <c r="G67" s="6">
        <f>医療機関!G66+陽性者登録センター!G66</f>
        <v>245</v>
      </c>
      <c r="H67" s="6">
        <f>医療機関!H66+陽性者登録センター!H66</f>
        <v>277</v>
      </c>
      <c r="I67" s="6">
        <f>医療機関!I66+陽性者登録センター!I66</f>
        <v>202</v>
      </c>
      <c r="J67" s="6">
        <f>医療機関!J66+陽性者登録センター!J66</f>
        <v>84</v>
      </c>
      <c r="K67" s="6">
        <f>医療機関!K66+陽性者登録センター!K66</f>
        <v>119</v>
      </c>
      <c r="L67" s="6">
        <f>医療機関!L66+陽性者登録センター!L66</f>
        <v>180</v>
      </c>
      <c r="M67" s="6">
        <f>医療機関!M66+陽性者登録センター!M66</f>
        <v>120</v>
      </c>
      <c r="N67" s="6">
        <f>医療機関!N66+陽性者登録センター!N66</f>
        <v>75</v>
      </c>
      <c r="O67" s="6">
        <f>医療機関!O66+陽性者登録センター!O66</f>
        <v>0</v>
      </c>
      <c r="P67" s="8">
        <f t="shared" si="0"/>
        <v>1951</v>
      </c>
      <c r="Q67" s="8">
        <f t="shared" si="1"/>
        <v>142319</v>
      </c>
    </row>
    <row r="68" spans="1:17" ht="20" customHeight="1">
      <c r="A68" s="4">
        <v>44895</v>
      </c>
      <c r="B68" s="6">
        <f>医療機関!B67+陽性者登録センター!B67</f>
        <v>11</v>
      </c>
      <c r="C68" s="6">
        <f>医療機関!C67+陽性者登録センター!C67</f>
        <v>64</v>
      </c>
      <c r="D68" s="6">
        <f>医療機関!D67+陽性者登録センター!D67</f>
        <v>127</v>
      </c>
      <c r="E68" s="6">
        <f>医療機関!E67+陽性者登録センター!E67</f>
        <v>176</v>
      </c>
      <c r="F68" s="6">
        <f>医療機関!F67+陽性者登録センター!F67</f>
        <v>128</v>
      </c>
      <c r="G68" s="6">
        <f>医療機関!G67+陽性者登録センター!G67</f>
        <v>208</v>
      </c>
      <c r="H68" s="6">
        <f>医療機関!H67+陽性者登録センター!H67</f>
        <v>230</v>
      </c>
      <c r="I68" s="6">
        <f>医療機関!I67+陽性者登録センター!I67</f>
        <v>171</v>
      </c>
      <c r="J68" s="6">
        <f>医療機関!J67+陽性者登録センター!J67</f>
        <v>92</v>
      </c>
      <c r="K68" s="6">
        <f>医療機関!K67+陽性者登録センター!K67</f>
        <v>72</v>
      </c>
      <c r="L68" s="6">
        <f>医療機関!L67+陽性者登録センター!L67</f>
        <v>132</v>
      </c>
      <c r="M68" s="6">
        <f>医療機関!M67+陽性者登録センター!M67</f>
        <v>105</v>
      </c>
      <c r="N68" s="6">
        <f>医療機関!N67+陽性者登録センター!N67</f>
        <v>71</v>
      </c>
      <c r="O68" s="6">
        <f>医療機関!O67+陽性者登録センター!O67</f>
        <v>0</v>
      </c>
      <c r="P68" s="8">
        <f t="shared" ref="P68:P131" si="2">SUM(B68:O68)</f>
        <v>1587</v>
      </c>
      <c r="Q68" s="8">
        <f t="shared" ref="Q68:Q131" si="3">Q67+P68</f>
        <v>143906</v>
      </c>
    </row>
    <row r="69" spans="1:17" ht="20" customHeight="1">
      <c r="A69" s="4">
        <v>44896</v>
      </c>
      <c r="B69" s="6">
        <f>医療機関!B68+陽性者登録センター!B68</f>
        <v>11</v>
      </c>
      <c r="C69" s="6">
        <f>医療機関!C68+陽性者登録センター!C68</f>
        <v>70</v>
      </c>
      <c r="D69" s="6">
        <f>医療機関!D68+陽性者登録センター!D68</f>
        <v>78</v>
      </c>
      <c r="E69" s="6">
        <f>医療機関!E68+陽性者登録センター!E68</f>
        <v>151</v>
      </c>
      <c r="F69" s="6">
        <f>医療機関!F68+陽性者登録センター!F68</f>
        <v>119</v>
      </c>
      <c r="G69" s="6">
        <f>医療機関!G68+陽性者登録センター!G68</f>
        <v>204</v>
      </c>
      <c r="H69" s="6">
        <f>医療機関!H68+陽性者登録センター!H68</f>
        <v>195</v>
      </c>
      <c r="I69" s="6">
        <f>医療機関!I68+陽性者登録センター!I68</f>
        <v>135</v>
      </c>
      <c r="J69" s="6">
        <f>医療機関!J68+陽性者登録センター!J68</f>
        <v>91</v>
      </c>
      <c r="K69" s="6">
        <f>医療機関!K68+陽性者登録センター!K68</f>
        <v>73</v>
      </c>
      <c r="L69" s="6">
        <f>医療機関!L68+陽性者登録センター!L68</f>
        <v>124</v>
      </c>
      <c r="M69" s="6">
        <f>医療機関!M68+陽性者登録センター!M68</f>
        <v>108</v>
      </c>
      <c r="N69" s="6">
        <f>医療機関!N68+陽性者登録センター!N68</f>
        <v>62</v>
      </c>
      <c r="O69" s="6">
        <f>医療機関!O68+陽性者登録センター!O68</f>
        <v>0</v>
      </c>
      <c r="P69" s="8">
        <f t="shared" si="2"/>
        <v>1421</v>
      </c>
      <c r="Q69" s="8">
        <f t="shared" si="3"/>
        <v>145327</v>
      </c>
    </row>
    <row r="70" spans="1:17" ht="20" customHeight="1">
      <c r="A70" s="4">
        <v>44897</v>
      </c>
      <c r="B70" s="6">
        <f>医療機関!B69+陽性者登録センター!B69</f>
        <v>8</v>
      </c>
      <c r="C70" s="6">
        <f>医療機関!C69+陽性者登録センター!C69</f>
        <v>61</v>
      </c>
      <c r="D70" s="6">
        <f>医療機関!D69+陽性者登録センター!D69</f>
        <v>98</v>
      </c>
      <c r="E70" s="6">
        <f>医療機関!E69+陽性者登録センター!E69</f>
        <v>156</v>
      </c>
      <c r="F70" s="6">
        <f>医療機関!F69+陽性者登録センター!F69</f>
        <v>115</v>
      </c>
      <c r="G70" s="6">
        <f>医療機関!G69+陽性者登録センター!G69</f>
        <v>178</v>
      </c>
      <c r="H70" s="6">
        <f>医療機関!H69+陽性者登録センター!H69</f>
        <v>188</v>
      </c>
      <c r="I70" s="6">
        <f>医療機関!I69+陽性者登録センター!I69</f>
        <v>134</v>
      </c>
      <c r="J70" s="6">
        <f>医療機関!J69+陽性者登録センター!J69</f>
        <v>75</v>
      </c>
      <c r="K70" s="6">
        <f>医療機関!K69+陽性者登録センター!K69</f>
        <v>63</v>
      </c>
      <c r="L70" s="6">
        <f>医療機関!L69+陽性者登録センター!L69</f>
        <v>116</v>
      </c>
      <c r="M70" s="6">
        <f>医療機関!M69+陽性者登録センター!M69</f>
        <v>88</v>
      </c>
      <c r="N70" s="6">
        <f>医療機関!N69+陽性者登録センター!N69</f>
        <v>78</v>
      </c>
      <c r="O70" s="6">
        <f>医療機関!O69+陽性者登録センター!O69</f>
        <v>0</v>
      </c>
      <c r="P70" s="8">
        <f t="shared" si="2"/>
        <v>1358</v>
      </c>
      <c r="Q70" s="8">
        <f t="shared" si="3"/>
        <v>146685</v>
      </c>
    </row>
    <row r="71" spans="1:17" ht="20" customHeight="1">
      <c r="A71" s="4">
        <v>44898</v>
      </c>
      <c r="B71" s="6">
        <f>医療機関!B70+陽性者登録センター!B70</f>
        <v>8</v>
      </c>
      <c r="C71" s="6">
        <f>医療機関!C70+陽性者登録センター!C70</f>
        <v>76</v>
      </c>
      <c r="D71" s="6">
        <f>医療機関!D70+陽性者登録センター!D70</f>
        <v>111</v>
      </c>
      <c r="E71" s="6">
        <f>医療機関!E70+陽性者登録センター!E70</f>
        <v>138</v>
      </c>
      <c r="F71" s="6">
        <f>医療機関!F70+陽性者登録センター!F70</f>
        <v>107</v>
      </c>
      <c r="G71" s="6">
        <f>医療機関!G70+陽性者登録センター!G70</f>
        <v>155</v>
      </c>
      <c r="H71" s="6">
        <f>医療機関!H70+陽性者登録センター!H70</f>
        <v>198</v>
      </c>
      <c r="I71" s="6">
        <f>医療機関!I70+陽性者登録センター!I70</f>
        <v>134</v>
      </c>
      <c r="J71" s="6">
        <f>医療機関!J70+陽性者登録センター!J70</f>
        <v>65</v>
      </c>
      <c r="K71" s="6">
        <f>医療機関!K70+陽性者登録センター!K70</f>
        <v>55</v>
      </c>
      <c r="L71" s="6">
        <f>医療機関!L70+陽性者登録センター!L70</f>
        <v>133</v>
      </c>
      <c r="M71" s="6">
        <f>医療機関!M70+陽性者登録センター!M70</f>
        <v>75</v>
      </c>
      <c r="N71" s="6">
        <f>医療機関!N70+陽性者登録センター!N70</f>
        <v>44</v>
      </c>
      <c r="O71" s="6">
        <f>医療機関!O70+陽性者登録センター!O70</f>
        <v>0</v>
      </c>
      <c r="P71" s="8">
        <f t="shared" si="2"/>
        <v>1299</v>
      </c>
      <c r="Q71" s="8">
        <f t="shared" si="3"/>
        <v>147984</v>
      </c>
    </row>
    <row r="72" spans="1:17" ht="20" customHeight="1">
      <c r="A72" s="4">
        <v>44899</v>
      </c>
      <c r="B72" s="6">
        <f>医療機関!B71+陽性者登録センター!B71</f>
        <v>9</v>
      </c>
      <c r="C72" s="6">
        <f>医療機関!C71+陽性者登録センター!C71</f>
        <v>38</v>
      </c>
      <c r="D72" s="6">
        <f>医療機関!D71+陽性者登録センター!D71</f>
        <v>75</v>
      </c>
      <c r="E72" s="6">
        <f>医療機関!E71+陽性者登録センター!E71</f>
        <v>97</v>
      </c>
      <c r="F72" s="6">
        <f>医療機関!F71+陽性者登録センター!F71</f>
        <v>81</v>
      </c>
      <c r="G72" s="6">
        <f>医療機関!G71+陽性者登録センター!G71</f>
        <v>111</v>
      </c>
      <c r="H72" s="6">
        <f>医療機関!H71+陽性者登録センター!H71</f>
        <v>142</v>
      </c>
      <c r="I72" s="6">
        <f>医療機関!I71+陽性者登録センター!I71</f>
        <v>94</v>
      </c>
      <c r="J72" s="6">
        <f>医療機関!J71+陽性者登録センター!J71</f>
        <v>43</v>
      </c>
      <c r="K72" s="6">
        <f>医療機関!K71+陽性者登録センター!K71</f>
        <v>25</v>
      </c>
      <c r="L72" s="6">
        <f>医療機関!L71+陽性者登録センター!L71</f>
        <v>52</v>
      </c>
      <c r="M72" s="6">
        <f>医療機関!M71+陽性者登録センター!M71</f>
        <v>55</v>
      </c>
      <c r="N72" s="6">
        <f>医療機関!N71+陽性者登録センター!N71</f>
        <v>43</v>
      </c>
      <c r="O72" s="6">
        <f>医療機関!O71+陽性者登録センター!O71</f>
        <v>0</v>
      </c>
      <c r="P72" s="8">
        <f t="shared" si="2"/>
        <v>865</v>
      </c>
      <c r="Q72" s="8">
        <f t="shared" si="3"/>
        <v>148849</v>
      </c>
    </row>
    <row r="73" spans="1:17" ht="20" customHeight="1">
      <c r="A73" s="4">
        <v>44900</v>
      </c>
      <c r="B73" s="6">
        <f>医療機関!B72+陽性者登録センター!B72</f>
        <v>7</v>
      </c>
      <c r="C73" s="6">
        <f>医療機関!C72+陽性者登録センター!C72</f>
        <v>22</v>
      </c>
      <c r="D73" s="6">
        <f>医療機関!D72+陽性者登録センター!D72</f>
        <v>42</v>
      </c>
      <c r="E73" s="6">
        <f>医療機関!E72+陽性者登録センター!E72</f>
        <v>45</v>
      </c>
      <c r="F73" s="6">
        <f>医療機関!F72+陽性者登録センター!F72</f>
        <v>39</v>
      </c>
      <c r="G73" s="6">
        <f>医療機関!G72+陽性者登録センター!G72</f>
        <v>59</v>
      </c>
      <c r="H73" s="6">
        <f>医療機関!H72+陽性者登録センター!H72</f>
        <v>61</v>
      </c>
      <c r="I73" s="6">
        <f>医療機関!I72+陽性者登録センター!I72</f>
        <v>40</v>
      </c>
      <c r="J73" s="6">
        <f>医療機関!J72+陽性者登録センター!J72</f>
        <v>17</v>
      </c>
      <c r="K73" s="6">
        <f>医療機関!K72+陽性者登録センター!K72</f>
        <v>7</v>
      </c>
      <c r="L73" s="6">
        <f>医療機関!L72+陽性者登録センター!L72</f>
        <v>18</v>
      </c>
      <c r="M73" s="6">
        <f>医療機関!M72+陽性者登録センター!M72</f>
        <v>14</v>
      </c>
      <c r="N73" s="6">
        <f>医療機関!N72+陽性者登録センター!N72</f>
        <v>17</v>
      </c>
      <c r="O73" s="6">
        <f>医療機関!O72+陽性者登録センター!O72</f>
        <v>0</v>
      </c>
      <c r="P73" s="8">
        <f t="shared" si="2"/>
        <v>388</v>
      </c>
      <c r="Q73" s="8">
        <f t="shared" si="3"/>
        <v>149237</v>
      </c>
    </row>
    <row r="74" spans="1:17" ht="20" customHeight="1">
      <c r="A74" s="4">
        <v>44901</v>
      </c>
      <c r="B74" s="6">
        <f>医療機関!B73+陽性者登録センター!B73</f>
        <v>20</v>
      </c>
      <c r="C74" s="6">
        <f>医療機関!C73+陽性者登録センター!C73</f>
        <v>120</v>
      </c>
      <c r="D74" s="6">
        <f>医療機関!D73+陽性者登録センター!D73</f>
        <v>177</v>
      </c>
      <c r="E74" s="6">
        <f>医療機関!E73+陽性者登録センター!E73</f>
        <v>255</v>
      </c>
      <c r="F74" s="6">
        <f>医療機関!F73+陽性者登録センター!F73</f>
        <v>164</v>
      </c>
      <c r="G74" s="6">
        <f>医療機関!G73+陽性者登録センター!G73</f>
        <v>279</v>
      </c>
      <c r="H74" s="6">
        <f>医療機関!H73+陽性者登録センター!H73</f>
        <v>309</v>
      </c>
      <c r="I74" s="6">
        <f>医療機関!I73+陽性者登録センター!I73</f>
        <v>204</v>
      </c>
      <c r="J74" s="6">
        <f>医療機関!J73+陽性者登録センター!J73</f>
        <v>115</v>
      </c>
      <c r="K74" s="6">
        <f>医療機関!K73+陽性者登録センター!K73</f>
        <v>104</v>
      </c>
      <c r="L74" s="6">
        <f>医療機関!L73+陽性者登録センター!L73</f>
        <v>139</v>
      </c>
      <c r="M74" s="6">
        <f>医療機関!M73+陽性者登録センター!M73</f>
        <v>139</v>
      </c>
      <c r="N74" s="6">
        <f>医療機関!N73+陽性者登録センター!N73</f>
        <v>77</v>
      </c>
      <c r="O74" s="6">
        <f>医療機関!O73+陽性者登録センター!O73</f>
        <v>0</v>
      </c>
      <c r="P74" s="8">
        <f t="shared" si="2"/>
        <v>2102</v>
      </c>
      <c r="Q74" s="8">
        <f t="shared" si="3"/>
        <v>151339</v>
      </c>
    </row>
    <row r="75" spans="1:17" ht="20" customHeight="1">
      <c r="A75" s="4">
        <v>44902</v>
      </c>
      <c r="B75" s="6">
        <f>医療機関!B74+陽性者登録センター!B74</f>
        <v>8</v>
      </c>
      <c r="C75" s="6">
        <f>医療機関!C74+陽性者登録センター!C74</f>
        <v>74</v>
      </c>
      <c r="D75" s="6">
        <f>医療機関!D74+陽性者登録センター!D74</f>
        <v>128</v>
      </c>
      <c r="E75" s="6">
        <f>医療機関!E74+陽性者登録センター!E74</f>
        <v>217</v>
      </c>
      <c r="F75" s="6">
        <f>医療機関!F74+陽性者登録センター!F74</f>
        <v>121</v>
      </c>
      <c r="G75" s="6">
        <f>医療機関!G74+陽性者登録センター!G74</f>
        <v>234</v>
      </c>
      <c r="H75" s="6">
        <f>医療機関!H74+陽性者登録センター!H74</f>
        <v>226</v>
      </c>
      <c r="I75" s="6">
        <f>医療機関!I74+陽性者登録センター!I74</f>
        <v>150</v>
      </c>
      <c r="J75" s="6">
        <f>医療機関!J74+陽性者登録センター!J74</f>
        <v>93</v>
      </c>
      <c r="K75" s="6">
        <f>医療機関!K74+陽性者登録センター!K74</f>
        <v>63</v>
      </c>
      <c r="L75" s="6">
        <f>医療機関!L74+陽性者登録センター!L74</f>
        <v>107</v>
      </c>
      <c r="M75" s="6">
        <f>医療機関!M74+陽性者登録センター!M74</f>
        <v>100</v>
      </c>
      <c r="N75" s="6">
        <f>医療機関!N74+陽性者登録センター!N74</f>
        <v>55</v>
      </c>
      <c r="O75" s="6">
        <f>医療機関!O74+陽性者登録センター!O74</f>
        <v>0</v>
      </c>
      <c r="P75" s="8">
        <f t="shared" si="2"/>
        <v>1576</v>
      </c>
      <c r="Q75" s="8">
        <f t="shared" si="3"/>
        <v>152915</v>
      </c>
    </row>
    <row r="76" spans="1:17" ht="20" customHeight="1">
      <c r="A76" s="4">
        <v>44903</v>
      </c>
      <c r="B76" s="6">
        <f>医療機関!B75+陽性者登録センター!B75</f>
        <v>6</v>
      </c>
      <c r="C76" s="6">
        <f>医療機関!C75+陽性者登録センター!C75</f>
        <v>59</v>
      </c>
      <c r="D76" s="6">
        <f>医療機関!D75+陽性者登録センター!D75</f>
        <v>113</v>
      </c>
      <c r="E76" s="6">
        <f>医療機関!E75+陽性者登録センター!E75</f>
        <v>140</v>
      </c>
      <c r="F76" s="6">
        <f>医療機関!F75+陽性者登録センター!F75</f>
        <v>129</v>
      </c>
      <c r="G76" s="6">
        <f>医療機関!G75+陽性者登録センター!G75</f>
        <v>184</v>
      </c>
      <c r="H76" s="6">
        <f>医療機関!H75+陽性者登録センター!H75</f>
        <v>218</v>
      </c>
      <c r="I76" s="6">
        <f>医療機関!I75+陽性者登録センター!I75</f>
        <v>143</v>
      </c>
      <c r="J76" s="6">
        <f>医療機関!J75+陽性者登録センター!J75</f>
        <v>102</v>
      </c>
      <c r="K76" s="6">
        <f>医療機関!K75+陽性者登録センター!K75</f>
        <v>54</v>
      </c>
      <c r="L76" s="6">
        <f>医療機関!L75+陽性者登録センター!L75</f>
        <v>89</v>
      </c>
      <c r="M76" s="6">
        <f>医療機関!M75+陽性者登録センター!M75</f>
        <v>61</v>
      </c>
      <c r="N76" s="6">
        <f>医療機関!N75+陽性者登録センター!N75</f>
        <v>37</v>
      </c>
      <c r="O76" s="6">
        <f>医療機関!O75+陽性者登録センター!O75</f>
        <v>0</v>
      </c>
      <c r="P76" s="8">
        <f t="shared" si="2"/>
        <v>1335</v>
      </c>
      <c r="Q76" s="8">
        <f t="shared" si="3"/>
        <v>154250</v>
      </c>
    </row>
    <row r="77" spans="1:17" ht="20" customHeight="1">
      <c r="A77" s="4">
        <v>44904</v>
      </c>
      <c r="B77" s="6">
        <f>医療機関!B76+陽性者登録センター!B76</f>
        <v>12</v>
      </c>
      <c r="C77" s="6">
        <f>医療機関!C76+陽性者登録センター!C76</f>
        <v>76</v>
      </c>
      <c r="D77" s="6">
        <f>医療機関!D76+陽性者登録センター!D76</f>
        <v>109</v>
      </c>
      <c r="E77" s="6">
        <f>医療機関!E76+陽性者登録センター!E76</f>
        <v>152</v>
      </c>
      <c r="F77" s="6">
        <f>医療機関!F76+陽性者登録センター!F76</f>
        <v>121</v>
      </c>
      <c r="G77" s="6">
        <f>医療機関!G76+陽性者登録センター!G76</f>
        <v>188</v>
      </c>
      <c r="H77" s="6">
        <f>医療機関!H76+陽性者登録センター!H76</f>
        <v>215</v>
      </c>
      <c r="I77" s="6">
        <f>医療機関!I76+陽性者登録センター!I76</f>
        <v>149</v>
      </c>
      <c r="J77" s="6">
        <f>医療機関!J76+陽性者登録センター!J76</f>
        <v>95</v>
      </c>
      <c r="K77" s="6">
        <f>医療機関!K76+陽性者登録センター!K76</f>
        <v>66</v>
      </c>
      <c r="L77" s="6">
        <f>医療機関!L76+陽性者登録センター!L76</f>
        <v>91</v>
      </c>
      <c r="M77" s="6">
        <f>医療機関!M76+陽性者登録センター!M76</f>
        <v>111</v>
      </c>
      <c r="N77" s="6">
        <f>医療機関!N76+陽性者登録センター!N76</f>
        <v>61</v>
      </c>
      <c r="O77" s="6">
        <f>医療機関!O76+陽性者登録センター!O76</f>
        <v>0</v>
      </c>
      <c r="P77" s="8">
        <f t="shared" si="2"/>
        <v>1446</v>
      </c>
      <c r="Q77" s="8">
        <f t="shared" si="3"/>
        <v>155696</v>
      </c>
    </row>
    <row r="78" spans="1:17" ht="20" customHeight="1">
      <c r="A78" s="4">
        <v>44905</v>
      </c>
      <c r="B78" s="6">
        <f>医療機関!B77+陽性者登録センター!B77</f>
        <v>15</v>
      </c>
      <c r="C78" s="6">
        <f>医療機関!C77+陽性者登録センター!C77</f>
        <v>48</v>
      </c>
      <c r="D78" s="6">
        <f>医療機関!D77+陽性者登録センター!D77</f>
        <v>117</v>
      </c>
      <c r="E78" s="6">
        <f>医療機関!E77+陽性者登録センター!E77</f>
        <v>165</v>
      </c>
      <c r="F78" s="6">
        <f>医療機関!F77+陽性者登録センター!F77</f>
        <v>108</v>
      </c>
      <c r="G78" s="6">
        <f>医療機関!G77+陽性者登録センター!G77</f>
        <v>192</v>
      </c>
      <c r="H78" s="6">
        <f>医療機関!H77+陽性者登録センター!H77</f>
        <v>184</v>
      </c>
      <c r="I78" s="6">
        <f>医療機関!I77+陽性者登録センター!I77</f>
        <v>155</v>
      </c>
      <c r="J78" s="6">
        <f>医療機関!J77+陽性者登録センター!J77</f>
        <v>82</v>
      </c>
      <c r="K78" s="6">
        <f>医療機関!K77+陽性者登録センター!K77</f>
        <v>54</v>
      </c>
      <c r="L78" s="6">
        <f>医療機関!L77+陽性者登録センター!L77</f>
        <v>86</v>
      </c>
      <c r="M78" s="6">
        <f>医療機関!M77+陽性者登録センター!M77</f>
        <v>78</v>
      </c>
      <c r="N78" s="6">
        <f>医療機関!N77+陽性者登録センター!N77</f>
        <v>48</v>
      </c>
      <c r="O78" s="6">
        <f>医療機関!O77+陽性者登録センター!O77</f>
        <v>0</v>
      </c>
      <c r="P78" s="8">
        <f t="shared" si="2"/>
        <v>1332</v>
      </c>
      <c r="Q78" s="8">
        <f t="shared" si="3"/>
        <v>157028</v>
      </c>
    </row>
    <row r="79" spans="1:17" ht="20" customHeight="1">
      <c r="A79" s="4">
        <v>44906</v>
      </c>
      <c r="B79" s="6">
        <f>医療機関!B78+陽性者登録センター!B78</f>
        <v>10</v>
      </c>
      <c r="C79" s="6">
        <f>医療機関!C78+陽性者登録センター!C78</f>
        <v>62</v>
      </c>
      <c r="D79" s="6">
        <f>医療機関!D78+陽性者登録センター!D78</f>
        <v>71</v>
      </c>
      <c r="E79" s="6">
        <f>医療機関!E78+陽性者登録センター!E78</f>
        <v>133</v>
      </c>
      <c r="F79" s="6">
        <f>医療機関!F78+陽性者登録センター!F78</f>
        <v>84</v>
      </c>
      <c r="G79" s="6">
        <f>医療機関!G78+陽性者登録センター!G78</f>
        <v>148</v>
      </c>
      <c r="H79" s="6">
        <f>医療機関!H78+陽性者登録センター!H78</f>
        <v>139</v>
      </c>
      <c r="I79" s="6">
        <f>医療機関!I78+陽性者登録センター!I78</f>
        <v>90</v>
      </c>
      <c r="J79" s="6">
        <f>医療機関!J78+陽性者登録センター!J78</f>
        <v>57</v>
      </c>
      <c r="K79" s="6">
        <f>医療機関!K78+陽性者登録センター!K78</f>
        <v>43</v>
      </c>
      <c r="L79" s="6">
        <f>医療機関!L78+陽性者登録センター!L78</f>
        <v>58</v>
      </c>
      <c r="M79" s="6">
        <f>医療機関!M78+陽性者登録センター!M78</f>
        <v>53</v>
      </c>
      <c r="N79" s="6">
        <f>医療機関!N78+陽性者登録センター!N78</f>
        <v>32</v>
      </c>
      <c r="O79" s="6">
        <f>医療機関!O78+陽性者登録センター!O78</f>
        <v>0</v>
      </c>
      <c r="P79" s="8">
        <f t="shared" si="2"/>
        <v>980</v>
      </c>
      <c r="Q79" s="8">
        <f t="shared" si="3"/>
        <v>158008</v>
      </c>
    </row>
    <row r="80" spans="1:17" ht="20" customHeight="1">
      <c r="A80" s="4">
        <v>44907</v>
      </c>
      <c r="B80" s="6">
        <f>医療機関!B79+陽性者登録センター!B79</f>
        <v>3</v>
      </c>
      <c r="C80" s="6">
        <f>医療機関!C79+陽性者登録センター!C79</f>
        <v>13</v>
      </c>
      <c r="D80" s="6">
        <f>医療機関!D79+陽性者登録センター!D79</f>
        <v>36</v>
      </c>
      <c r="E80" s="6">
        <f>医療機関!E79+陽性者登録センター!E79</f>
        <v>58</v>
      </c>
      <c r="F80" s="6">
        <f>医療機関!F79+陽性者登録センター!F79</f>
        <v>36</v>
      </c>
      <c r="G80" s="6">
        <f>医療機関!G79+陽性者登録センター!G79</f>
        <v>57</v>
      </c>
      <c r="H80" s="6">
        <f>医療機関!H79+陽性者登録センター!H79</f>
        <v>70</v>
      </c>
      <c r="I80" s="6">
        <f>医療機関!I79+陽性者登録センター!I79</f>
        <v>39</v>
      </c>
      <c r="J80" s="6">
        <f>医療機関!J79+陽性者登録センター!J79</f>
        <v>18</v>
      </c>
      <c r="K80" s="6">
        <f>医療機関!K79+陽性者登録センター!K79</f>
        <v>4</v>
      </c>
      <c r="L80" s="6">
        <f>医療機関!L79+陽性者登録センター!L79</f>
        <v>16</v>
      </c>
      <c r="M80" s="6">
        <f>医療機関!M79+陽性者登録センター!M79</f>
        <v>16</v>
      </c>
      <c r="N80" s="6">
        <f>医療機関!N79+陽性者登録センター!N79</f>
        <v>9</v>
      </c>
      <c r="O80" s="6">
        <f>医療機関!O79+陽性者登録センター!O79</f>
        <v>0</v>
      </c>
      <c r="P80" s="8">
        <f t="shared" si="2"/>
        <v>375</v>
      </c>
      <c r="Q80" s="8">
        <f t="shared" si="3"/>
        <v>158383</v>
      </c>
    </row>
    <row r="81" spans="1:17" ht="20" customHeight="1">
      <c r="A81" s="4">
        <v>44908</v>
      </c>
      <c r="B81" s="6">
        <f>医療機関!B80+陽性者登録センター!B80</f>
        <v>9</v>
      </c>
      <c r="C81" s="6">
        <f>医療機関!C80+陽性者登録センター!C80</f>
        <v>121</v>
      </c>
      <c r="D81" s="6">
        <f>医療機関!D80+陽性者登録センター!D80</f>
        <v>169</v>
      </c>
      <c r="E81" s="6">
        <f>医療機関!E80+陽性者登録センター!E80</f>
        <v>254</v>
      </c>
      <c r="F81" s="6">
        <f>医療機関!F80+陽性者登録センター!F80</f>
        <v>180</v>
      </c>
      <c r="G81" s="6">
        <f>医療機関!G80+陽性者登録センター!G80</f>
        <v>269</v>
      </c>
      <c r="H81" s="6">
        <f>医療機関!H80+陽性者登録センター!H80</f>
        <v>290</v>
      </c>
      <c r="I81" s="6">
        <f>医療機関!I80+陽性者登録センター!I80</f>
        <v>241</v>
      </c>
      <c r="J81" s="6">
        <f>医療機関!J80+陽性者登録センター!J80</f>
        <v>109</v>
      </c>
      <c r="K81" s="6">
        <f>医療機関!K80+陽性者登録センター!K80</f>
        <v>84</v>
      </c>
      <c r="L81" s="6">
        <f>医療機関!L80+陽性者登録センター!L80</f>
        <v>158</v>
      </c>
      <c r="M81" s="6">
        <f>医療機関!M80+陽性者登録センター!M80</f>
        <v>116</v>
      </c>
      <c r="N81" s="6">
        <f>医療機関!N80+陽性者登録センター!N80</f>
        <v>82</v>
      </c>
      <c r="O81" s="6">
        <f>医療機関!O80+陽性者登録センター!O80</f>
        <v>0</v>
      </c>
      <c r="P81" s="8">
        <f t="shared" si="2"/>
        <v>2082</v>
      </c>
      <c r="Q81" s="8">
        <f t="shared" si="3"/>
        <v>160465</v>
      </c>
    </row>
    <row r="82" spans="1:17" ht="20" customHeight="1">
      <c r="A82" s="4">
        <v>44909</v>
      </c>
      <c r="B82" s="6">
        <f>医療機関!B81+陽性者登録センター!B81</f>
        <v>6</v>
      </c>
      <c r="C82" s="6">
        <f>医療機関!C81+陽性者登録センター!C81</f>
        <v>84</v>
      </c>
      <c r="D82" s="6">
        <f>医療機関!D81+陽性者登録センター!D81</f>
        <v>111</v>
      </c>
      <c r="E82" s="6">
        <f>医療機関!E81+陽性者登録センター!E81</f>
        <v>218</v>
      </c>
      <c r="F82" s="6">
        <f>医療機関!F81+陽性者登録センター!F81</f>
        <v>131</v>
      </c>
      <c r="G82" s="6">
        <f>医療機関!G81+陽性者登録センター!G81</f>
        <v>208</v>
      </c>
      <c r="H82" s="6">
        <f>医療機関!H81+陽性者登録センター!H81</f>
        <v>224</v>
      </c>
      <c r="I82" s="6">
        <f>医療機関!I81+陽性者登録センター!I81</f>
        <v>173</v>
      </c>
      <c r="J82" s="6">
        <f>医療機関!J81+陽性者登録センター!J81</f>
        <v>82</v>
      </c>
      <c r="K82" s="6">
        <f>医療機関!K81+陽性者登録センター!K81</f>
        <v>51</v>
      </c>
      <c r="L82" s="6">
        <f>医療機関!L81+陽性者登録センター!L81</f>
        <v>103</v>
      </c>
      <c r="M82" s="6">
        <f>医療機関!M81+陽性者登録センター!M81</f>
        <v>95</v>
      </c>
      <c r="N82" s="6">
        <f>医療機関!N81+陽性者登録センター!N81</f>
        <v>47</v>
      </c>
      <c r="O82" s="6">
        <f>医療機関!O81+陽性者登録センター!O81</f>
        <v>0</v>
      </c>
      <c r="P82" s="8">
        <f t="shared" si="2"/>
        <v>1533</v>
      </c>
      <c r="Q82" s="8">
        <f t="shared" si="3"/>
        <v>161998</v>
      </c>
    </row>
    <row r="83" spans="1:17" ht="20" customHeight="1">
      <c r="A83" s="4">
        <v>44910</v>
      </c>
      <c r="B83" s="6">
        <f>医療機関!B82+陽性者登録センター!B82</f>
        <v>14</v>
      </c>
      <c r="C83" s="6">
        <f>医療機関!C82+陽性者登録センター!C82</f>
        <v>54</v>
      </c>
      <c r="D83" s="6">
        <f>医療機関!D82+陽性者登録センター!D82</f>
        <v>92</v>
      </c>
      <c r="E83" s="6">
        <f>医療機関!E82+陽性者登録センター!E82</f>
        <v>166</v>
      </c>
      <c r="F83" s="6">
        <f>医療機関!F82+陽性者登録センター!F82</f>
        <v>112</v>
      </c>
      <c r="G83" s="6">
        <f>医療機関!G82+陽性者登録センター!G82</f>
        <v>171</v>
      </c>
      <c r="H83" s="6">
        <f>医療機関!H82+陽性者登録センター!H82</f>
        <v>195</v>
      </c>
      <c r="I83" s="6">
        <f>医療機関!I82+陽性者登録センター!I82</f>
        <v>129</v>
      </c>
      <c r="J83" s="6">
        <f>医療機関!J82+陽性者登録センター!J82</f>
        <v>54</v>
      </c>
      <c r="K83" s="6">
        <f>医療機関!K82+陽性者登録センター!K82</f>
        <v>43</v>
      </c>
      <c r="L83" s="6">
        <f>医療機関!L82+陽性者登録センター!L82</f>
        <v>78</v>
      </c>
      <c r="M83" s="6">
        <f>医療機関!M82+陽性者登録センター!M82</f>
        <v>63</v>
      </c>
      <c r="N83" s="6">
        <f>医療機関!N82+陽性者登録センター!N82</f>
        <v>45</v>
      </c>
      <c r="O83" s="6">
        <f>医療機関!O82+陽性者登録センター!O82</f>
        <v>0</v>
      </c>
      <c r="P83" s="8">
        <f t="shared" si="2"/>
        <v>1216</v>
      </c>
      <c r="Q83" s="8">
        <f t="shared" si="3"/>
        <v>163214</v>
      </c>
    </row>
    <row r="84" spans="1:17" ht="20" customHeight="1">
      <c r="A84" s="4">
        <v>44911</v>
      </c>
      <c r="B84" s="6">
        <f>医療機関!B83+陽性者登録センター!B83</f>
        <v>5</v>
      </c>
      <c r="C84" s="6">
        <f>医療機関!C83+陽性者登録センター!C83</f>
        <v>49</v>
      </c>
      <c r="D84" s="6">
        <f>医療機関!D83+陽性者登録センター!D83</f>
        <v>81</v>
      </c>
      <c r="E84" s="6">
        <f>医療機関!E83+陽性者登録センター!E83</f>
        <v>173</v>
      </c>
      <c r="F84" s="6">
        <f>医療機関!F83+陽性者登録センター!F83</f>
        <v>118</v>
      </c>
      <c r="G84" s="6">
        <f>医療機関!G83+陽性者登録センター!G83</f>
        <v>167</v>
      </c>
      <c r="H84" s="6">
        <f>医療機関!H83+陽性者登録センター!H83</f>
        <v>192</v>
      </c>
      <c r="I84" s="6">
        <f>医療機関!I83+陽性者登録センター!I83</f>
        <v>97</v>
      </c>
      <c r="J84" s="6">
        <f>医療機関!J83+陽性者登録センター!J83</f>
        <v>63</v>
      </c>
      <c r="K84" s="6">
        <f>医療機関!K83+陽性者登録センター!K83</f>
        <v>53</v>
      </c>
      <c r="L84" s="6">
        <f>医療機関!L83+陽性者登録センター!L83</f>
        <v>92</v>
      </c>
      <c r="M84" s="6">
        <f>医療機関!M83+陽性者登録センター!M83</f>
        <v>69</v>
      </c>
      <c r="N84" s="6">
        <f>医療機関!N83+陽性者登録センター!N83</f>
        <v>42</v>
      </c>
      <c r="O84" s="6">
        <f>医療機関!O83+陽性者登録センター!O83</f>
        <v>0</v>
      </c>
      <c r="P84" s="8">
        <f t="shared" si="2"/>
        <v>1201</v>
      </c>
      <c r="Q84" s="8">
        <f t="shared" si="3"/>
        <v>164415</v>
      </c>
    </row>
    <row r="85" spans="1:17" ht="20" customHeight="1">
      <c r="A85" s="4">
        <v>44912</v>
      </c>
      <c r="B85" s="6">
        <f>医療機関!B84+陽性者登録センター!B84</f>
        <v>12</v>
      </c>
      <c r="C85" s="6">
        <f>医療機関!C84+陽性者登録センター!C84</f>
        <v>68</v>
      </c>
      <c r="D85" s="6">
        <f>医療機関!D84+陽性者登録センター!D84</f>
        <v>109</v>
      </c>
      <c r="E85" s="6">
        <f>医療機関!E84+陽性者登録センター!E84</f>
        <v>197</v>
      </c>
      <c r="F85" s="6">
        <f>医療機関!F84+陽性者登録センター!F84</f>
        <v>89</v>
      </c>
      <c r="G85" s="6">
        <f>医療機関!G84+陽性者登録センター!G84</f>
        <v>135</v>
      </c>
      <c r="H85" s="6">
        <f>医療機関!H84+陽性者登録センター!H84</f>
        <v>212</v>
      </c>
      <c r="I85" s="6">
        <f>医療機関!I84+陽性者登録センター!I84</f>
        <v>116</v>
      </c>
      <c r="J85" s="6">
        <f>医療機関!J84+陽性者登録センター!J84</f>
        <v>60</v>
      </c>
      <c r="K85" s="6">
        <f>医療機関!K84+陽性者登録センター!K84</f>
        <v>52</v>
      </c>
      <c r="L85" s="6">
        <f>医療機関!L84+陽性者登録センター!L84</f>
        <v>74</v>
      </c>
      <c r="M85" s="6">
        <f>医療機関!M84+陽性者登録センター!M84</f>
        <v>70</v>
      </c>
      <c r="N85" s="6">
        <f>医療機関!N84+陽性者登録センター!N84</f>
        <v>46</v>
      </c>
      <c r="O85" s="6">
        <f>医療機関!O84+陽性者登録センター!O84</f>
        <v>0</v>
      </c>
      <c r="P85" s="8">
        <f t="shared" si="2"/>
        <v>1240</v>
      </c>
      <c r="Q85" s="8">
        <f t="shared" si="3"/>
        <v>165655</v>
      </c>
    </row>
    <row r="86" spans="1:17" ht="20" customHeight="1">
      <c r="A86" s="4">
        <v>44913</v>
      </c>
      <c r="B86" s="6">
        <f>医療機関!B85+陽性者登録センター!B85</f>
        <v>5</v>
      </c>
      <c r="C86" s="6">
        <f>医療機関!C85+陽性者登録センター!C85</f>
        <v>41</v>
      </c>
      <c r="D86" s="6">
        <f>医療機関!D85+陽性者登録センター!D85</f>
        <v>60</v>
      </c>
      <c r="E86" s="6">
        <f>医療機関!E85+陽性者登録センター!E85</f>
        <v>114</v>
      </c>
      <c r="F86" s="6">
        <f>医療機関!F85+陽性者登録センター!F85</f>
        <v>87</v>
      </c>
      <c r="G86" s="6">
        <f>医療機関!G85+陽性者登録センター!G85</f>
        <v>97</v>
      </c>
      <c r="H86" s="6">
        <f>医療機関!H85+陽性者登録センター!H85</f>
        <v>107</v>
      </c>
      <c r="I86" s="6">
        <f>医療機関!I85+陽性者登録センター!I85</f>
        <v>94</v>
      </c>
      <c r="J86" s="6">
        <f>医療機関!J85+陽性者登録センター!J85</f>
        <v>36</v>
      </c>
      <c r="K86" s="6">
        <f>医療機関!K85+陽性者登録センター!K85</f>
        <v>28</v>
      </c>
      <c r="L86" s="6">
        <f>医療機関!L85+陽性者登録センター!L85</f>
        <v>52</v>
      </c>
      <c r="M86" s="6">
        <f>医療機関!M85+陽性者登録センター!M85</f>
        <v>37</v>
      </c>
      <c r="N86" s="6">
        <f>医療機関!N85+陽性者登録センター!N85</f>
        <v>28</v>
      </c>
      <c r="O86" s="6">
        <f>医療機関!O85+陽性者登録センター!O85</f>
        <v>0</v>
      </c>
      <c r="P86" s="8">
        <f t="shared" si="2"/>
        <v>786</v>
      </c>
      <c r="Q86" s="8">
        <f t="shared" si="3"/>
        <v>166441</v>
      </c>
    </row>
    <row r="87" spans="1:17" ht="20" customHeight="1">
      <c r="A87" s="4">
        <v>44914</v>
      </c>
      <c r="B87" s="6">
        <f>医療機関!B86+陽性者登録センター!B86</f>
        <v>2</v>
      </c>
      <c r="C87" s="6">
        <f>医療機関!C86+陽性者登録センター!C86</f>
        <v>11</v>
      </c>
      <c r="D87" s="6">
        <f>医療機関!D86+陽性者登録センター!D86</f>
        <v>35</v>
      </c>
      <c r="E87" s="6">
        <f>医療機関!E86+陽性者登録センター!E86</f>
        <v>60</v>
      </c>
      <c r="F87" s="6">
        <f>医療機関!F86+陽性者登録センター!F86</f>
        <v>25</v>
      </c>
      <c r="G87" s="6">
        <f>医療機関!G86+陽性者登録センター!G86</f>
        <v>43</v>
      </c>
      <c r="H87" s="6">
        <f>医療機関!H86+陽性者登録センター!H86</f>
        <v>45</v>
      </c>
      <c r="I87" s="6">
        <f>医療機関!I86+陽性者登録センター!I86</f>
        <v>32</v>
      </c>
      <c r="J87" s="6">
        <f>医療機関!J86+陽性者登録センター!J86</f>
        <v>8</v>
      </c>
      <c r="K87" s="6">
        <f>医療機関!K86+陽性者登録センター!K86</f>
        <v>5</v>
      </c>
      <c r="L87" s="6">
        <f>医療機関!L86+陽性者登録センター!L86</f>
        <v>7</v>
      </c>
      <c r="M87" s="6">
        <f>医療機関!M86+陽性者登録センター!M86</f>
        <v>11</v>
      </c>
      <c r="N87" s="6">
        <f>医療機関!N86+陽性者登録センター!N86</f>
        <v>6</v>
      </c>
      <c r="O87" s="6">
        <f>医療機関!O86+陽性者登録センター!O86</f>
        <v>0</v>
      </c>
      <c r="P87" s="8">
        <f t="shared" si="2"/>
        <v>290</v>
      </c>
      <c r="Q87" s="8">
        <f t="shared" si="3"/>
        <v>166731</v>
      </c>
    </row>
    <row r="88" spans="1:17" ht="20" customHeight="1">
      <c r="A88" s="4">
        <v>44915</v>
      </c>
      <c r="B88" s="6">
        <f>医療機関!B87+陽性者登録センター!B87</f>
        <v>17</v>
      </c>
      <c r="C88" s="6">
        <f>医療機関!C87+陽性者登録センター!C87</f>
        <v>105</v>
      </c>
      <c r="D88" s="6">
        <f>医療機関!D87+陽性者登録センター!D87</f>
        <v>140</v>
      </c>
      <c r="E88" s="6">
        <f>医療機関!E87+陽性者登録センター!E87</f>
        <v>294</v>
      </c>
      <c r="F88" s="6">
        <f>医療機関!F87+陽性者登録センター!F87</f>
        <v>124</v>
      </c>
      <c r="G88" s="6">
        <f>医療機関!G87+陽性者登録センター!G87</f>
        <v>211</v>
      </c>
      <c r="H88" s="6">
        <f>医療機関!H87+陽性者登録センター!H87</f>
        <v>279</v>
      </c>
      <c r="I88" s="6">
        <f>医療機関!I87+陽性者登録センター!I87</f>
        <v>185</v>
      </c>
      <c r="J88" s="6">
        <f>医療機関!J87+陽性者登録センター!J87</f>
        <v>75</v>
      </c>
      <c r="K88" s="6">
        <f>医療機関!K87+陽性者登録センター!K87</f>
        <v>80</v>
      </c>
      <c r="L88" s="6">
        <f>医療機関!L87+陽性者登録センター!L87</f>
        <v>127</v>
      </c>
      <c r="M88" s="6">
        <f>医療機関!M87+陽性者登録センター!M87</f>
        <v>103</v>
      </c>
      <c r="N88" s="6">
        <f>医療機関!N87+陽性者登録センター!N87</f>
        <v>63</v>
      </c>
      <c r="O88" s="6">
        <f>医療機関!O87+陽性者登録センター!O87</f>
        <v>0</v>
      </c>
      <c r="P88" s="8">
        <f t="shared" si="2"/>
        <v>1803</v>
      </c>
      <c r="Q88" s="8">
        <f t="shared" si="3"/>
        <v>168534</v>
      </c>
    </row>
    <row r="89" spans="1:17" ht="20" customHeight="1">
      <c r="A89" s="4">
        <v>44916</v>
      </c>
      <c r="B89" s="6">
        <f>医療機関!B88+陽性者登録センター!B88</f>
        <v>9</v>
      </c>
      <c r="C89" s="6">
        <f>医療機関!C88+陽性者登録センター!C88</f>
        <v>62</v>
      </c>
      <c r="D89" s="6">
        <f>医療機関!D88+陽性者登録センター!D88</f>
        <v>111</v>
      </c>
      <c r="E89" s="6">
        <f>医療機関!E88+陽性者登録センター!E88</f>
        <v>202</v>
      </c>
      <c r="F89" s="6">
        <f>医療機関!F88+陽性者登録センター!F88</f>
        <v>107</v>
      </c>
      <c r="G89" s="6">
        <f>医療機関!G88+陽性者登録センター!G88</f>
        <v>184</v>
      </c>
      <c r="H89" s="6">
        <f>医療機関!H88+陽性者登録センター!H88</f>
        <v>188</v>
      </c>
      <c r="I89" s="6">
        <f>医療機関!I88+陽性者登録センター!I88</f>
        <v>135</v>
      </c>
      <c r="J89" s="6">
        <f>医療機関!J88+陽性者登録センター!J88</f>
        <v>53</v>
      </c>
      <c r="K89" s="6">
        <f>医療機関!K88+陽性者登録センター!K88</f>
        <v>50</v>
      </c>
      <c r="L89" s="6">
        <f>医療機関!L88+陽性者登録センター!L88</f>
        <v>97</v>
      </c>
      <c r="M89" s="6">
        <f>医療機関!M88+陽性者登録センター!M88</f>
        <v>54</v>
      </c>
      <c r="N89" s="6">
        <f>医療機関!N88+陽性者登録センター!N88</f>
        <v>47</v>
      </c>
      <c r="O89" s="6">
        <f>医療機関!O88+陽性者登録センター!O88</f>
        <v>0</v>
      </c>
      <c r="P89" s="8">
        <f t="shared" si="2"/>
        <v>1299</v>
      </c>
      <c r="Q89" s="8">
        <f t="shared" si="3"/>
        <v>169833</v>
      </c>
    </row>
    <row r="90" spans="1:17" ht="20" customHeight="1">
      <c r="A90" s="4">
        <v>44917</v>
      </c>
      <c r="B90" s="6">
        <f>医療機関!B89+陽性者登録センター!B89</f>
        <v>6</v>
      </c>
      <c r="C90" s="6">
        <f>医療機関!C89+陽性者登録センター!C89</f>
        <v>35</v>
      </c>
      <c r="D90" s="6">
        <f>医療機関!D89+陽性者登録センター!D89</f>
        <v>77</v>
      </c>
      <c r="E90" s="6">
        <f>医療機関!E89+陽性者登録センター!E89</f>
        <v>141</v>
      </c>
      <c r="F90" s="6">
        <f>医療機関!F89+陽性者登録センター!F89</f>
        <v>96</v>
      </c>
      <c r="G90" s="6">
        <f>医療機関!G89+陽性者登録センター!G89</f>
        <v>151</v>
      </c>
      <c r="H90" s="6">
        <f>医療機関!H89+陽性者登録センター!H89</f>
        <v>167</v>
      </c>
      <c r="I90" s="6">
        <f>医療機関!I89+陽性者登録センター!I89</f>
        <v>111</v>
      </c>
      <c r="J90" s="6">
        <f>医療機関!J89+陽性者登録センター!J89</f>
        <v>54</v>
      </c>
      <c r="K90" s="6">
        <f>医療機関!K89+陽性者登録センター!K89</f>
        <v>46</v>
      </c>
      <c r="L90" s="6">
        <f>医療機関!L89+陽性者登録センター!L89</f>
        <v>73</v>
      </c>
      <c r="M90" s="6">
        <f>医療機関!M89+陽性者登録センター!M89</f>
        <v>65</v>
      </c>
      <c r="N90" s="6">
        <f>医療機関!N89+陽性者登録センター!N89</f>
        <v>33</v>
      </c>
      <c r="O90" s="6">
        <f>医療機関!O89+陽性者登録センター!O89</f>
        <v>0</v>
      </c>
      <c r="P90" s="8">
        <f t="shared" si="2"/>
        <v>1055</v>
      </c>
      <c r="Q90" s="8">
        <f t="shared" si="3"/>
        <v>170888</v>
      </c>
    </row>
    <row r="91" spans="1:17" ht="20" customHeight="1">
      <c r="A91" s="4">
        <v>44918</v>
      </c>
      <c r="B91" s="6">
        <f>医療機関!B90+陽性者登録センター!B90</f>
        <v>9</v>
      </c>
      <c r="C91" s="6">
        <f>医療機関!C90+陽性者登録センター!C90</f>
        <v>49</v>
      </c>
      <c r="D91" s="6">
        <f>医療機関!D90+陽性者登録センター!D90</f>
        <v>64</v>
      </c>
      <c r="E91" s="6">
        <f>医療機関!E90+陽性者登録センター!E90</f>
        <v>125</v>
      </c>
      <c r="F91" s="6">
        <f>医療機関!F90+陽性者登録センター!F90</f>
        <v>102</v>
      </c>
      <c r="G91" s="6">
        <f>医療機関!G90+陽性者登録センター!G90</f>
        <v>120</v>
      </c>
      <c r="H91" s="6">
        <f>医療機関!H90+陽性者登録センター!H90</f>
        <v>175</v>
      </c>
      <c r="I91" s="6">
        <f>医療機関!I90+陽性者登録センター!I90</f>
        <v>82</v>
      </c>
      <c r="J91" s="6">
        <f>医療機関!J90+陽性者登録センター!J90</f>
        <v>70</v>
      </c>
      <c r="K91" s="6">
        <f>医療機関!K90+陽性者登録センター!K90</f>
        <v>43</v>
      </c>
      <c r="L91" s="6">
        <f>医療機関!L90+陽性者登録センター!L90</f>
        <v>94</v>
      </c>
      <c r="M91" s="6">
        <f>医療機関!M90+陽性者登録センター!M90</f>
        <v>72</v>
      </c>
      <c r="N91" s="6">
        <f>医療機関!N90+陽性者登録センター!N90</f>
        <v>43</v>
      </c>
      <c r="O91" s="6">
        <f>医療機関!O90+陽性者登録センター!O90</f>
        <v>0</v>
      </c>
      <c r="P91" s="8">
        <f t="shared" si="2"/>
        <v>1048</v>
      </c>
      <c r="Q91" s="8">
        <f t="shared" si="3"/>
        <v>171936</v>
      </c>
    </row>
    <row r="92" spans="1:17" ht="20" customHeight="1">
      <c r="A92" s="4">
        <v>44919</v>
      </c>
      <c r="B92" s="6">
        <f>医療機関!B91+陽性者登録センター!B91</f>
        <v>8</v>
      </c>
      <c r="C92" s="6">
        <f>医療機関!C91+陽性者登録センター!C91</f>
        <v>55</v>
      </c>
      <c r="D92" s="6">
        <f>医療機関!D91+陽性者登録センター!D91</f>
        <v>71</v>
      </c>
      <c r="E92" s="6">
        <f>医療機関!E91+陽性者登録センター!E91</f>
        <v>128</v>
      </c>
      <c r="F92" s="6">
        <f>医療機関!F91+陽性者登録センター!F91</f>
        <v>73</v>
      </c>
      <c r="G92" s="6">
        <f>医療機関!G91+陽性者登録センター!G91</f>
        <v>148</v>
      </c>
      <c r="H92" s="6">
        <f>医療機関!H91+陽性者登録センター!H91</f>
        <v>168</v>
      </c>
      <c r="I92" s="6">
        <f>医療機関!I91+陽性者登録センター!I91</f>
        <v>104</v>
      </c>
      <c r="J92" s="6">
        <f>医療機関!J91+陽性者登録センター!J91</f>
        <v>56</v>
      </c>
      <c r="K92" s="6">
        <f>医療機関!K91+陽性者登録センター!K91</f>
        <v>52</v>
      </c>
      <c r="L92" s="6">
        <f>医療機関!L91+陽性者登録センター!L91</f>
        <v>71</v>
      </c>
      <c r="M92" s="6">
        <f>医療機関!M91+陽性者登録センター!M91</f>
        <v>80</v>
      </c>
      <c r="N92" s="6">
        <f>医療機関!N91+陽性者登録センター!N91</f>
        <v>67</v>
      </c>
      <c r="O92" s="6">
        <f>医療機関!O91+陽性者登録センター!O91</f>
        <v>0</v>
      </c>
      <c r="P92" s="8">
        <f t="shared" si="2"/>
        <v>1081</v>
      </c>
      <c r="Q92" s="8">
        <f t="shared" si="3"/>
        <v>173017</v>
      </c>
    </row>
    <row r="93" spans="1:17" ht="20" customHeight="1">
      <c r="A93" s="4">
        <v>44920</v>
      </c>
      <c r="B93" s="6">
        <f>医療機関!B92+陽性者登録センター!B92</f>
        <v>5</v>
      </c>
      <c r="C93" s="6">
        <f>医療機関!C92+陽性者登録センター!C92</f>
        <v>27</v>
      </c>
      <c r="D93" s="6">
        <f>医療機関!D92+陽性者登録センター!D92</f>
        <v>50</v>
      </c>
      <c r="E93" s="6">
        <f>医療機関!E92+陽性者登録センター!E92</f>
        <v>90</v>
      </c>
      <c r="F93" s="6">
        <f>医療機関!F92+陽性者登録センター!F92</f>
        <v>69</v>
      </c>
      <c r="G93" s="6">
        <f>医療機関!G92+陽性者登録センター!G92</f>
        <v>83</v>
      </c>
      <c r="H93" s="6">
        <f>医療機関!H92+陽性者登録センター!H92</f>
        <v>93</v>
      </c>
      <c r="I93" s="6">
        <f>医療機関!I92+陽性者登録センター!I92</f>
        <v>66</v>
      </c>
      <c r="J93" s="6">
        <f>医療機関!J92+陽性者登録センター!J92</f>
        <v>35</v>
      </c>
      <c r="K93" s="6">
        <f>医療機関!K92+陽性者登録センター!K92</f>
        <v>28</v>
      </c>
      <c r="L93" s="6">
        <f>医療機関!L92+陽性者登録センター!L92</f>
        <v>37</v>
      </c>
      <c r="M93" s="6">
        <f>医療機関!M92+陽性者登録センター!M92</f>
        <v>30</v>
      </c>
      <c r="N93" s="6">
        <f>医療機関!N92+陽性者登録センター!N92</f>
        <v>25</v>
      </c>
      <c r="O93" s="6">
        <f>医療機関!O92+陽性者登録センター!O92</f>
        <v>0</v>
      </c>
      <c r="P93" s="8">
        <f t="shared" si="2"/>
        <v>638</v>
      </c>
      <c r="Q93" s="8">
        <f t="shared" si="3"/>
        <v>173655</v>
      </c>
    </row>
    <row r="94" spans="1:17" ht="20" customHeight="1">
      <c r="A94" s="4">
        <v>44921</v>
      </c>
      <c r="B94" s="6">
        <f>医療機関!B93+陽性者登録センター!B93</f>
        <v>5</v>
      </c>
      <c r="C94" s="6">
        <f>医療機関!C93+陽性者登録センター!C93</f>
        <v>18</v>
      </c>
      <c r="D94" s="6">
        <f>医療機関!D93+陽性者登録センター!D93</f>
        <v>32</v>
      </c>
      <c r="E94" s="6">
        <f>医療機関!E93+陽性者登録センター!E93</f>
        <v>49</v>
      </c>
      <c r="F94" s="6">
        <f>医療機関!F93+陽性者登録センター!F93</f>
        <v>31</v>
      </c>
      <c r="G94" s="6">
        <f>医療機関!G93+陽性者登録センター!G93</f>
        <v>55</v>
      </c>
      <c r="H94" s="6">
        <f>医療機関!H93+陽性者登録センター!H93</f>
        <v>47</v>
      </c>
      <c r="I94" s="6">
        <f>医療機関!I93+陽性者登録センター!I93</f>
        <v>31</v>
      </c>
      <c r="J94" s="6">
        <f>医療機関!J93+陽性者登録センター!J93</f>
        <v>14</v>
      </c>
      <c r="K94" s="6">
        <f>医療機関!K93+陽性者登録センター!K93</f>
        <v>7</v>
      </c>
      <c r="L94" s="6">
        <f>医療機関!L93+陽性者登録センター!L93</f>
        <v>12</v>
      </c>
      <c r="M94" s="6">
        <f>医療機関!M93+陽性者登録センター!M93</f>
        <v>19</v>
      </c>
      <c r="N94" s="6">
        <f>医療機関!N93+陽性者登録センター!N93</f>
        <v>9</v>
      </c>
      <c r="O94" s="6">
        <f>医療機関!O93+陽性者登録センター!O93</f>
        <v>0</v>
      </c>
      <c r="P94" s="8">
        <f t="shared" si="2"/>
        <v>329</v>
      </c>
      <c r="Q94" s="8">
        <f t="shared" si="3"/>
        <v>173984</v>
      </c>
    </row>
    <row r="95" spans="1:17" ht="20" customHeight="1">
      <c r="A95" s="4">
        <v>44922</v>
      </c>
      <c r="B95" s="6">
        <f>医療機関!B94+陽性者登録センター!B94</f>
        <v>5</v>
      </c>
      <c r="C95" s="6">
        <f>医療機関!C94+陽性者登録センター!C94</f>
        <v>90</v>
      </c>
      <c r="D95" s="6">
        <f>医療機関!D94+陽性者登録センター!D94</f>
        <v>98</v>
      </c>
      <c r="E95" s="6">
        <f>医療機関!E94+陽性者登録センター!E94</f>
        <v>168</v>
      </c>
      <c r="F95" s="6">
        <f>医療機関!F94+陽性者登録センター!F94</f>
        <v>102</v>
      </c>
      <c r="G95" s="6">
        <f>医療機関!G94+陽性者登録センター!G94</f>
        <v>191</v>
      </c>
      <c r="H95" s="6">
        <f>医療機関!H94+陽性者登録センター!H94</f>
        <v>223</v>
      </c>
      <c r="I95" s="6">
        <f>医療機関!I94+陽性者登録センター!I94</f>
        <v>161</v>
      </c>
      <c r="J95" s="6">
        <f>医療機関!J94+陽性者登録センター!J94</f>
        <v>74</v>
      </c>
      <c r="K95" s="6">
        <f>医療機関!K94+陽性者登録センター!K94</f>
        <v>80</v>
      </c>
      <c r="L95" s="6">
        <f>医療機関!L94+陽性者登録センター!L94</f>
        <v>110</v>
      </c>
      <c r="M95" s="6">
        <f>医療機関!M94+陽性者登録センター!M94</f>
        <v>98</v>
      </c>
      <c r="N95" s="6">
        <f>医療機関!N94+陽性者登録センター!N94</f>
        <v>67</v>
      </c>
      <c r="O95" s="6">
        <f>医療機関!O94+陽性者登録センター!O94</f>
        <v>0</v>
      </c>
      <c r="P95" s="8">
        <f t="shared" si="2"/>
        <v>1467</v>
      </c>
      <c r="Q95" s="8">
        <f t="shared" si="3"/>
        <v>175451</v>
      </c>
    </row>
    <row r="96" spans="1:17" ht="20" customHeight="1">
      <c r="A96" s="4">
        <v>44923</v>
      </c>
      <c r="B96" s="6">
        <f>医療機関!B95+陽性者登録センター!B95</f>
        <v>5</v>
      </c>
      <c r="C96" s="6">
        <f>医療機関!C95+陽性者登録センター!C95</f>
        <v>50</v>
      </c>
      <c r="D96" s="6">
        <f>医療機関!D95+陽性者登録センター!D95</f>
        <v>65</v>
      </c>
      <c r="E96" s="6">
        <f>医療機関!E95+陽性者登録センター!E95</f>
        <v>119</v>
      </c>
      <c r="F96" s="6">
        <f>医療機関!F95+陽性者登録センター!F95</f>
        <v>87</v>
      </c>
      <c r="G96" s="6">
        <f>医療機関!G95+陽性者登録センター!G95</f>
        <v>147</v>
      </c>
      <c r="H96" s="6">
        <f>医療機関!H95+陽性者登録センター!H95</f>
        <v>166</v>
      </c>
      <c r="I96" s="6">
        <f>医療機関!I95+陽性者登録センター!I95</f>
        <v>99</v>
      </c>
      <c r="J96" s="6">
        <f>医療機関!J95+陽性者登録センター!J95</f>
        <v>58</v>
      </c>
      <c r="K96" s="6">
        <f>医療機関!K95+陽性者登録センター!K95</f>
        <v>30</v>
      </c>
      <c r="L96" s="6">
        <f>医療機関!L95+陽性者登録センター!L95</f>
        <v>61</v>
      </c>
      <c r="M96" s="6">
        <f>医療機関!M95+陽性者登録センター!M95</f>
        <v>49</v>
      </c>
      <c r="N96" s="6">
        <f>医療機関!N95+陽性者登録センター!N95</f>
        <v>28</v>
      </c>
      <c r="O96" s="6">
        <f>医療機関!O95+陽性者登録センター!O95</f>
        <v>0</v>
      </c>
      <c r="P96" s="8">
        <f t="shared" si="2"/>
        <v>964</v>
      </c>
      <c r="Q96" s="8">
        <f t="shared" si="3"/>
        <v>176415</v>
      </c>
    </row>
    <row r="97" spans="1:17" ht="20" customHeight="1">
      <c r="A97" s="4">
        <v>44924</v>
      </c>
      <c r="B97" s="6">
        <f>医療機関!B96+陽性者登録センター!B96</f>
        <v>10</v>
      </c>
      <c r="C97" s="6">
        <f>医療機関!C96+陽性者登録センター!C96</f>
        <v>22</v>
      </c>
      <c r="D97" s="6">
        <f>医療機関!D96+陽性者登録センター!D96</f>
        <v>42</v>
      </c>
      <c r="E97" s="6">
        <f>医療機関!E96+陽性者登録センター!E96</f>
        <v>102</v>
      </c>
      <c r="F97" s="6">
        <f>医療機関!F96+陽性者登録センター!F96</f>
        <v>80</v>
      </c>
      <c r="G97" s="6">
        <f>医療機関!G96+陽性者登録センター!G96</f>
        <v>115</v>
      </c>
      <c r="H97" s="6">
        <f>医療機関!H96+陽性者登録センター!H96</f>
        <v>120</v>
      </c>
      <c r="I97" s="6">
        <f>医療機関!I96+陽性者登録センター!I96</f>
        <v>76</v>
      </c>
      <c r="J97" s="6">
        <f>医療機関!J96+陽性者登録センター!J96</f>
        <v>44</v>
      </c>
      <c r="K97" s="6">
        <f>医療機関!K96+陽性者登録センター!K96</f>
        <v>43</v>
      </c>
      <c r="L97" s="6">
        <f>医療機関!L96+陽性者登録センター!L96</f>
        <v>56</v>
      </c>
      <c r="M97" s="6">
        <f>医療機関!M96+陽性者登録センター!M96</f>
        <v>41</v>
      </c>
      <c r="N97" s="6">
        <f>医療機関!N96+陽性者登録センター!N96</f>
        <v>26</v>
      </c>
      <c r="O97" s="6">
        <f>医療機関!O96+陽性者登録センター!O96</f>
        <v>0</v>
      </c>
      <c r="P97" s="8">
        <f t="shared" si="2"/>
        <v>777</v>
      </c>
      <c r="Q97" s="8">
        <f t="shared" si="3"/>
        <v>177192</v>
      </c>
    </row>
    <row r="98" spans="1:17" ht="20" customHeight="1">
      <c r="A98" s="4">
        <v>44925</v>
      </c>
      <c r="B98" s="6">
        <f>医療機関!B97+陽性者登録センター!B97</f>
        <v>6</v>
      </c>
      <c r="C98" s="6">
        <f>医療機関!C97+陽性者登録センター!C97</f>
        <v>30</v>
      </c>
      <c r="D98" s="6">
        <f>医療機関!D97+陽性者登録センター!D97</f>
        <v>43</v>
      </c>
      <c r="E98" s="6">
        <f>医療機関!E97+陽性者登録センター!E97</f>
        <v>96</v>
      </c>
      <c r="F98" s="6">
        <f>医療機関!F97+陽性者登録センター!F97</f>
        <v>91</v>
      </c>
      <c r="G98" s="6">
        <f>医療機関!G97+陽性者登録センター!G97</f>
        <v>94</v>
      </c>
      <c r="H98" s="6">
        <f>医療機関!H97+陽性者登録センター!H97</f>
        <v>118</v>
      </c>
      <c r="I98" s="6">
        <f>医療機関!I97+陽性者登録センター!I97</f>
        <v>99</v>
      </c>
      <c r="J98" s="6">
        <f>医療機関!J97+陽性者登録センター!J97</f>
        <v>30</v>
      </c>
      <c r="K98" s="6">
        <f>医療機関!K97+陽性者登録センター!K97</f>
        <v>40</v>
      </c>
      <c r="L98" s="6">
        <f>医療機関!L97+陽性者登録センター!L97</f>
        <v>69</v>
      </c>
      <c r="M98" s="6">
        <f>医療機関!M97+陽性者登録センター!M97</f>
        <v>63</v>
      </c>
      <c r="N98" s="6">
        <f>医療機関!N97+陽性者登録センター!N97</f>
        <v>33</v>
      </c>
      <c r="O98" s="6">
        <f>医療機関!O97+陽性者登録センター!O97</f>
        <v>0</v>
      </c>
      <c r="P98" s="8">
        <f t="shared" si="2"/>
        <v>812</v>
      </c>
      <c r="Q98" s="8">
        <f t="shared" si="3"/>
        <v>178004</v>
      </c>
    </row>
    <row r="99" spans="1:17" ht="20" customHeight="1">
      <c r="A99" s="4">
        <v>44926</v>
      </c>
      <c r="B99" s="6">
        <f>医療機関!B98+陽性者登録センター!B98</f>
        <v>3</v>
      </c>
      <c r="C99" s="6">
        <f>医療機関!C98+陽性者登録センター!C98</f>
        <v>18</v>
      </c>
      <c r="D99" s="6">
        <f>医療機関!D98+陽性者登録センター!D98</f>
        <v>34</v>
      </c>
      <c r="E99" s="6">
        <f>医療機関!E98+陽性者登録センター!E98</f>
        <v>58</v>
      </c>
      <c r="F99" s="6">
        <f>医療機関!F98+陽性者登録センター!F98</f>
        <v>59</v>
      </c>
      <c r="G99" s="6">
        <f>医療機関!G98+陽性者登録センター!G98</f>
        <v>60</v>
      </c>
      <c r="H99" s="6">
        <f>医療機関!H98+陽性者登録センター!H98</f>
        <v>92</v>
      </c>
      <c r="I99" s="6">
        <f>医療機関!I98+陽性者登録センター!I98</f>
        <v>51</v>
      </c>
      <c r="J99" s="6">
        <f>医療機関!J98+陽性者登録センター!J98</f>
        <v>19</v>
      </c>
      <c r="K99" s="6">
        <f>医療機関!K98+陽性者登録センター!K98</f>
        <v>20</v>
      </c>
      <c r="L99" s="6">
        <f>医療機関!L98+陽性者登録センター!L98</f>
        <v>36</v>
      </c>
      <c r="M99" s="6">
        <f>医療機関!M98+陽性者登録センター!M98</f>
        <v>31</v>
      </c>
      <c r="N99" s="6">
        <f>医療機関!N98+陽性者登録センター!N98</f>
        <v>17</v>
      </c>
      <c r="O99" s="6">
        <f>医療機関!O98+陽性者登録センター!O98</f>
        <v>0</v>
      </c>
      <c r="P99" s="8">
        <f t="shared" si="2"/>
        <v>498</v>
      </c>
      <c r="Q99" s="8">
        <f t="shared" si="3"/>
        <v>178502</v>
      </c>
    </row>
    <row r="100" spans="1:17" ht="20" customHeight="1">
      <c r="A100" s="4">
        <v>44927</v>
      </c>
      <c r="B100" s="6">
        <f>医療機関!B99+陽性者登録センター!B99</f>
        <v>3</v>
      </c>
      <c r="C100" s="6">
        <f>医療機関!C99+陽性者登録センター!C99</f>
        <v>12</v>
      </c>
      <c r="D100" s="6">
        <f>医療機関!D99+陽性者登録センター!D99</f>
        <v>18</v>
      </c>
      <c r="E100" s="6">
        <f>医療機関!E99+陽性者登録センター!E99</f>
        <v>43</v>
      </c>
      <c r="F100" s="6">
        <f>医療機関!F99+陽性者登録センター!F99</f>
        <v>45</v>
      </c>
      <c r="G100" s="6">
        <f>医療機関!G99+陽性者登録センター!G99</f>
        <v>71</v>
      </c>
      <c r="H100" s="6">
        <f>医療機関!H99+陽性者登録センター!H99</f>
        <v>57</v>
      </c>
      <c r="I100" s="6">
        <f>医療機関!I99+陽性者登録センター!I99</f>
        <v>50</v>
      </c>
      <c r="J100" s="6">
        <f>医療機関!J99+陽性者登録センター!J99</f>
        <v>20</v>
      </c>
      <c r="K100" s="6">
        <f>医療機関!K99+陽性者登録センター!K99</f>
        <v>32</v>
      </c>
      <c r="L100" s="6">
        <f>医療機関!L99+陽性者登録センター!L99</f>
        <v>27</v>
      </c>
      <c r="M100" s="6">
        <f>医療機関!M99+陽性者登録センター!M99</f>
        <v>20</v>
      </c>
      <c r="N100" s="6">
        <f>医療機関!N99+陽性者登録センター!N99</f>
        <v>14</v>
      </c>
      <c r="O100" s="6">
        <f>医療機関!O99+陽性者登録センター!O99</f>
        <v>0</v>
      </c>
      <c r="P100" s="8">
        <f t="shared" si="2"/>
        <v>412</v>
      </c>
      <c r="Q100" s="8">
        <f t="shared" si="3"/>
        <v>178914</v>
      </c>
    </row>
    <row r="101" spans="1:17" ht="20" customHeight="1">
      <c r="A101" s="4">
        <v>44928</v>
      </c>
      <c r="B101" s="6">
        <f>医療機関!B100+陽性者登録センター!B100</f>
        <v>1</v>
      </c>
      <c r="C101" s="6">
        <f>医療機関!C100+陽性者登録センター!C100</f>
        <v>2</v>
      </c>
      <c r="D101" s="6">
        <f>医療機関!D100+陽性者登録センター!D100</f>
        <v>11</v>
      </c>
      <c r="E101" s="6">
        <f>医療機関!E100+陽性者登録センター!E100</f>
        <v>28</v>
      </c>
      <c r="F101" s="6">
        <f>医療機関!F100+陽性者登録センター!F100</f>
        <v>45</v>
      </c>
      <c r="G101" s="6">
        <f>医療機関!G100+陽性者登録センター!G100</f>
        <v>55</v>
      </c>
      <c r="H101" s="6">
        <f>医療機関!H100+陽性者登録センター!H100</f>
        <v>60</v>
      </c>
      <c r="I101" s="6">
        <f>医療機関!I100+陽性者登録センター!I100</f>
        <v>45</v>
      </c>
      <c r="J101" s="6">
        <f>医療機関!J100+陽性者登録センター!J100</f>
        <v>20</v>
      </c>
      <c r="K101" s="6">
        <f>医療機関!K100+陽性者登録センター!K100</f>
        <v>10</v>
      </c>
      <c r="L101" s="6">
        <f>医療機関!L100+陽性者登録センター!L100</f>
        <v>27</v>
      </c>
      <c r="M101" s="6">
        <f>医療機関!M100+陽性者登録センター!M100</f>
        <v>28</v>
      </c>
      <c r="N101" s="6">
        <f>医療機関!N100+陽性者登録センター!N100</f>
        <v>12</v>
      </c>
      <c r="O101" s="6">
        <f>医療機関!O100+陽性者登録センター!O100</f>
        <v>0</v>
      </c>
      <c r="P101" s="8">
        <f t="shared" si="2"/>
        <v>344</v>
      </c>
      <c r="Q101" s="8">
        <f t="shared" si="3"/>
        <v>179258</v>
      </c>
    </row>
    <row r="102" spans="1:17" ht="20" customHeight="1">
      <c r="A102" s="4">
        <v>44929</v>
      </c>
      <c r="B102" s="6">
        <f>医療機関!B101+陽性者登録センター!B101</f>
        <v>1</v>
      </c>
      <c r="C102" s="6">
        <f>医療機関!C101+陽性者登録センター!C101</f>
        <v>10</v>
      </c>
      <c r="D102" s="6">
        <f>医療機関!D101+陽性者登録センター!D101</f>
        <v>11</v>
      </c>
      <c r="E102" s="6">
        <f>医療機関!E101+陽性者登録センター!E101</f>
        <v>47</v>
      </c>
      <c r="F102" s="6">
        <f>医療機関!F101+陽性者登録センター!F101</f>
        <v>77</v>
      </c>
      <c r="G102" s="6">
        <f>医療機関!G101+陽性者登録センター!G101</f>
        <v>95</v>
      </c>
      <c r="H102" s="6">
        <f>医療機関!H101+陽性者登録センター!H101</f>
        <v>78</v>
      </c>
      <c r="I102" s="6">
        <f>医療機関!I101+陽性者登録センター!I101</f>
        <v>54</v>
      </c>
      <c r="J102" s="6">
        <f>医療機関!J101+陽性者登録センター!J101</f>
        <v>36</v>
      </c>
      <c r="K102" s="6">
        <f>医療機関!K101+陽性者登録センター!K101</f>
        <v>28</v>
      </c>
      <c r="L102" s="6">
        <f>医療機関!L101+陽性者登録センター!L101</f>
        <v>36</v>
      </c>
      <c r="M102" s="6">
        <f>医療機関!M101+陽性者登録センター!M101</f>
        <v>27</v>
      </c>
      <c r="N102" s="6">
        <f>医療機関!N101+陽性者登録センター!N101</f>
        <v>7</v>
      </c>
      <c r="O102" s="6">
        <f>医療機関!O101+陽性者登録センター!O101</f>
        <v>0</v>
      </c>
      <c r="P102" s="8">
        <f t="shared" si="2"/>
        <v>507</v>
      </c>
      <c r="Q102" s="8">
        <f t="shared" si="3"/>
        <v>179765</v>
      </c>
    </row>
    <row r="103" spans="1:17" ht="20" customHeight="1">
      <c r="A103" s="4">
        <v>44930</v>
      </c>
      <c r="B103" s="6">
        <f>医療機関!B102+陽性者登録センター!B102</f>
        <v>2</v>
      </c>
      <c r="C103" s="6">
        <f>医療機関!C102+陽性者登録センター!C102</f>
        <v>4</v>
      </c>
      <c r="D103" s="6">
        <f>医療機関!D102+陽性者登録センター!D102</f>
        <v>13</v>
      </c>
      <c r="E103" s="6">
        <f>医療機関!E102+陽性者登録センター!E102</f>
        <v>36</v>
      </c>
      <c r="F103" s="6">
        <f>医療機関!F102+陽性者登録センター!F102</f>
        <v>99</v>
      </c>
      <c r="G103" s="6">
        <f>医療機関!G102+陽性者登録センター!G102</f>
        <v>81</v>
      </c>
      <c r="H103" s="6">
        <f>医療機関!H102+陽性者登録センター!H102</f>
        <v>110</v>
      </c>
      <c r="I103" s="6">
        <f>医療機関!I102+陽性者登録センター!I102</f>
        <v>55</v>
      </c>
      <c r="J103" s="6">
        <f>医療機関!J102+陽性者登録センター!J102</f>
        <v>16</v>
      </c>
      <c r="K103" s="6">
        <f>医療機関!K102+陽性者登録センター!K102</f>
        <v>15</v>
      </c>
      <c r="L103" s="6">
        <f>医療機関!L102+陽性者登録センター!L102</f>
        <v>29</v>
      </c>
      <c r="M103" s="6">
        <f>医療機関!M102+陽性者登録センター!M102</f>
        <v>22</v>
      </c>
      <c r="N103" s="6">
        <f>医療機関!N102+陽性者登録センター!N102</f>
        <v>17</v>
      </c>
      <c r="O103" s="6">
        <f>医療機関!O102+陽性者登録センター!O102</f>
        <v>0</v>
      </c>
      <c r="P103" s="8">
        <f t="shared" si="2"/>
        <v>499</v>
      </c>
      <c r="Q103" s="8">
        <f t="shared" si="3"/>
        <v>180264</v>
      </c>
    </row>
    <row r="104" spans="1:17" ht="20" customHeight="1">
      <c r="A104" s="4">
        <v>44931</v>
      </c>
      <c r="B104" s="6">
        <f>医療機関!B103+陽性者登録センター!B103</f>
        <v>12</v>
      </c>
      <c r="C104" s="6">
        <f>医療機関!C103+陽性者登録センター!C103</f>
        <v>56</v>
      </c>
      <c r="D104" s="6">
        <f>医療機関!D103+陽性者登録センター!D103</f>
        <v>42</v>
      </c>
      <c r="E104" s="6">
        <f>医療機関!E103+陽性者登録センター!E103</f>
        <v>92</v>
      </c>
      <c r="F104" s="6">
        <f>医療機関!F103+陽性者登録センター!F103</f>
        <v>217</v>
      </c>
      <c r="G104" s="6">
        <f>医療機関!G103+陽性者登録センター!G103</f>
        <v>172</v>
      </c>
      <c r="H104" s="6">
        <f>医療機関!H103+陽性者登録センター!H103</f>
        <v>168</v>
      </c>
      <c r="I104" s="6">
        <f>医療機関!I103+陽性者登録センター!I103</f>
        <v>151</v>
      </c>
      <c r="J104" s="6">
        <f>医療機関!J103+陽性者登録センター!J103</f>
        <v>79</v>
      </c>
      <c r="K104" s="6">
        <f>医療機関!K103+陽性者登録センター!K103</f>
        <v>75</v>
      </c>
      <c r="L104" s="6">
        <f>医療機関!L103+陽性者登録センター!L103</f>
        <v>106</v>
      </c>
      <c r="M104" s="6">
        <f>医療機関!M103+陽性者登録センター!M103</f>
        <v>91</v>
      </c>
      <c r="N104" s="6">
        <f>医療機関!N103+陽性者登録センター!N103</f>
        <v>61</v>
      </c>
      <c r="O104" s="6">
        <f>医療機関!O103+陽性者登録センター!O103</f>
        <v>0</v>
      </c>
      <c r="P104" s="8">
        <f t="shared" si="2"/>
        <v>1322</v>
      </c>
      <c r="Q104" s="8">
        <f t="shared" si="3"/>
        <v>181586</v>
      </c>
    </row>
    <row r="105" spans="1:17" ht="20" customHeight="1">
      <c r="A105" s="4">
        <v>44932</v>
      </c>
      <c r="B105" s="6">
        <f>医療機関!B104+陽性者登録センター!B104</f>
        <v>6</v>
      </c>
      <c r="C105" s="6">
        <f>医療機関!C104+陽性者登録センター!C104</f>
        <v>36</v>
      </c>
      <c r="D105" s="6">
        <f>医療機関!D104+陽性者登録センター!D104</f>
        <v>42</v>
      </c>
      <c r="E105" s="6">
        <f>医療機関!E104+陽性者登録センター!E104</f>
        <v>82</v>
      </c>
      <c r="F105" s="6">
        <f>医療機関!F104+陽性者登録センター!F104</f>
        <v>174</v>
      </c>
      <c r="G105" s="6">
        <f>医療機関!G104+陽性者登録センター!G104</f>
        <v>154</v>
      </c>
      <c r="H105" s="6">
        <f>医療機関!H104+陽性者登録センター!H104</f>
        <v>169</v>
      </c>
      <c r="I105" s="6">
        <f>医療機関!I104+陽性者登録センター!I104</f>
        <v>143</v>
      </c>
      <c r="J105" s="6">
        <f>医療機関!J104+陽性者登録センター!J104</f>
        <v>63</v>
      </c>
      <c r="K105" s="6">
        <f>医療機関!K104+陽性者登録センター!K104</f>
        <v>44</v>
      </c>
      <c r="L105" s="6">
        <f>医療機関!L104+陽性者登録センター!L104</f>
        <v>89</v>
      </c>
      <c r="M105" s="6">
        <f>医療機関!M104+陽性者登録センター!M104</f>
        <v>79</v>
      </c>
      <c r="N105" s="6">
        <f>医療機関!N104+陽性者登録センター!N104</f>
        <v>33</v>
      </c>
      <c r="O105" s="6">
        <f>医療機関!O104+陽性者登録センター!O104</f>
        <v>0</v>
      </c>
      <c r="P105" s="8">
        <f t="shared" si="2"/>
        <v>1114</v>
      </c>
      <c r="Q105" s="8">
        <f t="shared" si="3"/>
        <v>182700</v>
      </c>
    </row>
    <row r="106" spans="1:17" ht="20" customHeight="1">
      <c r="A106" s="4">
        <v>44933</v>
      </c>
      <c r="B106" s="6">
        <f>医療機関!B105+陽性者登録センター!B105</f>
        <v>6</v>
      </c>
      <c r="C106" s="6">
        <f>医療機関!C105+陽性者登録センター!C105</f>
        <v>17</v>
      </c>
      <c r="D106" s="6">
        <f>医療機関!D105+陽性者登録センター!D105</f>
        <v>21</v>
      </c>
      <c r="E106" s="6">
        <f>医療機関!E105+陽性者登録センター!E105</f>
        <v>71</v>
      </c>
      <c r="F106" s="6">
        <f>医療機関!F105+陽性者登録センター!F105</f>
        <v>181</v>
      </c>
      <c r="G106" s="6">
        <f>医療機関!G105+陽性者登録センター!G105</f>
        <v>120</v>
      </c>
      <c r="H106" s="6">
        <f>医療機関!H105+陽性者登録センター!H105</f>
        <v>141</v>
      </c>
      <c r="I106" s="6">
        <f>医療機関!I105+陽性者登録センター!I105</f>
        <v>127</v>
      </c>
      <c r="J106" s="6">
        <f>医療機関!J105+陽性者登録センター!J105</f>
        <v>60</v>
      </c>
      <c r="K106" s="6">
        <f>医療機関!K105+陽性者登録センター!K105</f>
        <v>55</v>
      </c>
      <c r="L106" s="6">
        <f>医療機関!L105+陽性者登録センター!L105</f>
        <v>76</v>
      </c>
      <c r="M106" s="6">
        <f>医療機関!M105+陽性者登録センター!M105</f>
        <v>61</v>
      </c>
      <c r="N106" s="6">
        <f>医療機関!N105+陽性者登録センター!N105</f>
        <v>28</v>
      </c>
      <c r="O106" s="6">
        <f>医療機関!O105+陽性者登録センター!O105</f>
        <v>0</v>
      </c>
      <c r="P106" s="8">
        <f t="shared" si="2"/>
        <v>964</v>
      </c>
      <c r="Q106" s="8">
        <f t="shared" si="3"/>
        <v>183664</v>
      </c>
    </row>
    <row r="107" spans="1:17" ht="20" customHeight="1">
      <c r="A107" s="4">
        <v>44934</v>
      </c>
      <c r="B107" s="6">
        <f>医療機関!B106+陽性者登録センター!B106</f>
        <v>4</v>
      </c>
      <c r="C107" s="6">
        <f>医療機関!C106+陽性者登録センター!C106</f>
        <v>12</v>
      </c>
      <c r="D107" s="6">
        <f>医療機関!D106+陽性者登録センター!D106</f>
        <v>22</v>
      </c>
      <c r="E107" s="6">
        <f>医療機関!E106+陽性者登録センター!E106</f>
        <v>47</v>
      </c>
      <c r="F107" s="6">
        <f>医療機関!F106+陽性者登録センター!F106</f>
        <v>144</v>
      </c>
      <c r="G107" s="6">
        <f>医療機関!G106+陽性者登録センター!G106</f>
        <v>81</v>
      </c>
      <c r="H107" s="6">
        <f>医療機関!H106+陽性者登録センター!H106</f>
        <v>108</v>
      </c>
      <c r="I107" s="6">
        <f>医療機関!I106+陽性者登録センター!I106</f>
        <v>104</v>
      </c>
      <c r="J107" s="6">
        <f>医療機関!J106+陽性者登録センター!J106</f>
        <v>32</v>
      </c>
      <c r="K107" s="6">
        <f>医療機関!K106+陽性者登録センター!K106</f>
        <v>20</v>
      </c>
      <c r="L107" s="6">
        <f>医療機関!L106+陽性者登録センター!L106</f>
        <v>41</v>
      </c>
      <c r="M107" s="6">
        <f>医療機関!M106+陽性者登録センター!M106</f>
        <v>38</v>
      </c>
      <c r="N107" s="6">
        <f>医療機関!N106+陽性者登録センター!N106</f>
        <v>13</v>
      </c>
      <c r="O107" s="6">
        <f>医療機関!O106+陽性者登録センター!O106</f>
        <v>0</v>
      </c>
      <c r="P107" s="8">
        <f t="shared" si="2"/>
        <v>666</v>
      </c>
      <c r="Q107" s="8">
        <f t="shared" si="3"/>
        <v>184330</v>
      </c>
    </row>
    <row r="108" spans="1:17" ht="20" customHeight="1">
      <c r="A108" s="4">
        <v>44935</v>
      </c>
      <c r="B108" s="6">
        <f>医療機関!B107+陽性者登録センター!B107</f>
        <v>8</v>
      </c>
      <c r="C108" s="6">
        <f>医療機関!C107+陽性者登録センター!C107</f>
        <v>13</v>
      </c>
      <c r="D108" s="6">
        <f>医療機関!D107+陽性者登録センター!D107</f>
        <v>13</v>
      </c>
      <c r="E108" s="6">
        <f>医療機関!E107+陽性者登録センター!E107</f>
        <v>34</v>
      </c>
      <c r="F108" s="6">
        <f>医療機関!F107+陽性者登録センター!F107</f>
        <v>65</v>
      </c>
      <c r="G108" s="6">
        <f>医療機関!G107+陽性者登録センター!G107</f>
        <v>45</v>
      </c>
      <c r="H108" s="6">
        <f>医療機関!H107+陽性者登録センター!H107</f>
        <v>65</v>
      </c>
      <c r="I108" s="6">
        <f>医療機関!I107+陽性者登録センター!I107</f>
        <v>38</v>
      </c>
      <c r="J108" s="6">
        <f>医療機関!J107+陽性者登録センター!J107</f>
        <v>20</v>
      </c>
      <c r="K108" s="6">
        <f>医療機関!K107+陽性者登録センター!K107</f>
        <v>11</v>
      </c>
      <c r="L108" s="6">
        <f>医療機関!L107+陽性者登録センター!L107</f>
        <v>6</v>
      </c>
      <c r="M108" s="6">
        <f>医療機関!M107+陽性者登録センター!M107</f>
        <v>13</v>
      </c>
      <c r="N108" s="6">
        <f>医療機関!N107+陽性者登録センター!N107</f>
        <v>16</v>
      </c>
      <c r="O108" s="6">
        <f>医療機関!O107+陽性者登録センター!O107</f>
        <v>0</v>
      </c>
      <c r="P108" s="8">
        <f t="shared" si="2"/>
        <v>347</v>
      </c>
      <c r="Q108" s="8">
        <f t="shared" si="3"/>
        <v>184677</v>
      </c>
    </row>
    <row r="109" spans="1:17" ht="20" customHeight="1">
      <c r="A109" s="4">
        <v>44936</v>
      </c>
      <c r="B109" s="6">
        <f>医療機関!B108+陽性者登録センター!B108</f>
        <v>0</v>
      </c>
      <c r="C109" s="6">
        <f>医療機関!C108+陽性者登録センター!C108</f>
        <v>3</v>
      </c>
      <c r="D109" s="6">
        <f>医療機関!D108+陽性者登録センター!D108</f>
        <v>9</v>
      </c>
      <c r="E109" s="6">
        <f>医療機関!E108+陽性者登録センター!E108</f>
        <v>31</v>
      </c>
      <c r="F109" s="6">
        <f>医療機関!F108+陽性者登録センター!F108</f>
        <v>67</v>
      </c>
      <c r="G109" s="6">
        <f>医療機関!G108+陽性者登録センター!G108</f>
        <v>43</v>
      </c>
      <c r="H109" s="6">
        <f>医療機関!H108+陽性者登録センター!H108</f>
        <v>58</v>
      </c>
      <c r="I109" s="6">
        <f>医療機関!I108+陽性者登録センター!I108</f>
        <v>46</v>
      </c>
      <c r="J109" s="6">
        <f>医療機関!J108+陽性者登録センター!J108</f>
        <v>17</v>
      </c>
      <c r="K109" s="6">
        <f>医療機関!K108+陽性者登録センター!K108</f>
        <v>5</v>
      </c>
      <c r="L109" s="6">
        <f>医療機関!L108+陽性者登録センター!L108</f>
        <v>6</v>
      </c>
      <c r="M109" s="6">
        <f>医療機関!M108+陽性者登録センター!M108</f>
        <v>10</v>
      </c>
      <c r="N109" s="6">
        <f>医療機関!N108+陽性者登録センター!N108</f>
        <v>15</v>
      </c>
      <c r="O109" s="6">
        <f>医療機関!O108+陽性者登録センター!O108</f>
        <v>0</v>
      </c>
      <c r="P109" s="8">
        <f t="shared" si="2"/>
        <v>310</v>
      </c>
      <c r="Q109" s="8">
        <f t="shared" si="3"/>
        <v>184987</v>
      </c>
    </row>
    <row r="110" spans="1:17" ht="20" customHeight="1">
      <c r="A110" s="4">
        <v>44937</v>
      </c>
      <c r="B110" s="6">
        <f>医療機関!B109+陽性者登録センター!B109</f>
        <v>17</v>
      </c>
      <c r="C110" s="6">
        <f>医療機関!C109+陽性者登録センター!C109</f>
        <v>39</v>
      </c>
      <c r="D110" s="6">
        <f>医療機関!D109+陽性者登録センター!D109</f>
        <v>31</v>
      </c>
      <c r="E110" s="6">
        <f>医療機関!E109+陽性者登録センター!E109</f>
        <v>84</v>
      </c>
      <c r="F110" s="6">
        <f>医療機関!F109+陽性者登録センター!F109</f>
        <v>158</v>
      </c>
      <c r="G110" s="6">
        <f>医療機関!G109+陽性者登録センター!G109</f>
        <v>132</v>
      </c>
      <c r="H110" s="6">
        <f>医療機関!H109+陽性者登録センター!H109</f>
        <v>164</v>
      </c>
      <c r="I110" s="6">
        <f>医療機関!I109+陽性者登録センター!I109</f>
        <v>174</v>
      </c>
      <c r="J110" s="6">
        <f>医療機関!J109+陽性者登録センター!J109</f>
        <v>81</v>
      </c>
      <c r="K110" s="6">
        <f>医療機関!K109+陽性者登録センター!K109</f>
        <v>76</v>
      </c>
      <c r="L110" s="6">
        <f>医療機関!L109+陽性者登録センター!L109</f>
        <v>98</v>
      </c>
      <c r="M110" s="6">
        <f>医療機関!M109+陽性者登録センター!M109</f>
        <v>92</v>
      </c>
      <c r="N110" s="6">
        <f>医療機関!N109+陽性者登録センター!N109</f>
        <v>56</v>
      </c>
      <c r="O110" s="6">
        <f>医療機関!O109+陽性者登録センター!O109</f>
        <v>0</v>
      </c>
      <c r="P110" s="8">
        <f t="shared" si="2"/>
        <v>1202</v>
      </c>
      <c r="Q110" s="8">
        <f t="shared" si="3"/>
        <v>186189</v>
      </c>
    </row>
    <row r="111" spans="1:17" ht="20" customHeight="1">
      <c r="A111" s="4">
        <v>44938</v>
      </c>
      <c r="B111" s="6">
        <f>医療機関!B110+陽性者登録センター!B110</f>
        <v>7</v>
      </c>
      <c r="C111" s="6">
        <f>医療機関!C110+陽性者登録センター!C110</f>
        <v>12</v>
      </c>
      <c r="D111" s="6">
        <f>医療機関!D110+陽性者登録センター!D110</f>
        <v>26</v>
      </c>
      <c r="E111" s="6">
        <f>医療機関!E110+陽性者登録センター!E110</f>
        <v>56</v>
      </c>
      <c r="F111" s="6">
        <f>医療機関!F110+陽性者登録センター!F110</f>
        <v>101</v>
      </c>
      <c r="G111" s="6">
        <f>医療機関!G110+陽性者登録センター!G110</f>
        <v>97</v>
      </c>
      <c r="H111" s="6">
        <f>医療機関!H110+陽性者登録センター!H110</f>
        <v>87</v>
      </c>
      <c r="I111" s="6">
        <f>医療機関!I110+陽性者登録センター!I110</f>
        <v>94</v>
      </c>
      <c r="J111" s="6">
        <f>医療機関!J110+陽性者登録センター!J110</f>
        <v>43</v>
      </c>
      <c r="K111" s="6">
        <f>医療機関!K110+陽性者登録センター!K110</f>
        <v>25</v>
      </c>
      <c r="L111" s="6">
        <f>医療機関!L110+陽性者登録センター!L110</f>
        <v>46</v>
      </c>
      <c r="M111" s="6">
        <f>医療機関!M110+陽性者登録センター!M110</f>
        <v>23</v>
      </c>
      <c r="N111" s="6">
        <f>医療機関!N110+陽性者登録センター!N110</f>
        <v>23</v>
      </c>
      <c r="O111" s="6">
        <f>医療機関!O110+陽性者登録センター!O110</f>
        <v>0</v>
      </c>
      <c r="P111" s="8">
        <f t="shared" si="2"/>
        <v>640</v>
      </c>
      <c r="Q111" s="8">
        <f t="shared" si="3"/>
        <v>186829</v>
      </c>
    </row>
    <row r="112" spans="1:17" ht="20" customHeight="1">
      <c r="A112" s="4">
        <v>44939</v>
      </c>
      <c r="B112" s="6">
        <f>医療機関!B111+陽性者登録センター!B111</f>
        <v>3</v>
      </c>
      <c r="C112" s="6">
        <f>医療機関!C111+陽性者登録センター!C111</f>
        <v>17</v>
      </c>
      <c r="D112" s="6">
        <f>医療機関!D111+陽性者登録センター!D111</f>
        <v>19</v>
      </c>
      <c r="E112" s="6">
        <f>医療機関!E111+陽性者登録センター!E111</f>
        <v>59</v>
      </c>
      <c r="F112" s="6">
        <f>医療機関!F111+陽性者登録センター!F111</f>
        <v>106</v>
      </c>
      <c r="G112" s="6">
        <f>医療機関!G111+陽性者登録センター!G111</f>
        <v>68</v>
      </c>
      <c r="H112" s="6">
        <f>医療機関!H111+陽性者登録センター!H111</f>
        <v>94</v>
      </c>
      <c r="I112" s="6">
        <f>医療機関!I111+陽性者登録センター!I111</f>
        <v>93</v>
      </c>
      <c r="J112" s="6">
        <f>医療機関!J111+陽性者登録センター!J111</f>
        <v>39</v>
      </c>
      <c r="K112" s="6">
        <f>医療機関!K111+陽性者登録センター!K111</f>
        <v>28</v>
      </c>
      <c r="L112" s="6">
        <f>医療機関!L111+陽性者登録センター!L111</f>
        <v>50</v>
      </c>
      <c r="M112" s="6">
        <f>医療機関!M111+陽性者登録センター!M111</f>
        <v>47</v>
      </c>
      <c r="N112" s="6">
        <f>医療機関!N111+陽性者登録センター!N111</f>
        <v>28</v>
      </c>
      <c r="O112" s="6">
        <f>医療機関!O111+陽性者登録センター!O111</f>
        <v>0</v>
      </c>
      <c r="P112" s="8">
        <f t="shared" si="2"/>
        <v>651</v>
      </c>
      <c r="Q112" s="8">
        <f t="shared" si="3"/>
        <v>187480</v>
      </c>
    </row>
    <row r="113" spans="1:17" ht="20" customHeight="1">
      <c r="A113" s="4">
        <v>44940</v>
      </c>
      <c r="B113" s="6">
        <f>医療機関!B112+陽性者登録センター!B112</f>
        <v>2</v>
      </c>
      <c r="C113" s="6">
        <f>医療機関!C112+陽性者登録センター!C112</f>
        <v>24</v>
      </c>
      <c r="D113" s="6">
        <f>医療機関!D112+陽性者登録センター!D112</f>
        <v>24</v>
      </c>
      <c r="E113" s="6">
        <f>医療機関!E112+陽性者登録センター!E112</f>
        <v>49</v>
      </c>
      <c r="F113" s="6">
        <f>医療機関!F112+陽性者登録センター!F112</f>
        <v>109</v>
      </c>
      <c r="G113" s="6">
        <f>医療機関!G112+陽性者登録センター!G112</f>
        <v>69</v>
      </c>
      <c r="H113" s="6">
        <f>医療機関!H112+陽性者登録センター!H112</f>
        <v>92</v>
      </c>
      <c r="I113" s="6">
        <f>医療機関!I112+陽性者登録センター!I112</f>
        <v>66</v>
      </c>
      <c r="J113" s="6">
        <f>医療機関!J112+陽性者登録センター!J112</f>
        <v>33</v>
      </c>
      <c r="K113" s="6">
        <f>医療機関!K112+陽性者登録センター!K112</f>
        <v>30</v>
      </c>
      <c r="L113" s="6">
        <f>医療機関!L112+陽性者登録センター!L112</f>
        <v>42</v>
      </c>
      <c r="M113" s="6">
        <f>医療機関!M112+陽性者登録センター!M112</f>
        <v>56</v>
      </c>
      <c r="N113" s="6">
        <f>医療機関!N112+陽性者登録センター!N112</f>
        <v>30</v>
      </c>
      <c r="O113" s="6">
        <f>医療機関!O112+陽性者登録センター!O112</f>
        <v>0</v>
      </c>
      <c r="P113" s="8">
        <f t="shared" si="2"/>
        <v>626</v>
      </c>
      <c r="Q113" s="8">
        <f t="shared" si="3"/>
        <v>188106</v>
      </c>
    </row>
    <row r="114" spans="1:17" ht="20" customHeight="1">
      <c r="A114" s="4">
        <v>44941</v>
      </c>
      <c r="B114" s="6">
        <f>医療機関!B113+陽性者登録センター!B113</f>
        <v>3</v>
      </c>
      <c r="C114" s="6">
        <f>医療機関!C113+陽性者登録センター!C113</f>
        <v>18</v>
      </c>
      <c r="D114" s="6">
        <f>医療機関!D113+陽性者登録センター!D113</f>
        <v>21</v>
      </c>
      <c r="E114" s="6">
        <f>医療機関!E113+陽性者登録センター!E113</f>
        <v>35</v>
      </c>
      <c r="F114" s="6">
        <f>医療機関!F113+陽性者登録センター!F113</f>
        <v>53</v>
      </c>
      <c r="G114" s="6">
        <f>医療機関!G113+陽性者登録センター!G113</f>
        <v>63</v>
      </c>
      <c r="H114" s="6">
        <f>医療機関!H113+陽性者登録センター!H113</f>
        <v>48</v>
      </c>
      <c r="I114" s="6">
        <f>医療機関!I113+陽性者登録センター!I113</f>
        <v>45</v>
      </c>
      <c r="J114" s="6">
        <f>医療機関!J113+陽性者登録センター!J113</f>
        <v>31</v>
      </c>
      <c r="K114" s="6">
        <f>医療機関!K113+陽性者登録センター!K113</f>
        <v>20</v>
      </c>
      <c r="L114" s="6">
        <f>医療機関!L113+陽性者登録センター!L113</f>
        <v>29</v>
      </c>
      <c r="M114" s="6">
        <f>医療機関!M113+陽性者登録センター!M113</f>
        <v>31</v>
      </c>
      <c r="N114" s="6">
        <f>医療機関!N113+陽性者登録センター!N113</f>
        <v>12</v>
      </c>
      <c r="O114" s="6">
        <f>医療機関!O113+陽性者登録センター!O113</f>
        <v>0</v>
      </c>
      <c r="P114" s="8">
        <f t="shared" si="2"/>
        <v>409</v>
      </c>
      <c r="Q114" s="8">
        <f t="shared" si="3"/>
        <v>188515</v>
      </c>
    </row>
    <row r="115" spans="1:17" ht="20" customHeight="1">
      <c r="A115" s="4">
        <v>44942</v>
      </c>
      <c r="B115" s="6">
        <f>医療機関!B114+陽性者登録センター!B114</f>
        <v>0</v>
      </c>
      <c r="C115" s="6">
        <f>医療機関!C114+陽性者登録センター!C114</f>
        <v>13</v>
      </c>
      <c r="D115" s="6">
        <f>医療機関!D114+陽性者登録センター!D114</f>
        <v>7</v>
      </c>
      <c r="E115" s="6">
        <f>医療機関!E114+陽性者登録センター!E114</f>
        <v>10</v>
      </c>
      <c r="F115" s="6">
        <f>医療機関!F114+陽性者登録センター!F114</f>
        <v>30</v>
      </c>
      <c r="G115" s="6">
        <f>医療機関!G114+陽性者登録センター!G114</f>
        <v>25</v>
      </c>
      <c r="H115" s="6">
        <f>医療機関!H114+陽性者登録センター!H114</f>
        <v>26</v>
      </c>
      <c r="I115" s="6">
        <f>医療機関!I114+陽性者登録センター!I114</f>
        <v>15</v>
      </c>
      <c r="J115" s="6">
        <f>医療機関!J114+陽性者登録センター!J114</f>
        <v>12</v>
      </c>
      <c r="K115" s="6">
        <f>医療機関!K114+陽性者登録センター!K114</f>
        <v>5</v>
      </c>
      <c r="L115" s="6">
        <f>医療機関!L114+陽性者登録センター!L114</f>
        <v>5</v>
      </c>
      <c r="M115" s="6">
        <f>医療機関!M114+陽性者登録センター!M114</f>
        <v>10</v>
      </c>
      <c r="N115" s="6">
        <f>医療機関!N114+陽性者登録センター!N114</f>
        <v>5</v>
      </c>
      <c r="O115" s="6">
        <f>医療機関!O114+陽性者登録センター!O114</f>
        <v>0</v>
      </c>
      <c r="P115" s="8">
        <f t="shared" si="2"/>
        <v>163</v>
      </c>
      <c r="Q115" s="8">
        <f t="shared" si="3"/>
        <v>188678</v>
      </c>
    </row>
    <row r="116" spans="1:17" ht="20" customHeight="1">
      <c r="A116" s="4">
        <v>44943</v>
      </c>
      <c r="B116" s="6">
        <f>医療機関!B115+陽性者登録センター!B115</f>
        <v>8</v>
      </c>
      <c r="C116" s="6">
        <f>医療機関!C115+陽性者登録センター!C115</f>
        <v>58</v>
      </c>
      <c r="D116" s="6">
        <f>医療機関!D115+陽性者登録センター!D115</f>
        <v>44</v>
      </c>
      <c r="E116" s="6">
        <f>医療機関!E115+陽性者登録センター!E115</f>
        <v>60</v>
      </c>
      <c r="F116" s="6">
        <f>医療機関!F115+陽性者登録センター!F115</f>
        <v>74</v>
      </c>
      <c r="G116" s="6">
        <f>医療機関!G115+陽性者登録センター!G115</f>
        <v>87</v>
      </c>
      <c r="H116" s="6">
        <f>医療機関!H115+陽性者登録センター!H115</f>
        <v>102</v>
      </c>
      <c r="I116" s="6">
        <f>医療機関!I115+陽性者登録センター!I115</f>
        <v>72</v>
      </c>
      <c r="J116" s="6">
        <f>医療機関!J115+陽性者登録センター!J115</f>
        <v>50</v>
      </c>
      <c r="K116" s="6">
        <f>医療機関!K115+陽性者登録センター!K115</f>
        <v>32</v>
      </c>
      <c r="L116" s="6">
        <f>医療機関!L115+陽性者登録センター!L115</f>
        <v>52</v>
      </c>
      <c r="M116" s="6">
        <f>医療機関!M115+陽性者登録センター!M115</f>
        <v>67</v>
      </c>
      <c r="N116" s="6">
        <f>医療機関!N115+陽性者登録センター!N115</f>
        <v>31</v>
      </c>
      <c r="O116" s="6">
        <f>医療機関!O115+陽性者登録センター!O115</f>
        <v>0</v>
      </c>
      <c r="P116" s="8">
        <f t="shared" si="2"/>
        <v>737</v>
      </c>
      <c r="Q116" s="8">
        <f t="shared" si="3"/>
        <v>189415</v>
      </c>
    </row>
    <row r="117" spans="1:17" ht="20" customHeight="1">
      <c r="A117" s="4">
        <v>44944</v>
      </c>
      <c r="B117" s="6">
        <f>医療機関!B116+陽性者登録センター!B116</f>
        <v>5</v>
      </c>
      <c r="C117" s="6">
        <f>医療機関!C116+陽性者登録センター!C116</f>
        <v>27</v>
      </c>
      <c r="D117" s="6">
        <f>医療機関!D116+陽性者登録センター!D116</f>
        <v>22</v>
      </c>
      <c r="E117" s="6">
        <f>医療機関!E116+陽性者登録センター!E116</f>
        <v>45</v>
      </c>
      <c r="F117" s="6">
        <f>医療機関!F116+陽性者登録センター!F116</f>
        <v>63</v>
      </c>
      <c r="G117" s="6">
        <f>医療機関!G116+陽性者登録センター!G116</f>
        <v>86</v>
      </c>
      <c r="H117" s="6">
        <f>医療機関!H116+陽性者登録センター!H116</f>
        <v>67</v>
      </c>
      <c r="I117" s="6">
        <f>医療機関!I116+陽性者登録センター!I116</f>
        <v>59</v>
      </c>
      <c r="J117" s="6">
        <f>医療機関!J116+陽性者登録センター!J116</f>
        <v>36</v>
      </c>
      <c r="K117" s="6">
        <f>医療機関!K116+陽性者登録センター!K116</f>
        <v>18</v>
      </c>
      <c r="L117" s="6">
        <f>医療機関!L116+陽性者登録センター!L116</f>
        <v>34</v>
      </c>
      <c r="M117" s="6">
        <f>医療機関!M116+陽性者登録センター!M116</f>
        <v>32</v>
      </c>
      <c r="N117" s="6">
        <f>医療機関!N116+陽性者登録センター!N116</f>
        <v>16</v>
      </c>
      <c r="O117" s="6">
        <f>医療機関!O116+陽性者登録センター!O116</f>
        <v>0</v>
      </c>
      <c r="P117" s="8">
        <f t="shared" si="2"/>
        <v>510</v>
      </c>
      <c r="Q117" s="8">
        <f t="shared" si="3"/>
        <v>189925</v>
      </c>
    </row>
    <row r="118" spans="1:17" ht="20" customHeight="1">
      <c r="A118" s="4">
        <v>44945</v>
      </c>
      <c r="B118" s="6">
        <f>医療機関!B117+陽性者登録センター!B117</f>
        <v>6</v>
      </c>
      <c r="C118" s="6">
        <f>医療機関!C117+陽性者登録センター!C117</f>
        <v>20</v>
      </c>
      <c r="D118" s="6">
        <f>医療機関!D117+陽性者登録センター!D117</f>
        <v>24</v>
      </c>
      <c r="E118" s="6">
        <f>医療機関!E117+陽性者登録センター!E117</f>
        <v>36</v>
      </c>
      <c r="F118" s="6">
        <f>医療機関!F117+陽性者登録センター!F117</f>
        <v>56</v>
      </c>
      <c r="G118" s="6">
        <f>医療機関!G117+陽性者登録センター!G117</f>
        <v>57</v>
      </c>
      <c r="H118" s="6">
        <f>医療機関!H117+陽性者登録センター!H117</f>
        <v>50</v>
      </c>
      <c r="I118" s="6">
        <f>医療機関!I117+陽性者登録センター!I117</f>
        <v>58</v>
      </c>
      <c r="J118" s="6">
        <f>医療機関!J117+陽性者登録センター!J117</f>
        <v>23</v>
      </c>
      <c r="K118" s="6">
        <f>医療機関!K117+陽性者登録センター!K117</f>
        <v>24</v>
      </c>
      <c r="L118" s="6">
        <f>医療機関!L117+陽性者登録センター!L117</f>
        <v>31</v>
      </c>
      <c r="M118" s="6">
        <f>医療機関!M117+陽性者登録センター!M117</f>
        <v>18</v>
      </c>
      <c r="N118" s="6">
        <f>医療機関!N117+陽性者登録センター!N117</f>
        <v>17</v>
      </c>
      <c r="O118" s="6">
        <f>医療機関!O117+陽性者登録センター!O117</f>
        <v>0</v>
      </c>
      <c r="P118" s="8">
        <f t="shared" si="2"/>
        <v>420</v>
      </c>
      <c r="Q118" s="8">
        <f t="shared" si="3"/>
        <v>190345</v>
      </c>
    </row>
    <row r="119" spans="1:17" ht="20" customHeight="1">
      <c r="A119" s="4">
        <v>44946</v>
      </c>
      <c r="B119" s="6">
        <f>医療機関!B118+陽性者登録センター!B118</f>
        <v>6</v>
      </c>
      <c r="C119" s="6">
        <f>医療機関!C118+陽性者登録センター!C118</f>
        <v>16</v>
      </c>
      <c r="D119" s="6">
        <f>医療機関!D118+陽性者登録センター!D118</f>
        <v>20</v>
      </c>
      <c r="E119" s="6">
        <f>医療機関!E118+陽性者登録センター!E118</f>
        <v>32</v>
      </c>
      <c r="F119" s="6">
        <f>医療機関!F118+陽性者登録センター!F118</f>
        <v>52</v>
      </c>
      <c r="G119" s="6">
        <f>医療機関!G118+陽性者登録センター!G118</f>
        <v>52</v>
      </c>
      <c r="H119" s="6">
        <f>医療機関!H118+陽性者登録センター!H118</f>
        <v>65</v>
      </c>
      <c r="I119" s="6">
        <f>医療機関!I118+陽性者登録センター!I118</f>
        <v>53</v>
      </c>
      <c r="J119" s="6">
        <f>医療機関!J118+陽性者登録センター!J118</f>
        <v>26</v>
      </c>
      <c r="K119" s="6">
        <f>医療機関!K118+陽性者登録センター!K118</f>
        <v>14</v>
      </c>
      <c r="L119" s="6">
        <f>医療機関!L118+陽性者登録センター!L118</f>
        <v>24</v>
      </c>
      <c r="M119" s="6">
        <f>医療機関!M118+陽性者登録センター!M118</f>
        <v>33</v>
      </c>
      <c r="N119" s="6">
        <f>医療機関!N118+陽性者登録センター!N118</f>
        <v>16</v>
      </c>
      <c r="O119" s="6">
        <f>医療機関!O118+陽性者登録センター!O118</f>
        <v>0</v>
      </c>
      <c r="P119" s="8">
        <f t="shared" si="2"/>
        <v>409</v>
      </c>
      <c r="Q119" s="8">
        <f t="shared" si="3"/>
        <v>190754</v>
      </c>
    </row>
    <row r="120" spans="1:17" ht="20" customHeight="1">
      <c r="A120" s="4">
        <v>44947</v>
      </c>
      <c r="B120" s="6">
        <f>医療機関!B119+陽性者登録センター!B119</f>
        <v>5</v>
      </c>
      <c r="C120" s="6">
        <f>医療機関!C119+陽性者登録センター!C119</f>
        <v>28</v>
      </c>
      <c r="D120" s="6">
        <f>医療機関!D119+陽性者登録センター!D119</f>
        <v>38</v>
      </c>
      <c r="E120" s="6">
        <f>医療機関!E119+陽性者登録センター!E119</f>
        <v>41</v>
      </c>
      <c r="F120" s="6">
        <f>医療機関!F119+陽性者登録センター!F119</f>
        <v>35</v>
      </c>
      <c r="G120" s="6">
        <f>医療機関!G119+陽性者登録センター!G119</f>
        <v>53</v>
      </c>
      <c r="H120" s="6">
        <f>医療機関!H119+陽性者登録センター!H119</f>
        <v>69</v>
      </c>
      <c r="I120" s="6">
        <f>医療機関!I119+陽性者登録センター!I119</f>
        <v>49</v>
      </c>
      <c r="J120" s="6">
        <f>医療機関!J119+陽性者登録センター!J119</f>
        <v>15</v>
      </c>
      <c r="K120" s="6">
        <f>医療機関!K119+陽性者登録センター!K119</f>
        <v>22</v>
      </c>
      <c r="L120" s="6">
        <f>医療機関!L119+陽性者登録センター!L119</f>
        <v>30</v>
      </c>
      <c r="M120" s="6">
        <f>医療機関!M119+陽性者登録センター!M119</f>
        <v>35</v>
      </c>
      <c r="N120" s="6">
        <f>医療機関!N119+陽性者登録センター!N119</f>
        <v>31</v>
      </c>
      <c r="O120" s="6">
        <f>医療機関!O119+陽性者登録センター!O119</f>
        <v>0</v>
      </c>
      <c r="P120" s="8">
        <f t="shared" si="2"/>
        <v>451</v>
      </c>
      <c r="Q120" s="8">
        <f t="shared" si="3"/>
        <v>191205</v>
      </c>
    </row>
    <row r="121" spans="1:17" ht="20" customHeight="1">
      <c r="A121" s="4">
        <v>44948</v>
      </c>
      <c r="B121" s="6">
        <f>医療機関!B120+陽性者登録センター!B120</f>
        <v>4</v>
      </c>
      <c r="C121" s="6">
        <f>医療機関!C120+陽性者登録センター!C120</f>
        <v>17</v>
      </c>
      <c r="D121" s="6">
        <f>医療機関!D120+陽性者登録センター!D120</f>
        <v>13</v>
      </c>
      <c r="E121" s="6">
        <f>医療機関!E120+陽性者登録センター!E120</f>
        <v>21</v>
      </c>
      <c r="F121" s="6">
        <f>医療機関!F120+陽性者登録センター!F120</f>
        <v>27</v>
      </c>
      <c r="G121" s="6">
        <f>医療機関!G120+陽性者登録センター!G120</f>
        <v>29</v>
      </c>
      <c r="H121" s="6">
        <f>医療機関!H120+陽性者登録センター!H120</f>
        <v>27</v>
      </c>
      <c r="I121" s="6">
        <f>医療機関!I120+陽性者登録センター!I120</f>
        <v>26</v>
      </c>
      <c r="J121" s="6">
        <f>医療機関!J120+陽性者登録センター!J120</f>
        <v>18</v>
      </c>
      <c r="K121" s="6">
        <f>医療機関!K120+陽性者登録センター!K120</f>
        <v>17</v>
      </c>
      <c r="L121" s="6">
        <f>医療機関!L120+陽性者登録センター!L120</f>
        <v>19</v>
      </c>
      <c r="M121" s="6">
        <f>医療機関!M120+陽性者登録センター!M120</f>
        <v>12</v>
      </c>
      <c r="N121" s="6">
        <f>医療機関!N120+陽性者登録センター!N120</f>
        <v>12</v>
      </c>
      <c r="O121" s="6">
        <f>医療機関!O120+陽性者登録センター!O120</f>
        <v>0</v>
      </c>
      <c r="P121" s="8">
        <f t="shared" si="2"/>
        <v>242</v>
      </c>
      <c r="Q121" s="8">
        <f t="shared" si="3"/>
        <v>191447</v>
      </c>
    </row>
    <row r="122" spans="1:17" ht="20" customHeight="1">
      <c r="A122" s="4">
        <v>44949</v>
      </c>
      <c r="B122" s="6">
        <f>医療機関!B121+陽性者登録センター!B121</f>
        <v>0</v>
      </c>
      <c r="C122" s="6">
        <f>医療機関!C121+陽性者登録センター!C121</f>
        <v>9</v>
      </c>
      <c r="D122" s="6">
        <f>医療機関!D121+陽性者登録センター!D121</f>
        <v>10</v>
      </c>
      <c r="E122" s="6">
        <f>医療機関!E121+陽性者登録センター!E121</f>
        <v>16</v>
      </c>
      <c r="F122" s="6">
        <f>医療機関!F121+陽性者登録センター!F121</f>
        <v>8</v>
      </c>
      <c r="G122" s="6">
        <f>医療機関!G121+陽性者登録センター!G121</f>
        <v>19</v>
      </c>
      <c r="H122" s="6">
        <f>医療機関!H121+陽性者登録センター!H121</f>
        <v>11</v>
      </c>
      <c r="I122" s="6">
        <f>医療機関!I121+陽性者登録センター!I121</f>
        <v>11</v>
      </c>
      <c r="J122" s="6">
        <f>医療機関!J121+陽性者登録センター!J121</f>
        <v>7</v>
      </c>
      <c r="K122" s="6">
        <f>医療機関!K121+陽性者登録センター!K121</f>
        <v>0</v>
      </c>
      <c r="L122" s="6">
        <f>医療機関!L121+陽性者登録センター!L121</f>
        <v>0</v>
      </c>
      <c r="M122" s="6">
        <f>医療機関!M121+陽性者登録センター!M121</f>
        <v>4</v>
      </c>
      <c r="N122" s="6">
        <f>医療機関!N121+陽性者登録センター!N121</f>
        <v>1</v>
      </c>
      <c r="O122" s="6">
        <f>医療機関!O121+陽性者登録センター!O121</f>
        <v>0</v>
      </c>
      <c r="P122" s="8">
        <f t="shared" si="2"/>
        <v>96</v>
      </c>
      <c r="Q122" s="8">
        <f t="shared" si="3"/>
        <v>191543</v>
      </c>
    </row>
    <row r="123" spans="1:17" ht="20" customHeight="1">
      <c r="A123" s="4">
        <v>44950</v>
      </c>
      <c r="B123" s="6">
        <f>医療機関!B122+陽性者登録センター!B122</f>
        <v>6</v>
      </c>
      <c r="C123" s="6">
        <f>医療機関!C122+陽性者登録センター!C122</f>
        <v>38</v>
      </c>
      <c r="D123" s="6">
        <f>医療機関!D122+陽性者登録センター!D122</f>
        <v>52</v>
      </c>
      <c r="E123" s="6">
        <f>医療機関!E122+陽性者登録センター!E122</f>
        <v>30</v>
      </c>
      <c r="F123" s="6">
        <f>医療機関!F122+陽性者登録センター!F122</f>
        <v>62</v>
      </c>
      <c r="G123" s="6">
        <f>医療機関!G122+陽性者登録センター!G122</f>
        <v>70</v>
      </c>
      <c r="H123" s="6">
        <f>医療機関!H122+陽性者登録センター!H122</f>
        <v>86</v>
      </c>
      <c r="I123" s="6">
        <f>医療機関!I122+陽性者登録センター!I122</f>
        <v>68</v>
      </c>
      <c r="J123" s="6">
        <f>医療機関!J122+陽性者登録センター!J122</f>
        <v>37</v>
      </c>
      <c r="K123" s="6">
        <f>医療機関!K122+陽性者登録センター!K122</f>
        <v>29</v>
      </c>
      <c r="L123" s="6">
        <f>医療機関!L122+陽性者登録センター!L122</f>
        <v>28</v>
      </c>
      <c r="M123" s="6">
        <f>医療機関!M122+陽性者登録センター!M122</f>
        <v>52</v>
      </c>
      <c r="N123" s="6">
        <f>医療機関!N122+陽性者登録センター!N122</f>
        <v>37</v>
      </c>
      <c r="O123" s="6">
        <f>医療機関!O122+陽性者登録センター!O122</f>
        <v>0</v>
      </c>
      <c r="P123" s="8">
        <f t="shared" si="2"/>
        <v>595</v>
      </c>
      <c r="Q123" s="8">
        <f t="shared" si="3"/>
        <v>192138</v>
      </c>
    </row>
    <row r="124" spans="1:17" ht="20" customHeight="1">
      <c r="A124" s="4">
        <v>44951</v>
      </c>
      <c r="B124" s="6">
        <f>医療機関!B123+陽性者登録センター!B123</f>
        <v>5</v>
      </c>
      <c r="C124" s="6">
        <f>医療機関!C123+陽性者登録センター!C123</f>
        <v>16</v>
      </c>
      <c r="D124" s="6">
        <f>医療機関!D123+陽性者登録センター!D123</f>
        <v>30</v>
      </c>
      <c r="E124" s="6">
        <f>医療機関!E123+陽性者登録センター!E123</f>
        <v>39</v>
      </c>
      <c r="F124" s="6">
        <f>医療機関!F123+陽性者登録センター!F123</f>
        <v>46</v>
      </c>
      <c r="G124" s="6">
        <f>医療機関!G123+陽性者登録センター!G123</f>
        <v>56</v>
      </c>
      <c r="H124" s="6">
        <f>医療機関!H123+陽性者登録センター!H123</f>
        <v>60</v>
      </c>
      <c r="I124" s="6">
        <f>医療機関!I123+陽性者登録センター!I123</f>
        <v>48</v>
      </c>
      <c r="J124" s="6">
        <f>医療機関!J123+陽性者登録センター!J123</f>
        <v>25</v>
      </c>
      <c r="K124" s="6">
        <f>医療機関!K123+陽性者登録センター!K123</f>
        <v>19</v>
      </c>
      <c r="L124" s="6">
        <f>医療機関!L123+陽性者登録センター!L123</f>
        <v>33</v>
      </c>
      <c r="M124" s="6">
        <f>医療機関!M123+陽性者登録センター!M123</f>
        <v>36</v>
      </c>
      <c r="N124" s="6">
        <f>医療機関!N123+陽性者登録センター!N123</f>
        <v>28</v>
      </c>
      <c r="O124" s="6">
        <f>医療機関!O123+陽性者登録センター!O123</f>
        <v>0</v>
      </c>
      <c r="P124" s="8">
        <f t="shared" si="2"/>
        <v>441</v>
      </c>
      <c r="Q124" s="8">
        <f t="shared" si="3"/>
        <v>192579</v>
      </c>
    </row>
    <row r="125" spans="1:17" ht="20" customHeight="1">
      <c r="A125" s="4">
        <v>44952</v>
      </c>
      <c r="B125" s="6">
        <f>医療機関!B124+陽性者登録センター!B124</f>
        <v>0</v>
      </c>
      <c r="C125" s="6">
        <f>医療機関!C124+陽性者登録センター!C124</f>
        <v>7</v>
      </c>
      <c r="D125" s="6">
        <f>医療機関!D124+陽性者登録センター!D124</f>
        <v>19</v>
      </c>
      <c r="E125" s="6">
        <f>医療機関!E124+陽性者登録センター!E124</f>
        <v>25</v>
      </c>
      <c r="F125" s="6">
        <f>医療機関!F124+陽性者登録センター!F124</f>
        <v>25</v>
      </c>
      <c r="G125" s="6">
        <f>医療機関!G124+陽性者登録センター!G124</f>
        <v>40</v>
      </c>
      <c r="H125" s="6">
        <f>医療機関!H124+陽性者登録センター!H124</f>
        <v>44</v>
      </c>
      <c r="I125" s="6">
        <f>医療機関!I124+陽性者登録センター!I124</f>
        <v>29</v>
      </c>
      <c r="J125" s="6">
        <f>医療機関!J124+陽性者登録センター!J124</f>
        <v>15</v>
      </c>
      <c r="K125" s="6">
        <f>医療機関!K124+陽性者登録センター!K124</f>
        <v>11</v>
      </c>
      <c r="L125" s="6">
        <f>医療機関!L124+陽性者登録センター!L124</f>
        <v>16</v>
      </c>
      <c r="M125" s="6">
        <f>医療機関!M124+陽性者登録センター!M124</f>
        <v>21</v>
      </c>
      <c r="N125" s="6">
        <f>医療機関!N124+陽性者登録センター!N124</f>
        <v>12</v>
      </c>
      <c r="O125" s="6">
        <f>医療機関!O124+陽性者登録センター!O124</f>
        <v>0</v>
      </c>
      <c r="P125" s="8">
        <f t="shared" si="2"/>
        <v>264</v>
      </c>
      <c r="Q125" s="8">
        <f t="shared" si="3"/>
        <v>192843</v>
      </c>
    </row>
    <row r="126" spans="1:17" ht="20" customHeight="1">
      <c r="A126" s="4">
        <v>44953</v>
      </c>
      <c r="B126" s="6">
        <f>医療機関!B125+陽性者登録センター!B125</f>
        <v>4</v>
      </c>
      <c r="C126" s="6">
        <f>医療機関!C125+陽性者登録センター!C125</f>
        <v>15</v>
      </c>
      <c r="D126" s="6">
        <f>医療機関!D125+陽性者登録センター!D125</f>
        <v>20</v>
      </c>
      <c r="E126" s="6">
        <f>医療機関!E125+陽性者登録センター!E125</f>
        <v>29</v>
      </c>
      <c r="F126" s="6">
        <f>医療機関!F125+陽性者登録センター!F125</f>
        <v>26</v>
      </c>
      <c r="G126" s="6">
        <f>医療機関!G125+陽性者登録センター!G125</f>
        <v>41</v>
      </c>
      <c r="H126" s="6">
        <f>医療機関!H125+陽性者登録センター!H125</f>
        <v>53</v>
      </c>
      <c r="I126" s="6">
        <f>医療機関!I125+陽性者登録センター!I125</f>
        <v>39</v>
      </c>
      <c r="J126" s="6">
        <f>医療機関!J125+陽性者登録センター!J125</f>
        <v>11</v>
      </c>
      <c r="K126" s="6">
        <f>医療機関!K125+陽性者登録センター!K125</f>
        <v>13</v>
      </c>
      <c r="L126" s="6">
        <f>医療機関!L125+陽性者登録センター!L125</f>
        <v>21</v>
      </c>
      <c r="M126" s="6">
        <f>医療機関!M125+陽性者登録センター!M125</f>
        <v>31</v>
      </c>
      <c r="N126" s="6">
        <f>医療機関!N125+陽性者登録センター!N125</f>
        <v>9</v>
      </c>
      <c r="O126" s="6">
        <f>医療機関!O125+陽性者登録センター!O125</f>
        <v>0</v>
      </c>
      <c r="P126" s="8">
        <f t="shared" si="2"/>
        <v>312</v>
      </c>
      <c r="Q126" s="8">
        <f t="shared" si="3"/>
        <v>193155</v>
      </c>
    </row>
    <row r="127" spans="1:17" ht="20" customHeight="1">
      <c r="A127" s="4">
        <v>44954</v>
      </c>
      <c r="B127" s="6">
        <f>医療機関!B126+陽性者登録センター!B126</f>
        <v>1</v>
      </c>
      <c r="C127" s="6">
        <f>医療機関!C126+陽性者登録センター!C126</f>
        <v>18</v>
      </c>
      <c r="D127" s="6">
        <f>医療機関!D126+陽性者登録センター!D126</f>
        <v>30</v>
      </c>
      <c r="E127" s="6">
        <f>医療機関!E126+陽性者登録センター!E126</f>
        <v>40</v>
      </c>
      <c r="F127" s="6">
        <f>医療機関!F126+陽性者登録センター!F126</f>
        <v>24</v>
      </c>
      <c r="G127" s="6">
        <f>医療機関!G126+陽性者登録センター!G126</f>
        <v>36</v>
      </c>
      <c r="H127" s="6">
        <f>医療機関!H126+陽性者登録センター!H126</f>
        <v>44</v>
      </c>
      <c r="I127" s="6">
        <f>医療機関!I126+陽性者登録センター!I126</f>
        <v>33</v>
      </c>
      <c r="J127" s="6">
        <f>医療機関!J126+陽性者登録センター!J126</f>
        <v>15</v>
      </c>
      <c r="K127" s="6">
        <f>医療機関!K126+陽性者登録センター!K126</f>
        <v>13</v>
      </c>
      <c r="L127" s="6">
        <f>医療機関!L126+陽性者登録センター!L126</f>
        <v>19</v>
      </c>
      <c r="M127" s="6">
        <f>医療機関!M126+陽性者登録センター!M126</f>
        <v>9</v>
      </c>
      <c r="N127" s="6">
        <f>医療機関!N126+陽性者登録センター!N126</f>
        <v>6</v>
      </c>
      <c r="O127" s="6">
        <f>医療機関!O126+陽性者登録センター!O126</f>
        <v>0</v>
      </c>
      <c r="P127" s="8">
        <f t="shared" si="2"/>
        <v>288</v>
      </c>
      <c r="Q127" s="8">
        <f t="shared" si="3"/>
        <v>193443</v>
      </c>
    </row>
    <row r="128" spans="1:17" ht="20" customHeight="1">
      <c r="A128" s="4">
        <v>44955</v>
      </c>
      <c r="B128" s="6">
        <f>医療機関!B127+陽性者登録センター!B127</f>
        <v>2</v>
      </c>
      <c r="C128" s="6">
        <f>医療機関!C127+陽性者登録センター!C127</f>
        <v>17</v>
      </c>
      <c r="D128" s="6">
        <f>医療機関!D127+陽性者登録センター!D127</f>
        <v>28</v>
      </c>
      <c r="E128" s="6">
        <f>医療機関!E127+陽性者登録センター!E127</f>
        <v>33</v>
      </c>
      <c r="F128" s="6">
        <f>医療機関!F127+陽性者登録センター!F127</f>
        <v>20</v>
      </c>
      <c r="G128" s="6">
        <f>医療機関!G127+陽性者登録センター!G127</f>
        <v>21</v>
      </c>
      <c r="H128" s="6">
        <f>医療機関!H127+陽性者登録センター!H127</f>
        <v>16</v>
      </c>
      <c r="I128" s="6">
        <f>医療機関!I127+陽性者登録センター!I127</f>
        <v>32</v>
      </c>
      <c r="J128" s="6">
        <f>医療機関!J127+陽性者登録センター!J127</f>
        <v>16</v>
      </c>
      <c r="K128" s="6">
        <f>医療機関!K127+陽性者登録センター!K127</f>
        <v>2</v>
      </c>
      <c r="L128" s="6">
        <f>医療機関!L127+陽性者登録センター!L127</f>
        <v>9</v>
      </c>
      <c r="M128" s="6">
        <f>医療機関!M127+陽性者登録センター!M127</f>
        <v>11</v>
      </c>
      <c r="N128" s="6">
        <f>医療機関!N127+陽性者登録センター!N127</f>
        <v>7</v>
      </c>
      <c r="O128" s="6">
        <f>医療機関!O127+陽性者登録センター!O127</f>
        <v>0</v>
      </c>
      <c r="P128" s="8">
        <f t="shared" si="2"/>
        <v>214</v>
      </c>
      <c r="Q128" s="8">
        <f t="shared" si="3"/>
        <v>193657</v>
      </c>
    </row>
    <row r="129" spans="1:17" ht="20" customHeight="1">
      <c r="A129" s="4">
        <v>44956</v>
      </c>
      <c r="B129" s="6">
        <f>医療機関!B128+陽性者登録センター!B128</f>
        <v>1</v>
      </c>
      <c r="C129" s="6">
        <f>医療機関!C128+陽性者登録センター!C128</f>
        <v>6</v>
      </c>
      <c r="D129" s="6">
        <f>医療機関!D128+陽性者登録センター!D128</f>
        <v>6</v>
      </c>
      <c r="E129" s="6">
        <f>医療機関!E128+陽性者登録センター!E128</f>
        <v>15</v>
      </c>
      <c r="F129" s="6">
        <f>医療機関!F128+陽性者登録センター!F128</f>
        <v>7</v>
      </c>
      <c r="G129" s="6">
        <f>医療機関!G128+陽性者登録センター!G128</f>
        <v>10</v>
      </c>
      <c r="H129" s="6">
        <f>医療機関!H128+陽性者登録センター!H128</f>
        <v>13</v>
      </c>
      <c r="I129" s="6">
        <f>医療機関!I128+陽性者登録センター!I128</f>
        <v>17</v>
      </c>
      <c r="J129" s="6">
        <f>医療機関!J128+陽性者登録センター!J128</f>
        <v>0</v>
      </c>
      <c r="K129" s="6">
        <f>医療機関!K128+陽性者登録センター!K128</f>
        <v>5</v>
      </c>
      <c r="L129" s="6">
        <f>医療機関!L128+陽性者登録センター!L128</f>
        <v>3</v>
      </c>
      <c r="M129" s="6">
        <f>医療機関!M128+陽性者登録センター!M128</f>
        <v>3</v>
      </c>
      <c r="N129" s="6">
        <f>医療機関!N128+陽性者登録センター!N128</f>
        <v>4</v>
      </c>
      <c r="O129" s="6">
        <f>医療機関!O128+陽性者登録センター!O128</f>
        <v>0</v>
      </c>
      <c r="P129" s="8">
        <f t="shared" si="2"/>
        <v>90</v>
      </c>
      <c r="Q129" s="8">
        <f t="shared" si="3"/>
        <v>193747</v>
      </c>
    </row>
    <row r="130" spans="1:17" ht="20" customHeight="1">
      <c r="A130" s="4">
        <v>44957</v>
      </c>
      <c r="B130" s="6">
        <f>医療機関!B129+陽性者登録センター!B129</f>
        <v>3</v>
      </c>
      <c r="C130" s="6">
        <f>医療機関!C129+陽性者登録センター!C129</f>
        <v>24</v>
      </c>
      <c r="D130" s="6">
        <f>医療機関!D129+陽性者登録センター!D129</f>
        <v>30</v>
      </c>
      <c r="E130" s="6">
        <f>医療機関!E129+陽性者登録センター!E129</f>
        <v>58</v>
      </c>
      <c r="F130" s="6">
        <f>医療機関!F129+陽性者登録センター!F129</f>
        <v>26</v>
      </c>
      <c r="G130" s="6">
        <f>医療機関!G129+陽性者登録センター!G129</f>
        <v>63</v>
      </c>
      <c r="H130" s="6">
        <f>医療機関!H129+陽性者登録センター!H129</f>
        <v>54</v>
      </c>
      <c r="I130" s="6">
        <f>医療機関!I129+陽性者登録センター!I129</f>
        <v>46</v>
      </c>
      <c r="J130" s="6">
        <f>医療機関!J129+陽性者登録センター!J129</f>
        <v>25</v>
      </c>
      <c r="K130" s="6">
        <f>医療機関!K129+陽性者登録センター!K129</f>
        <v>23</v>
      </c>
      <c r="L130" s="6">
        <f>医療機関!L129+陽性者登録センター!L129</f>
        <v>24</v>
      </c>
      <c r="M130" s="6">
        <f>医療機関!M129+陽性者登録センター!M129</f>
        <v>23</v>
      </c>
      <c r="N130" s="6">
        <f>医療機関!N129+陽性者登録センター!N129</f>
        <v>16</v>
      </c>
      <c r="O130" s="6">
        <f>医療機関!O129+陽性者登録センター!O129</f>
        <v>0</v>
      </c>
      <c r="P130" s="8">
        <f t="shared" si="2"/>
        <v>415</v>
      </c>
      <c r="Q130" s="8">
        <f t="shared" si="3"/>
        <v>194162</v>
      </c>
    </row>
    <row r="131" spans="1:17" ht="20" customHeight="1">
      <c r="A131" s="4">
        <v>44958</v>
      </c>
      <c r="B131" s="6">
        <f>医療機関!B130+陽性者登録センター!B130</f>
        <v>0</v>
      </c>
      <c r="C131" s="6">
        <f>医療機関!C130+陽性者登録センター!C130</f>
        <v>11</v>
      </c>
      <c r="D131" s="6">
        <f>医療機関!D130+陽性者登録センター!D130</f>
        <v>8</v>
      </c>
      <c r="E131" s="6">
        <f>医療機関!E130+陽性者登録センター!E130</f>
        <v>43</v>
      </c>
      <c r="F131" s="6">
        <f>医療機関!F130+陽性者登録センター!F130</f>
        <v>27</v>
      </c>
      <c r="G131" s="6">
        <f>医療機関!G130+陽性者登録センター!G130</f>
        <v>37</v>
      </c>
      <c r="H131" s="6">
        <f>医療機関!H130+陽性者登録センター!H130</f>
        <v>35</v>
      </c>
      <c r="I131" s="6">
        <f>医療機関!I130+陽性者登録センター!I130</f>
        <v>23</v>
      </c>
      <c r="J131" s="6">
        <f>医療機関!J130+陽性者登録センター!J130</f>
        <v>18</v>
      </c>
      <c r="K131" s="6">
        <f>医療機関!K130+陽性者登録センター!K130</f>
        <v>18</v>
      </c>
      <c r="L131" s="6">
        <f>医療機関!L130+陽性者登録センター!L130</f>
        <v>6</v>
      </c>
      <c r="M131" s="6">
        <f>医療機関!M130+陽性者登録センター!M130</f>
        <v>8</v>
      </c>
      <c r="N131" s="6">
        <f>医療機関!N130+陽性者登録センター!N130</f>
        <v>6</v>
      </c>
      <c r="O131" s="6">
        <f>医療機関!O130+陽性者登録センター!O130</f>
        <v>0</v>
      </c>
      <c r="P131" s="8">
        <f t="shared" si="2"/>
        <v>240</v>
      </c>
      <c r="Q131" s="8">
        <f t="shared" si="3"/>
        <v>194402</v>
      </c>
    </row>
    <row r="132" spans="1:17" ht="20" customHeight="1">
      <c r="A132" s="4">
        <v>44959</v>
      </c>
      <c r="B132" s="6">
        <f>医療機関!B131+陽性者登録センター!B131</f>
        <v>2</v>
      </c>
      <c r="C132" s="6">
        <f>医療機関!C131+陽性者登録センター!C131</f>
        <v>11</v>
      </c>
      <c r="D132" s="6">
        <f>医療機関!D131+陽性者登録センター!D131</f>
        <v>13</v>
      </c>
      <c r="E132" s="6">
        <f>医療機関!E131+陽性者登録センター!E131</f>
        <v>29</v>
      </c>
      <c r="F132" s="6">
        <f>医療機関!F131+陽性者登録センター!F131</f>
        <v>8</v>
      </c>
      <c r="G132" s="6">
        <f>医療機関!G131+陽性者登録センター!G131</f>
        <v>31</v>
      </c>
      <c r="H132" s="6">
        <f>医療機関!H131+陽性者登録センター!H131</f>
        <v>39</v>
      </c>
      <c r="I132" s="6">
        <f>医療機関!I131+陽性者登録センター!I131</f>
        <v>24</v>
      </c>
      <c r="J132" s="6">
        <f>医療機関!J131+陽性者登録センター!J131</f>
        <v>9</v>
      </c>
      <c r="K132" s="6">
        <f>医療機関!K131+陽性者登録センター!K131</f>
        <v>6</v>
      </c>
      <c r="L132" s="6">
        <f>医療機関!L131+陽性者登録センター!L131</f>
        <v>12</v>
      </c>
      <c r="M132" s="6">
        <f>医療機関!M131+陽性者登録センター!M131</f>
        <v>14</v>
      </c>
      <c r="N132" s="6">
        <f>医療機関!N131+陽性者登録センター!N131</f>
        <v>6</v>
      </c>
      <c r="O132" s="6">
        <f>医療機関!O131+陽性者登録センター!O131</f>
        <v>0</v>
      </c>
      <c r="P132" s="6">
        <f>医療機関!P131+陽性者登録センター!P131</f>
        <v>204</v>
      </c>
      <c r="Q132" s="8">
        <f t="shared" ref="Q132:Q195" si="4">Q131+P132</f>
        <v>194606</v>
      </c>
    </row>
    <row r="133" spans="1:17" ht="20" customHeight="1">
      <c r="A133" s="4">
        <v>44960</v>
      </c>
      <c r="B133" s="6">
        <f>医療機関!B132+陽性者登録センター!B132</f>
        <v>2</v>
      </c>
      <c r="C133" s="6">
        <f>医療機関!C132+陽性者登録センター!C132</f>
        <v>10</v>
      </c>
      <c r="D133" s="6">
        <f>医療機関!D132+陽性者登録センター!D132</f>
        <v>12</v>
      </c>
      <c r="E133" s="6">
        <f>医療機関!E132+陽性者登録センター!E132</f>
        <v>31</v>
      </c>
      <c r="F133" s="6">
        <f>医療機関!F132+陽性者登録センター!F132</f>
        <v>15</v>
      </c>
      <c r="G133" s="6">
        <f>医療機関!G132+陽性者登録センター!G132</f>
        <v>40</v>
      </c>
      <c r="H133" s="6">
        <f>医療機関!H132+陽性者登録センター!H132</f>
        <v>38</v>
      </c>
      <c r="I133" s="6">
        <f>医療機関!I132+陽性者登録センター!I132</f>
        <v>20</v>
      </c>
      <c r="J133" s="6">
        <f>医療機関!J132+陽性者登録センター!J132</f>
        <v>9</v>
      </c>
      <c r="K133" s="6">
        <f>医療機関!K132+陽性者登録センター!K132</f>
        <v>6</v>
      </c>
      <c r="L133" s="6">
        <f>医療機関!L132+陽性者登録センター!L132</f>
        <v>17</v>
      </c>
      <c r="M133" s="6">
        <f>医療機関!M132+陽性者登録センター!M132</f>
        <v>12</v>
      </c>
      <c r="N133" s="6">
        <f>医療機関!N132+陽性者登録センター!N132</f>
        <v>6</v>
      </c>
      <c r="O133" s="6">
        <f>医療機関!O132+陽性者登録センター!O132</f>
        <v>0</v>
      </c>
      <c r="P133" s="6">
        <f>医療機関!P132+陽性者登録センター!P132</f>
        <v>218</v>
      </c>
      <c r="Q133" s="8">
        <f t="shared" si="4"/>
        <v>194824</v>
      </c>
    </row>
    <row r="134" spans="1:17" ht="20" customHeight="1">
      <c r="A134" s="4">
        <v>44961</v>
      </c>
      <c r="B134" s="6">
        <f>医療機関!B133+陽性者登録センター!B133</f>
        <v>4</v>
      </c>
      <c r="C134" s="6">
        <f>医療機関!C133+陽性者登録センター!C133</f>
        <v>9</v>
      </c>
      <c r="D134" s="6">
        <f>医療機関!D133+陽性者登録センター!D133</f>
        <v>19</v>
      </c>
      <c r="E134" s="6">
        <f>医療機関!E133+陽性者登録センター!E133</f>
        <v>36</v>
      </c>
      <c r="F134" s="6">
        <f>医療機関!F133+陽性者登録センター!F133</f>
        <v>24</v>
      </c>
      <c r="G134" s="6">
        <f>医療機関!G133+陽性者登録センター!G133</f>
        <v>34</v>
      </c>
      <c r="H134" s="6">
        <f>医療機関!H133+陽性者登録センター!H133</f>
        <v>35</v>
      </c>
      <c r="I134" s="6">
        <f>医療機関!I133+陽性者登録センター!I133</f>
        <v>17</v>
      </c>
      <c r="J134" s="6">
        <f>医療機関!J133+陽性者登録センター!J133</f>
        <v>6</v>
      </c>
      <c r="K134" s="6">
        <f>医療機関!K133+陽性者登録センター!K133</f>
        <v>6</v>
      </c>
      <c r="L134" s="6">
        <f>医療機関!L133+陽性者登録センター!L133</f>
        <v>17</v>
      </c>
      <c r="M134" s="6">
        <f>医療機関!M133+陽性者登録センター!M133</f>
        <v>15</v>
      </c>
      <c r="N134" s="6">
        <f>医療機関!N133+陽性者登録センター!N133</f>
        <v>8</v>
      </c>
      <c r="O134" s="6">
        <f>医療機関!O133+陽性者登録センター!O133</f>
        <v>0</v>
      </c>
      <c r="P134" s="8">
        <f t="shared" ref="P134:P140" si="5">SUM(B134:O134)</f>
        <v>230</v>
      </c>
      <c r="Q134" s="8">
        <f t="shared" si="4"/>
        <v>195054</v>
      </c>
    </row>
    <row r="135" spans="1:17" ht="20" customHeight="1">
      <c r="A135" s="4">
        <v>44962</v>
      </c>
      <c r="B135" s="6">
        <f>医療機関!B134+陽性者登録センター!B134</f>
        <v>0</v>
      </c>
      <c r="C135" s="6">
        <f>医療機関!C134+陽性者登録センター!C134</f>
        <v>9</v>
      </c>
      <c r="D135" s="6">
        <f>医療機関!D134+陽性者登録センター!D134</f>
        <v>9</v>
      </c>
      <c r="E135" s="6">
        <f>医療機関!E134+陽性者登録センター!E134</f>
        <v>26</v>
      </c>
      <c r="F135" s="6">
        <f>医療機関!F134+陽性者登録センター!F134</f>
        <v>16</v>
      </c>
      <c r="G135" s="6">
        <f>医療機関!G134+陽性者登録センター!G134</f>
        <v>22</v>
      </c>
      <c r="H135" s="6">
        <f>医療機関!H134+陽性者登録センター!H134</f>
        <v>17</v>
      </c>
      <c r="I135" s="6">
        <f>医療機関!I134+陽性者登録センター!I134</f>
        <v>19</v>
      </c>
      <c r="J135" s="6">
        <f>医療機関!J134+陽性者登録センター!J134</f>
        <v>9</v>
      </c>
      <c r="K135" s="6">
        <f>医療機関!K134+陽性者登録センター!K134</f>
        <v>4</v>
      </c>
      <c r="L135" s="6">
        <f>医療機関!L134+陽性者登録センター!L134</f>
        <v>12</v>
      </c>
      <c r="M135" s="6">
        <f>医療機関!M134+陽性者登録センター!M134</f>
        <v>11</v>
      </c>
      <c r="N135" s="6">
        <f>医療機関!N134+陽性者登録センター!N134</f>
        <v>6</v>
      </c>
      <c r="O135" s="6">
        <f>医療機関!O134+陽性者登録センター!O134</f>
        <v>0</v>
      </c>
      <c r="P135" s="8">
        <f t="shared" si="5"/>
        <v>160</v>
      </c>
      <c r="Q135" s="8">
        <f t="shared" si="4"/>
        <v>195214</v>
      </c>
    </row>
    <row r="136" spans="1:17" ht="20" customHeight="1">
      <c r="A136" s="4">
        <v>44963</v>
      </c>
      <c r="B136" s="6">
        <f>医療機関!B135+陽性者登録センター!B135</f>
        <v>1</v>
      </c>
      <c r="C136" s="6">
        <f>医療機関!C135+陽性者登録センター!C135</f>
        <v>4</v>
      </c>
      <c r="D136" s="6">
        <f>医療機関!D135+陽性者登録センター!D135</f>
        <v>6</v>
      </c>
      <c r="E136" s="6">
        <f>医療機関!E135+陽性者登録センター!E135</f>
        <v>10</v>
      </c>
      <c r="F136" s="6">
        <f>医療機関!F135+陽性者登録センター!F135</f>
        <v>6</v>
      </c>
      <c r="G136" s="6">
        <f>医療機関!G135+陽性者登録センター!G135</f>
        <v>11</v>
      </c>
      <c r="H136" s="6">
        <f>医療機関!H135+陽性者登録センター!H135</f>
        <v>15</v>
      </c>
      <c r="I136" s="6">
        <f>医療機関!I135+陽性者登録センター!I135</f>
        <v>7</v>
      </c>
      <c r="J136" s="6">
        <f>医療機関!J135+陽性者登録センター!J135</f>
        <v>3</v>
      </c>
      <c r="K136" s="6">
        <f>医療機関!K135+陽性者登録センター!K135</f>
        <v>1</v>
      </c>
      <c r="L136" s="6">
        <f>医療機関!L135+陽性者登録センター!L135</f>
        <v>3</v>
      </c>
      <c r="M136" s="6">
        <f>医療機関!M135+陽性者登録センター!M135</f>
        <v>1</v>
      </c>
      <c r="N136" s="6">
        <f>医療機関!N135+陽性者登録センター!N135</f>
        <v>0</v>
      </c>
      <c r="O136" s="6">
        <f>医療機関!O135+陽性者登録センター!O135</f>
        <v>0</v>
      </c>
      <c r="P136" s="8">
        <f t="shared" si="5"/>
        <v>68</v>
      </c>
      <c r="Q136" s="8">
        <f t="shared" si="4"/>
        <v>195282</v>
      </c>
    </row>
    <row r="137" spans="1:17" ht="20" customHeight="1">
      <c r="A137" s="4">
        <v>44964</v>
      </c>
      <c r="B137" s="6">
        <f>医療機関!B136+陽性者登録センター!B136</f>
        <v>2</v>
      </c>
      <c r="C137" s="6">
        <f>医療機関!C136+陽性者登録センター!C136</f>
        <v>11</v>
      </c>
      <c r="D137" s="6">
        <f>医療機関!D136+陽性者登録センター!D136</f>
        <v>19</v>
      </c>
      <c r="E137" s="6">
        <f>医療機関!E136+陽性者登録センター!E136</f>
        <v>50</v>
      </c>
      <c r="F137" s="6">
        <f>医療機関!F136+陽性者登録センター!F136</f>
        <v>24</v>
      </c>
      <c r="G137" s="6">
        <f>医療機関!G136+陽性者登録センター!G136</f>
        <v>48</v>
      </c>
      <c r="H137" s="6">
        <f>医療機関!H136+陽性者登録センター!H136</f>
        <v>50</v>
      </c>
      <c r="I137" s="6">
        <f>医療機関!I136+陽性者登録センター!I136</f>
        <v>32</v>
      </c>
      <c r="J137" s="6">
        <f>医療機関!J136+陽性者登録センター!J136</f>
        <v>13</v>
      </c>
      <c r="K137" s="6">
        <f>医療機関!K136+陽性者登録センター!K136</f>
        <v>16</v>
      </c>
      <c r="L137" s="6">
        <f>医療機関!L136+陽性者登録センター!L136</f>
        <v>23</v>
      </c>
      <c r="M137" s="6">
        <f>医療機関!M136+陽性者登録センター!M136</f>
        <v>13</v>
      </c>
      <c r="N137" s="6">
        <f>医療機関!N136+陽性者登録センター!N136</f>
        <v>11</v>
      </c>
      <c r="O137" s="6">
        <f>医療機関!O136+陽性者登録センター!O136</f>
        <v>0</v>
      </c>
      <c r="P137" s="8">
        <f t="shared" si="5"/>
        <v>312</v>
      </c>
      <c r="Q137" s="8">
        <f t="shared" si="4"/>
        <v>195594</v>
      </c>
    </row>
    <row r="138" spans="1:17" ht="20" customHeight="1">
      <c r="A138" s="4">
        <v>44965</v>
      </c>
      <c r="B138" s="6">
        <f>医療機関!B137+陽性者登録センター!B137</f>
        <v>0</v>
      </c>
      <c r="C138" s="6">
        <f>医療機関!C137+陽性者登録センター!C137</f>
        <v>12</v>
      </c>
      <c r="D138" s="6">
        <f>医療機関!D137+陽性者登録センター!D137</f>
        <v>17</v>
      </c>
      <c r="E138" s="6">
        <f>医療機関!E137+陽性者登録センター!E137</f>
        <v>33</v>
      </c>
      <c r="F138" s="6">
        <f>医療機関!F137+陽性者登録センター!F137</f>
        <v>15</v>
      </c>
      <c r="G138" s="6">
        <f>医療機関!G137+陽性者登録センター!G137</f>
        <v>28</v>
      </c>
      <c r="H138" s="6">
        <f>医療機関!H137+陽性者登録センター!H137</f>
        <v>46</v>
      </c>
      <c r="I138" s="6">
        <f>医療機関!I137+陽性者登録センター!I137</f>
        <v>23</v>
      </c>
      <c r="J138" s="6">
        <f>医療機関!J137+陽性者登録センター!J137</f>
        <v>9</v>
      </c>
      <c r="K138" s="6">
        <f>医療機関!K137+陽性者登録センター!K137</f>
        <v>5</v>
      </c>
      <c r="L138" s="6">
        <f>医療機関!L137+陽性者登録センター!L137</f>
        <v>12</v>
      </c>
      <c r="M138" s="6">
        <f>医療機関!M137+陽性者登録センター!M137</f>
        <v>10</v>
      </c>
      <c r="N138" s="6">
        <f>医療機関!N137+陽性者登録センター!N137</f>
        <v>9</v>
      </c>
      <c r="O138" s="6">
        <f>医療機関!O137+陽性者登録センター!O137</f>
        <v>0</v>
      </c>
      <c r="P138" s="8">
        <f t="shared" si="5"/>
        <v>219</v>
      </c>
      <c r="Q138" s="8">
        <f t="shared" si="4"/>
        <v>195813</v>
      </c>
    </row>
    <row r="139" spans="1:17" ht="20" customHeight="1">
      <c r="A139" s="4">
        <v>44966</v>
      </c>
      <c r="B139" s="6">
        <f>医療機関!B138+陽性者登録センター!B138</f>
        <v>4</v>
      </c>
      <c r="C139" s="6">
        <f>医療機関!C138+陽性者登録センター!C138</f>
        <v>8</v>
      </c>
      <c r="D139" s="6">
        <f>医療機関!D138+陽性者登録センター!D138</f>
        <v>19</v>
      </c>
      <c r="E139" s="6">
        <f>医療機関!E138+陽性者登録センター!E138</f>
        <v>32</v>
      </c>
      <c r="F139" s="6">
        <f>医療機関!F138+陽性者登録センター!F138</f>
        <v>22</v>
      </c>
      <c r="G139" s="6">
        <f>医療機関!G138+陽性者登録センター!G138</f>
        <v>26</v>
      </c>
      <c r="H139" s="6">
        <f>医療機関!H138+陽性者登録センター!H138</f>
        <v>20</v>
      </c>
      <c r="I139" s="6">
        <f>医療機関!I138+陽性者登録センター!I138</f>
        <v>19</v>
      </c>
      <c r="J139" s="6">
        <f>医療機関!J138+陽性者登録センター!J138</f>
        <v>4</v>
      </c>
      <c r="K139" s="6">
        <f>医療機関!K138+陽性者登録センター!K138</f>
        <v>6</v>
      </c>
      <c r="L139" s="6">
        <f>医療機関!L138+陽性者登録センター!L138</f>
        <v>14</v>
      </c>
      <c r="M139" s="6">
        <f>医療機関!M138+陽性者登録センター!M138</f>
        <v>10</v>
      </c>
      <c r="N139" s="6">
        <f>医療機関!N138+陽性者登録センター!N138</f>
        <v>7</v>
      </c>
      <c r="O139" s="6">
        <f>医療機関!O138+陽性者登録センター!O138</f>
        <v>0</v>
      </c>
      <c r="P139" s="8">
        <f t="shared" si="5"/>
        <v>191</v>
      </c>
      <c r="Q139" s="8">
        <f t="shared" si="4"/>
        <v>196004</v>
      </c>
    </row>
    <row r="140" spans="1:17" ht="20" customHeight="1">
      <c r="A140" s="4">
        <v>44967</v>
      </c>
      <c r="B140" s="6">
        <f>医療機関!B139+陽性者登録センター!B139</f>
        <v>1</v>
      </c>
      <c r="C140" s="6">
        <f>医療機関!C139+陽性者登録センター!C139</f>
        <v>6</v>
      </c>
      <c r="D140" s="6">
        <f>医療機関!D139+陽性者登録センター!D139</f>
        <v>17</v>
      </c>
      <c r="E140" s="6">
        <f>医療機関!E139+陽性者登録センター!E139</f>
        <v>25</v>
      </c>
      <c r="F140" s="6">
        <f>医療機関!F139+陽性者登録センター!F139</f>
        <v>12</v>
      </c>
      <c r="G140" s="6">
        <f>医療機関!G139+陽性者登録センター!G139</f>
        <v>25</v>
      </c>
      <c r="H140" s="6">
        <f>医療機関!H139+陽性者登録センター!H139</f>
        <v>35</v>
      </c>
      <c r="I140" s="6">
        <f>医療機関!I139+陽性者登録センター!I139</f>
        <v>25</v>
      </c>
      <c r="J140" s="6">
        <f>医療機関!J139+陽性者登録センター!J139</f>
        <v>9</v>
      </c>
      <c r="K140" s="6">
        <f>医療機関!K139+陽性者登録センター!K139</f>
        <v>3</v>
      </c>
      <c r="L140" s="6">
        <f>医療機関!L139+陽性者登録センター!L139</f>
        <v>6</v>
      </c>
      <c r="M140" s="6">
        <f>医療機関!M139+陽性者登録センター!M139</f>
        <v>9</v>
      </c>
      <c r="N140" s="6">
        <f>医療機関!N139+陽性者登録センター!N139</f>
        <v>3</v>
      </c>
      <c r="O140" s="6">
        <f>医療機関!O139+陽性者登録センター!O139</f>
        <v>0</v>
      </c>
      <c r="P140" s="8">
        <f t="shared" si="5"/>
        <v>176</v>
      </c>
      <c r="Q140" s="8">
        <f t="shared" si="4"/>
        <v>196180</v>
      </c>
    </row>
    <row r="141" spans="1:17" ht="20" customHeight="1">
      <c r="A141" s="4">
        <v>44968</v>
      </c>
      <c r="B141" s="15">
        <f>医療機関!B140+陽性者登録センター!B140</f>
        <v>1</v>
      </c>
      <c r="C141" s="15">
        <f>医療機関!C140+陽性者登録センター!C140</f>
        <v>24</v>
      </c>
      <c r="D141" s="15">
        <f>医療機関!D140+陽性者登録センター!D140</f>
        <v>16</v>
      </c>
      <c r="E141" s="15">
        <f>医療機関!E140+陽性者登録センター!E140</f>
        <v>31</v>
      </c>
      <c r="F141" s="15">
        <f>医療機関!F140+陽性者登録センター!F140</f>
        <v>20</v>
      </c>
      <c r="G141" s="15">
        <f>医療機関!G140+陽性者登録センター!G140</f>
        <v>19</v>
      </c>
      <c r="H141" s="15">
        <f>医療機関!H140+陽性者登録センター!H140</f>
        <v>30</v>
      </c>
      <c r="I141" s="15">
        <f>医療機関!I140+陽性者登録センター!I140</f>
        <v>25</v>
      </c>
      <c r="J141" s="15">
        <f>医療機関!J140+陽性者登録センター!J140</f>
        <v>15</v>
      </c>
      <c r="K141" s="15">
        <f>医療機関!K140+陽性者登録センター!K140</f>
        <v>9</v>
      </c>
      <c r="L141" s="15">
        <f>医療機関!L140+陽性者登録センター!L140</f>
        <v>9</v>
      </c>
      <c r="M141" s="15">
        <f>医療機関!M140+陽性者登録センター!M140</f>
        <v>12</v>
      </c>
      <c r="N141" s="15">
        <f>医療機関!N140+陽性者登録センター!N140</f>
        <v>7</v>
      </c>
      <c r="O141" s="15">
        <f>医療機関!O140+陽性者登録センター!O140</f>
        <v>0</v>
      </c>
      <c r="P141" s="15">
        <f>医療機関!P140+陽性者登録センター!P140</f>
        <v>218</v>
      </c>
      <c r="Q141" s="8">
        <f t="shared" si="4"/>
        <v>196398</v>
      </c>
    </row>
    <row r="142" spans="1:17" ht="20" customHeight="1">
      <c r="A142" s="4">
        <v>44969</v>
      </c>
      <c r="B142" s="6">
        <f>医療機関!B141+陽性者登録センター!B141</f>
        <v>1</v>
      </c>
      <c r="C142" s="6">
        <f>医療機関!C141+陽性者登録センター!C141</f>
        <v>1</v>
      </c>
      <c r="D142" s="6">
        <f>医療機関!D141+陽性者登録センター!D141</f>
        <v>3</v>
      </c>
      <c r="E142" s="6">
        <f>医療機関!E141+陽性者登録センター!E141</f>
        <v>7</v>
      </c>
      <c r="F142" s="6">
        <f>医療機関!F141+陽性者登録センター!F141</f>
        <v>0</v>
      </c>
      <c r="G142" s="6">
        <f>医療機関!G141+陽性者登録センター!G141</f>
        <v>8</v>
      </c>
      <c r="H142" s="6">
        <f>医療機関!H141+陽性者登録センター!H141</f>
        <v>5</v>
      </c>
      <c r="I142" s="6">
        <f>医療機関!I141+陽性者登録センター!I141</f>
        <v>5</v>
      </c>
      <c r="J142" s="6">
        <f>医療機関!J141+陽性者登録センター!J141</f>
        <v>1</v>
      </c>
      <c r="K142" s="6">
        <f>医療機関!K141+陽性者登録センター!K141</f>
        <v>0</v>
      </c>
      <c r="L142" s="6">
        <f>医療機関!L141+陽性者登録センター!L141</f>
        <v>5</v>
      </c>
      <c r="M142" s="6">
        <f>医療機関!M141+陽性者登録センター!M141</f>
        <v>3</v>
      </c>
      <c r="N142" s="6">
        <f>医療機関!N141+陽性者登録センター!N141</f>
        <v>2</v>
      </c>
      <c r="O142" s="6">
        <f>医療機関!O141+陽性者登録センター!O141</f>
        <v>0</v>
      </c>
      <c r="P142" s="8">
        <f t="shared" ref="P142:P162" si="6">SUM(B142:O142)</f>
        <v>41</v>
      </c>
      <c r="Q142" s="8">
        <f t="shared" si="4"/>
        <v>196439</v>
      </c>
    </row>
    <row r="143" spans="1:17" ht="20" customHeight="1">
      <c r="A143" s="4">
        <v>44970</v>
      </c>
      <c r="B143" s="6">
        <f>医療機関!B142+陽性者登録センター!B142</f>
        <v>0</v>
      </c>
      <c r="C143" s="6">
        <f>医療機関!C142+陽性者登録センター!C142</f>
        <v>2</v>
      </c>
      <c r="D143" s="6">
        <f>医療機関!D142+陽性者登録センター!D142</f>
        <v>5</v>
      </c>
      <c r="E143" s="6">
        <f>医療機関!E142+陽性者登録センター!E142</f>
        <v>9</v>
      </c>
      <c r="F143" s="6">
        <f>医療機関!F142+陽性者登録センター!F142</f>
        <v>3</v>
      </c>
      <c r="G143" s="6">
        <f>医療機関!G142+陽性者登録センター!G142</f>
        <v>8</v>
      </c>
      <c r="H143" s="6">
        <f>医療機関!H142+陽性者登録センター!H142</f>
        <v>8</v>
      </c>
      <c r="I143" s="6">
        <f>医療機関!I142+陽性者登録センター!I142</f>
        <v>2</v>
      </c>
      <c r="J143" s="6">
        <f>医療機関!J142+陽性者登録センター!J142</f>
        <v>1</v>
      </c>
      <c r="K143" s="6">
        <f>医療機関!K142+陽性者登録センター!K142</f>
        <v>1</v>
      </c>
      <c r="L143" s="6">
        <f>医療機関!L142+陽性者登録センター!L142</f>
        <v>1</v>
      </c>
      <c r="M143" s="6">
        <f>医療機関!M142+陽性者登録センター!M142</f>
        <v>4</v>
      </c>
      <c r="N143" s="6">
        <f>医療機関!N142+陽性者登録センター!N142</f>
        <v>1</v>
      </c>
      <c r="O143" s="6">
        <f>医療機関!O142+陽性者登録センター!O142</f>
        <v>0</v>
      </c>
      <c r="P143" s="8">
        <f t="shared" si="6"/>
        <v>45</v>
      </c>
      <c r="Q143" s="8">
        <f t="shared" si="4"/>
        <v>196484</v>
      </c>
    </row>
    <row r="144" spans="1:17" ht="20" customHeight="1">
      <c r="A144" s="4">
        <v>44971</v>
      </c>
      <c r="B144" s="6">
        <f>医療機関!B143+陽性者登録センター!B143</f>
        <v>2</v>
      </c>
      <c r="C144" s="6">
        <f>医療機関!C143+陽性者登録センター!C143</f>
        <v>13</v>
      </c>
      <c r="D144" s="6">
        <f>医療機関!D143+陽性者登録センター!D143</f>
        <v>21</v>
      </c>
      <c r="E144" s="6">
        <f>医療機関!E143+陽性者登録センター!E143</f>
        <v>40</v>
      </c>
      <c r="F144" s="6">
        <f>医療機関!F143+陽性者登録センター!F143</f>
        <v>26</v>
      </c>
      <c r="G144" s="6">
        <f>医療機関!G143+陽性者登録センター!G143</f>
        <v>23</v>
      </c>
      <c r="H144" s="6">
        <f>医療機関!H143+陽性者登録センター!H143</f>
        <v>37</v>
      </c>
      <c r="I144" s="6">
        <f>医療機関!I143+陽性者登録センター!I143</f>
        <v>39</v>
      </c>
      <c r="J144" s="6">
        <f>医療機関!J143+陽性者登録センター!J143</f>
        <v>16</v>
      </c>
      <c r="K144" s="6">
        <f>医療機関!K143+陽性者登録センター!K143</f>
        <v>8</v>
      </c>
      <c r="L144" s="6">
        <f>医療機関!L143+陽性者登録センター!L143</f>
        <v>19</v>
      </c>
      <c r="M144" s="6">
        <f>医療機関!M143+陽性者登録センター!M143</f>
        <v>20</v>
      </c>
      <c r="N144" s="6">
        <f>医療機関!N143+陽性者登録センター!N143</f>
        <v>18</v>
      </c>
      <c r="O144" s="6">
        <f>医療機関!O143+陽性者登録センター!O143</f>
        <v>0</v>
      </c>
      <c r="P144" s="8">
        <f t="shared" si="6"/>
        <v>282</v>
      </c>
      <c r="Q144" s="8">
        <f t="shared" si="4"/>
        <v>196766</v>
      </c>
    </row>
    <row r="145" spans="1:17" ht="20" customHeight="1">
      <c r="A145" s="4">
        <v>44972</v>
      </c>
      <c r="B145" s="6">
        <f>医療機関!B144+陽性者登録センター!B144</f>
        <v>2</v>
      </c>
      <c r="C145" s="6">
        <f>医療機関!C144+陽性者登録センター!C144</f>
        <v>15</v>
      </c>
      <c r="D145" s="6">
        <f>医療機関!D144+陽性者登録センター!D144</f>
        <v>17</v>
      </c>
      <c r="E145" s="6">
        <f>医療機関!E144+陽性者登録センター!E144</f>
        <v>18</v>
      </c>
      <c r="F145" s="6">
        <f>医療機関!F144+陽性者登録センター!F144</f>
        <v>17</v>
      </c>
      <c r="G145" s="6">
        <f>医療機関!G144+陽性者登録センター!G144</f>
        <v>24</v>
      </c>
      <c r="H145" s="6">
        <f>医療機関!H144+陽性者登録センター!H144</f>
        <v>42</v>
      </c>
      <c r="I145" s="6">
        <f>医療機関!I144+陽性者登録センター!I144</f>
        <v>16</v>
      </c>
      <c r="J145" s="6">
        <f>医療機関!J144+陽性者登録センター!J144</f>
        <v>15</v>
      </c>
      <c r="K145" s="6">
        <f>医療機関!K144+陽性者登録センター!K144</f>
        <v>5</v>
      </c>
      <c r="L145" s="6">
        <f>医療機関!L144+陽性者登録センター!L144</f>
        <v>11</v>
      </c>
      <c r="M145" s="6">
        <f>医療機関!M144+陽性者登録センター!M144</f>
        <v>8</v>
      </c>
      <c r="N145" s="6">
        <f>医療機関!N144+陽性者登録センター!N144</f>
        <v>10</v>
      </c>
      <c r="O145" s="6">
        <f>医療機関!O144+陽性者登録センター!O144</f>
        <v>0</v>
      </c>
      <c r="P145" s="8">
        <f t="shared" si="6"/>
        <v>200</v>
      </c>
      <c r="Q145" s="8">
        <f t="shared" si="4"/>
        <v>196966</v>
      </c>
    </row>
    <row r="146" spans="1:17" ht="20" customHeight="1">
      <c r="A146" s="4">
        <v>44973</v>
      </c>
      <c r="B146" s="6">
        <f>医療機関!B145+陽性者登録センター!B145</f>
        <v>1</v>
      </c>
      <c r="C146" s="6">
        <f>医療機関!C145+陽性者登録センター!C145</f>
        <v>3</v>
      </c>
      <c r="D146" s="6">
        <f>医療機関!D145+陽性者登録センター!D145</f>
        <v>6</v>
      </c>
      <c r="E146" s="6">
        <f>医療機関!E145+陽性者登録センター!E145</f>
        <v>23</v>
      </c>
      <c r="F146" s="6">
        <f>医療機関!F145+陽性者登録センター!F145</f>
        <v>11</v>
      </c>
      <c r="G146" s="6">
        <f>医療機関!G145+陽性者登録センター!G145</f>
        <v>24</v>
      </c>
      <c r="H146" s="6">
        <f>医療機関!H145+陽性者登録センター!H145</f>
        <v>17</v>
      </c>
      <c r="I146" s="6">
        <f>医療機関!I145+陽性者登録センター!I145</f>
        <v>24</v>
      </c>
      <c r="J146" s="6">
        <f>医療機関!J145+陽性者登録センター!J145</f>
        <v>5</v>
      </c>
      <c r="K146" s="6">
        <f>医療機関!K145+陽性者登録センター!K145</f>
        <v>5</v>
      </c>
      <c r="L146" s="6">
        <f>医療機関!L145+陽性者登録センター!L145</f>
        <v>11</v>
      </c>
      <c r="M146" s="6">
        <f>医療機関!M145+陽性者登録センター!M145</f>
        <v>7</v>
      </c>
      <c r="N146" s="6">
        <f>医療機関!N145+陽性者登録センター!N145</f>
        <v>4</v>
      </c>
      <c r="O146" s="6">
        <f>医療機関!O145+陽性者登録センター!O145</f>
        <v>0</v>
      </c>
      <c r="P146" s="8">
        <f t="shared" si="6"/>
        <v>141</v>
      </c>
      <c r="Q146" s="8">
        <f t="shared" si="4"/>
        <v>197107</v>
      </c>
    </row>
    <row r="147" spans="1:17" ht="20" customHeight="1">
      <c r="A147" s="4">
        <v>44974</v>
      </c>
      <c r="B147" s="15">
        <f>医療機関!B146+陽性者登録センター!B146</f>
        <v>2</v>
      </c>
      <c r="C147" s="6">
        <f>医療機関!C146+陽性者登録センター!C146</f>
        <v>8</v>
      </c>
      <c r="D147" s="6">
        <f>医療機関!D146+陽性者登録センター!D146</f>
        <v>13</v>
      </c>
      <c r="E147" s="6">
        <f>医療機関!E146+陽性者登録センター!E146</f>
        <v>10</v>
      </c>
      <c r="F147" s="6">
        <f>医療機関!F146+陽性者登録センター!F146</f>
        <v>9</v>
      </c>
      <c r="G147" s="6">
        <f>医療機関!G146+陽性者登録センター!G146</f>
        <v>19</v>
      </c>
      <c r="H147" s="6">
        <f>医療機関!H146+陽性者登録センター!H146</f>
        <v>17</v>
      </c>
      <c r="I147" s="6">
        <f>医療機関!I146+陽性者登録センター!I146</f>
        <v>9</v>
      </c>
      <c r="J147" s="6">
        <f>医療機関!J146+陽性者登録センター!J146</f>
        <v>6</v>
      </c>
      <c r="K147" s="6">
        <f>医療機関!K146+陽性者登録センター!K146</f>
        <v>3</v>
      </c>
      <c r="L147" s="6">
        <f>医療機関!L146+陽性者登録センター!L146</f>
        <v>8</v>
      </c>
      <c r="M147" s="6">
        <f>医療機関!M146+陽性者登録センター!M146</f>
        <v>6</v>
      </c>
      <c r="N147" s="6">
        <f>医療機関!N146+陽性者登録センター!N146</f>
        <v>2</v>
      </c>
      <c r="O147" s="6">
        <f>医療機関!O146+陽性者登録センター!O146</f>
        <v>0</v>
      </c>
      <c r="P147" s="8">
        <f t="shared" si="6"/>
        <v>112</v>
      </c>
      <c r="Q147" s="8">
        <f t="shared" si="4"/>
        <v>197219</v>
      </c>
    </row>
    <row r="148" spans="1:17" ht="20" customHeight="1">
      <c r="A148" s="4">
        <v>44975</v>
      </c>
      <c r="B148" s="15">
        <f>医療機関!B147+陽性者登録センター!B147</f>
        <v>0</v>
      </c>
      <c r="C148" s="6">
        <f>医療機関!C147+陽性者登録センター!C147</f>
        <v>2</v>
      </c>
      <c r="D148" s="6">
        <f>医療機関!D147+陽性者登録センター!D147</f>
        <v>5</v>
      </c>
      <c r="E148" s="6">
        <f>医療機関!E147+陽性者登録センター!E147</f>
        <v>6</v>
      </c>
      <c r="F148" s="6">
        <f>医療機関!F147+陽性者登録センター!F147</f>
        <v>14</v>
      </c>
      <c r="G148" s="6">
        <f>医療機関!G147+陽性者登録センター!G147</f>
        <v>14</v>
      </c>
      <c r="H148" s="6">
        <f>医療機関!H147+陽性者登録センター!H147</f>
        <v>15</v>
      </c>
      <c r="I148" s="6">
        <f>医療機関!I147+陽性者登録センター!I147</f>
        <v>11</v>
      </c>
      <c r="J148" s="6">
        <f>医療機関!J147+陽性者登録センター!J147</f>
        <v>10</v>
      </c>
      <c r="K148" s="6">
        <f>医療機関!K147+陽性者登録センター!K147</f>
        <v>4</v>
      </c>
      <c r="L148" s="6">
        <f>医療機関!L147+陽性者登録センター!L147</f>
        <v>8</v>
      </c>
      <c r="M148" s="6">
        <f>医療機関!M147+陽性者登録センター!M147</f>
        <v>13</v>
      </c>
      <c r="N148" s="6">
        <f>医療機関!N147+陽性者登録センター!N147</f>
        <v>7</v>
      </c>
      <c r="O148" s="6">
        <f>医療機関!O147+陽性者登録センター!O147</f>
        <v>0</v>
      </c>
      <c r="P148" s="8">
        <f t="shared" si="6"/>
        <v>109</v>
      </c>
      <c r="Q148" s="8">
        <f t="shared" si="4"/>
        <v>197328</v>
      </c>
    </row>
    <row r="149" spans="1:17" ht="20" customHeight="1">
      <c r="A149" s="4">
        <v>44976</v>
      </c>
      <c r="B149" s="15">
        <f>医療機関!B148+陽性者登録センター!B148</f>
        <v>0</v>
      </c>
      <c r="C149" s="6">
        <f>医療機関!C148+陽性者登録センター!C148</f>
        <v>3</v>
      </c>
      <c r="D149" s="6">
        <f>医療機関!D148+陽性者登録センター!D148</f>
        <v>6</v>
      </c>
      <c r="E149" s="6">
        <f>医療機関!E148+陽性者登録センター!E148</f>
        <v>7</v>
      </c>
      <c r="F149" s="6">
        <f>医療機関!F148+陽性者登録センター!F148</f>
        <v>6</v>
      </c>
      <c r="G149" s="6">
        <f>医療機関!G148+陽性者登録センター!G148</f>
        <v>7</v>
      </c>
      <c r="H149" s="6">
        <f>医療機関!H148+陽性者登録センター!H148</f>
        <v>10</v>
      </c>
      <c r="I149" s="6">
        <f>医療機関!I148+陽性者登録センター!I148</f>
        <v>9</v>
      </c>
      <c r="J149" s="6">
        <f>医療機関!J148+陽性者登録センター!J148</f>
        <v>2</v>
      </c>
      <c r="K149" s="6">
        <f>医療機関!K148+陽性者登録センター!K148</f>
        <v>1</v>
      </c>
      <c r="L149" s="6">
        <f>医療機関!L148+陽性者登録センター!L148</f>
        <v>3</v>
      </c>
      <c r="M149" s="6">
        <f>医療機関!M148+陽性者登録センター!M148</f>
        <v>1</v>
      </c>
      <c r="N149" s="6">
        <f>医療機関!N148+陽性者登録センター!N148</f>
        <v>1</v>
      </c>
      <c r="O149" s="6">
        <f>医療機関!O148+陽性者登録センター!O148</f>
        <v>0</v>
      </c>
      <c r="P149" s="8">
        <f t="shared" si="6"/>
        <v>56</v>
      </c>
      <c r="Q149" s="8">
        <f t="shared" si="4"/>
        <v>197384</v>
      </c>
    </row>
    <row r="150" spans="1:17" ht="20" customHeight="1">
      <c r="A150" s="4">
        <v>44977</v>
      </c>
      <c r="B150" s="15">
        <f>医療機関!B149+陽性者登録センター!B149</f>
        <v>0</v>
      </c>
      <c r="C150" s="6">
        <f>医療機関!C149+陽性者登録センター!C149</f>
        <v>2</v>
      </c>
      <c r="D150" s="6">
        <f>医療機関!D149+陽性者登録センター!D149</f>
        <v>6</v>
      </c>
      <c r="E150" s="6">
        <f>医療機関!E149+陽性者登録センター!E149</f>
        <v>4</v>
      </c>
      <c r="F150" s="6">
        <f>医療機関!F149+陽性者登録センター!F149</f>
        <v>4</v>
      </c>
      <c r="G150" s="6">
        <f>医療機関!G149+陽性者登録センター!G149</f>
        <v>2</v>
      </c>
      <c r="H150" s="6">
        <f>医療機関!H149+陽性者登録センター!H149</f>
        <v>8</v>
      </c>
      <c r="I150" s="6">
        <f>医療機関!I149+陽性者登録センター!I149</f>
        <v>4</v>
      </c>
      <c r="J150" s="6">
        <f>医療機関!J149+陽性者登録センター!J149</f>
        <v>1</v>
      </c>
      <c r="K150" s="6">
        <f>医療機関!K149+陽性者登録センター!K149</f>
        <v>0</v>
      </c>
      <c r="L150" s="6">
        <f>医療機関!L149+陽性者登録センター!L149</f>
        <v>2</v>
      </c>
      <c r="M150" s="6">
        <f>医療機関!M149+陽性者登録センター!M149</f>
        <v>2</v>
      </c>
      <c r="N150" s="6">
        <f>医療機関!N149+陽性者登録センター!N149</f>
        <v>0</v>
      </c>
      <c r="O150" s="6">
        <f>医療機関!O149+陽性者登録センター!O149</f>
        <v>0</v>
      </c>
      <c r="P150" s="8">
        <f t="shared" si="6"/>
        <v>35</v>
      </c>
      <c r="Q150" s="8">
        <f t="shared" si="4"/>
        <v>197419</v>
      </c>
    </row>
    <row r="151" spans="1:17" ht="20" customHeight="1">
      <c r="A151" s="4">
        <v>44978</v>
      </c>
      <c r="B151" s="15">
        <f>医療機関!B150+陽性者登録センター!B150</f>
        <v>4</v>
      </c>
      <c r="C151" s="6">
        <f>医療機関!C150+陽性者登録センター!C150</f>
        <v>6</v>
      </c>
      <c r="D151" s="6">
        <f>医療機関!D150+陽性者登録センター!D150</f>
        <v>8</v>
      </c>
      <c r="E151" s="6">
        <f>医療機関!E150+陽性者登録センター!E150</f>
        <v>13</v>
      </c>
      <c r="F151" s="6">
        <f>医療機関!F150+陽性者登録センター!F150</f>
        <v>12</v>
      </c>
      <c r="G151" s="6">
        <f>医療機関!G150+陽性者登録センター!G150</f>
        <v>21</v>
      </c>
      <c r="H151" s="6">
        <f>医療機関!H150+陽性者登録センター!H150</f>
        <v>27</v>
      </c>
      <c r="I151" s="6">
        <f>医療機関!I150+陽性者登録センター!I150</f>
        <v>13</v>
      </c>
      <c r="J151" s="6">
        <f>医療機関!J150+陽性者登録センター!J150</f>
        <v>11</v>
      </c>
      <c r="K151" s="6">
        <f>医療機関!K150+陽性者登録センター!K150</f>
        <v>3</v>
      </c>
      <c r="L151" s="6">
        <f>医療機関!L150+陽性者登録センター!L150</f>
        <v>9</v>
      </c>
      <c r="M151" s="6">
        <f>医療機関!M150+陽性者登録センター!M150</f>
        <v>16</v>
      </c>
      <c r="N151" s="6">
        <f>医療機関!N150+陽性者登録センター!N150</f>
        <v>13</v>
      </c>
      <c r="O151" s="6">
        <f>医療機関!O150+陽性者登録センター!O150</f>
        <v>0</v>
      </c>
      <c r="P151" s="8">
        <f t="shared" si="6"/>
        <v>156</v>
      </c>
      <c r="Q151" s="8">
        <f t="shared" si="4"/>
        <v>197575</v>
      </c>
    </row>
    <row r="152" spans="1:17" ht="20" customHeight="1">
      <c r="A152" s="4">
        <v>44979</v>
      </c>
      <c r="B152" s="15">
        <f>医療機関!B151+陽性者登録センター!B151</f>
        <v>0</v>
      </c>
      <c r="C152" s="6">
        <f>医療機関!C151+陽性者登録センター!C151</f>
        <v>5</v>
      </c>
      <c r="D152" s="6">
        <f>医療機関!D151+陽性者登録センター!D151</f>
        <v>13</v>
      </c>
      <c r="E152" s="6">
        <f>医療機関!E151+陽性者登録センター!E151</f>
        <v>19</v>
      </c>
      <c r="F152" s="6">
        <f>医療機関!F151+陽性者登録センター!F151</f>
        <v>7</v>
      </c>
      <c r="G152" s="6">
        <f>医療機関!G151+陽性者登録センター!G151</f>
        <v>8</v>
      </c>
      <c r="H152" s="6">
        <f>医療機関!H151+陽性者登録センター!H151</f>
        <v>17</v>
      </c>
      <c r="I152" s="6">
        <f>医療機関!I151+陽性者登録センター!I151</f>
        <v>16</v>
      </c>
      <c r="J152" s="6">
        <f>医療機関!J151+陽性者登録センター!J151</f>
        <v>3</v>
      </c>
      <c r="K152" s="6">
        <f>医療機関!K151+陽性者登録センター!K151</f>
        <v>7</v>
      </c>
      <c r="L152" s="6">
        <f>医療機関!L151+陽性者登録センター!L151</f>
        <v>8</v>
      </c>
      <c r="M152" s="6">
        <f>医療機関!M151+陽性者登録センター!M151</f>
        <v>11</v>
      </c>
      <c r="N152" s="6">
        <f>医療機関!N151+陽性者登録センター!N151</f>
        <v>8</v>
      </c>
      <c r="O152" s="6">
        <f>医療機関!O151+陽性者登録センター!O151</f>
        <v>0</v>
      </c>
      <c r="P152" s="8">
        <f t="shared" si="6"/>
        <v>122</v>
      </c>
      <c r="Q152" s="8">
        <f t="shared" si="4"/>
        <v>197697</v>
      </c>
    </row>
    <row r="153" spans="1:17" ht="20" customHeight="1">
      <c r="A153" s="4">
        <v>44980</v>
      </c>
      <c r="B153" s="15">
        <f>医療機関!B152+陽性者登録センター!B152</f>
        <v>2</v>
      </c>
      <c r="C153" s="6">
        <f>医療機関!C152+陽性者登録センター!C152</f>
        <v>3</v>
      </c>
      <c r="D153" s="6">
        <f>医療機関!D152+陽性者登録センター!D152</f>
        <v>1</v>
      </c>
      <c r="E153" s="6">
        <f>医療機関!E152+陽性者登録センター!E152</f>
        <v>7</v>
      </c>
      <c r="F153" s="6">
        <f>医療機関!F152+陽性者登録センター!F152</f>
        <v>7</v>
      </c>
      <c r="G153" s="6">
        <f>医療機関!G152+陽性者登録センター!G152</f>
        <v>14</v>
      </c>
      <c r="H153" s="6">
        <f>医療機関!H152+陽性者登録センター!H152</f>
        <v>17</v>
      </c>
      <c r="I153" s="6">
        <f>医療機関!I152+陽性者登録センター!I152</f>
        <v>17</v>
      </c>
      <c r="J153" s="6">
        <f>医療機関!J152+陽性者登録センター!J152</f>
        <v>4</v>
      </c>
      <c r="K153" s="6">
        <f>医療機関!K152+陽性者登録センター!K152</f>
        <v>2</v>
      </c>
      <c r="L153" s="6">
        <f>医療機関!L152+陽性者登録センター!L152</f>
        <v>5</v>
      </c>
      <c r="M153" s="6">
        <f>医療機関!M152+陽性者登録センター!M152</f>
        <v>9</v>
      </c>
      <c r="N153" s="6">
        <f>医療機関!N152+陽性者登録センター!N152</f>
        <v>7</v>
      </c>
      <c r="O153" s="6">
        <f>医療機関!O152+陽性者登録センター!O152</f>
        <v>0</v>
      </c>
      <c r="P153" s="8">
        <f t="shared" si="6"/>
        <v>95</v>
      </c>
      <c r="Q153" s="8">
        <f t="shared" si="4"/>
        <v>197792</v>
      </c>
    </row>
    <row r="154" spans="1:17" ht="20" customHeight="1">
      <c r="A154" s="4">
        <v>44981</v>
      </c>
      <c r="B154" s="15">
        <f>医療機関!B153+陽性者登録センター!B153</f>
        <v>0</v>
      </c>
      <c r="C154" s="6">
        <f>医療機関!C153+陽性者登録センター!C153</f>
        <v>1</v>
      </c>
      <c r="D154" s="6">
        <f>医療機関!D153+陽性者登録センター!D153</f>
        <v>0</v>
      </c>
      <c r="E154" s="6">
        <f>医療機関!E153+陽性者登録センター!E153</f>
        <v>5</v>
      </c>
      <c r="F154" s="6">
        <f>医療機関!F153+陽性者登録センター!F153</f>
        <v>3</v>
      </c>
      <c r="G154" s="6">
        <f>医療機関!G153+陽性者登録センター!G153</f>
        <v>3</v>
      </c>
      <c r="H154" s="6">
        <f>医療機関!H153+陽性者登録センター!H153</f>
        <v>9</v>
      </c>
      <c r="I154" s="6">
        <f>医療機関!I153+陽性者登録センター!I153</f>
        <v>3</v>
      </c>
      <c r="J154" s="6">
        <f>医療機関!J153+陽性者登録センター!J153</f>
        <v>1</v>
      </c>
      <c r="K154" s="6">
        <f>医療機関!K153+陽性者登録センター!K153</f>
        <v>0</v>
      </c>
      <c r="L154" s="6">
        <f>医療機関!L153+陽性者登録センター!L153</f>
        <v>4</v>
      </c>
      <c r="M154" s="6">
        <f>医療機関!M153+陽性者登録センター!M153</f>
        <v>2</v>
      </c>
      <c r="N154" s="6">
        <f>医療機関!N153+陽性者登録センター!N153</f>
        <v>2</v>
      </c>
      <c r="O154" s="6">
        <f>医療機関!O153+陽性者登録センター!O153</f>
        <v>0</v>
      </c>
      <c r="P154" s="8">
        <f t="shared" si="6"/>
        <v>33</v>
      </c>
      <c r="Q154" s="8">
        <f t="shared" si="4"/>
        <v>197825</v>
      </c>
    </row>
    <row r="155" spans="1:17" ht="20" customHeight="1">
      <c r="A155" s="4">
        <v>44982</v>
      </c>
      <c r="B155" s="15">
        <f>医療機関!B154+陽性者登録センター!B154</f>
        <v>0</v>
      </c>
      <c r="C155" s="6">
        <f>医療機関!C154+陽性者登録センター!C154</f>
        <v>5</v>
      </c>
      <c r="D155" s="6">
        <f>医療機関!D154+陽性者登録センター!D154</f>
        <v>10</v>
      </c>
      <c r="E155" s="6">
        <f>医療機関!E154+陽性者登録センター!E154</f>
        <v>15</v>
      </c>
      <c r="F155" s="6">
        <f>医療機関!F154+陽性者登録センター!F154</f>
        <v>13</v>
      </c>
      <c r="G155" s="6">
        <f>医療機関!G154+陽性者登録センター!G154</f>
        <v>16</v>
      </c>
      <c r="H155" s="6">
        <f>医療機関!H154+陽性者登録センター!H154</f>
        <v>17</v>
      </c>
      <c r="I155" s="6">
        <f>医療機関!I154+陽性者登録センター!I154</f>
        <v>16</v>
      </c>
      <c r="J155" s="6">
        <f>医療機関!J154+陽性者登録センター!J154</f>
        <v>12</v>
      </c>
      <c r="K155" s="6">
        <f>医療機関!K154+陽性者登録センター!K154</f>
        <v>4</v>
      </c>
      <c r="L155" s="6">
        <f>医療機関!L154+陽性者登録センター!L154</f>
        <v>14</v>
      </c>
      <c r="M155" s="6">
        <f>医療機関!M154+陽性者登録センター!M154</f>
        <v>3</v>
      </c>
      <c r="N155" s="6">
        <f>医療機関!N154+陽性者登録センター!N154</f>
        <v>6</v>
      </c>
      <c r="O155" s="6">
        <f>医療機関!O154+陽性者登録センター!O154</f>
        <v>0</v>
      </c>
      <c r="P155" s="8">
        <f t="shared" si="6"/>
        <v>131</v>
      </c>
      <c r="Q155" s="8">
        <f t="shared" si="4"/>
        <v>197956</v>
      </c>
    </row>
    <row r="156" spans="1:17" ht="20" customHeight="1">
      <c r="A156" s="4">
        <v>44983</v>
      </c>
      <c r="B156" s="15">
        <f>医療機関!B155+陽性者登録センター!B155</f>
        <v>0</v>
      </c>
      <c r="C156" s="6">
        <f>医療機関!C155+陽性者登録センター!C155</f>
        <v>1</v>
      </c>
      <c r="D156" s="6">
        <f>医療機関!D155+陽性者登録センター!D155</f>
        <v>7</v>
      </c>
      <c r="E156" s="6">
        <f>医療機関!E155+陽性者登録センター!E155</f>
        <v>7</v>
      </c>
      <c r="F156" s="6">
        <f>医療機関!F155+陽性者登録センター!F155</f>
        <v>10</v>
      </c>
      <c r="G156" s="6">
        <f>医療機関!G155+陽性者登録センター!G155</f>
        <v>12</v>
      </c>
      <c r="H156" s="6">
        <f>医療機関!H155+陽性者登録センター!H155</f>
        <v>19</v>
      </c>
      <c r="I156" s="6">
        <f>医療機関!I155+陽性者登録センター!I155</f>
        <v>8</v>
      </c>
      <c r="J156" s="6">
        <f>医療機関!J155+陽性者登録センター!J155</f>
        <v>5</v>
      </c>
      <c r="K156" s="6">
        <f>医療機関!K155+陽性者登録センター!K155</f>
        <v>2</v>
      </c>
      <c r="L156" s="6">
        <f>医療機関!L155+陽性者登録センター!L155</f>
        <v>5</v>
      </c>
      <c r="M156" s="6">
        <f>医療機関!M155+陽性者登録センター!M155</f>
        <v>5</v>
      </c>
      <c r="N156" s="6">
        <f>医療機関!N155+陽性者登録センター!N155</f>
        <v>2</v>
      </c>
      <c r="O156" s="6">
        <f>医療機関!O155+陽性者登録センター!O155</f>
        <v>0</v>
      </c>
      <c r="P156" s="8">
        <f t="shared" si="6"/>
        <v>83</v>
      </c>
      <c r="Q156" s="8">
        <f t="shared" si="4"/>
        <v>198039</v>
      </c>
    </row>
    <row r="157" spans="1:17" ht="20" customHeight="1">
      <c r="A157" s="4">
        <v>44984</v>
      </c>
      <c r="B157" s="15">
        <f>医療機関!B156+陽性者登録センター!B156</f>
        <v>1</v>
      </c>
      <c r="C157" s="6">
        <f>医療機関!C156+陽性者登録センター!C156</f>
        <v>0</v>
      </c>
      <c r="D157" s="6">
        <f>医療機関!D156+陽性者登録センター!D156</f>
        <v>1</v>
      </c>
      <c r="E157" s="6">
        <f>医療機関!E156+陽性者登録センター!E156</f>
        <v>3</v>
      </c>
      <c r="F157" s="6">
        <f>医療機関!F156+陽性者登録センター!F156</f>
        <v>5</v>
      </c>
      <c r="G157" s="6">
        <f>医療機関!G156+陽性者登録センター!G156</f>
        <v>5</v>
      </c>
      <c r="H157" s="6">
        <f>医療機関!H156+陽性者登録センター!H156</f>
        <v>3</v>
      </c>
      <c r="I157" s="6">
        <f>医療機関!I156+陽性者登録センター!I156</f>
        <v>1</v>
      </c>
      <c r="J157" s="6">
        <f>医療機関!J156+陽性者登録センター!J156</f>
        <v>1</v>
      </c>
      <c r="K157" s="6">
        <f>医療機関!K156+陽性者登録センター!K156</f>
        <v>0</v>
      </c>
      <c r="L157" s="6">
        <f>医療機関!L156+陽性者登録センター!L156</f>
        <v>0</v>
      </c>
      <c r="M157" s="6">
        <f>医療機関!M156+陽性者登録センター!M156</f>
        <v>2</v>
      </c>
      <c r="N157" s="6">
        <f>医療機関!N156+陽性者登録センター!N156</f>
        <v>1</v>
      </c>
      <c r="O157" s="6">
        <f>医療機関!O156+陽性者登録センター!O156</f>
        <v>0</v>
      </c>
      <c r="P157" s="8">
        <f t="shared" si="6"/>
        <v>23</v>
      </c>
      <c r="Q157" s="8">
        <f t="shared" si="4"/>
        <v>198062</v>
      </c>
    </row>
    <row r="158" spans="1:17" ht="20" customHeight="1">
      <c r="A158" s="4">
        <v>44985</v>
      </c>
      <c r="B158" s="15">
        <f>医療機関!B157+陽性者登録センター!B157</f>
        <v>0</v>
      </c>
      <c r="C158" s="6">
        <f>医療機関!C157+陽性者登録センター!C157</f>
        <v>3</v>
      </c>
      <c r="D158" s="6">
        <f>医療機関!D157+陽性者登録センター!D157</f>
        <v>11</v>
      </c>
      <c r="E158" s="6">
        <f>医療機関!E157+陽性者登録センター!E157</f>
        <v>14</v>
      </c>
      <c r="F158" s="6">
        <f>医療機関!F157+陽性者登録センター!F157</f>
        <v>21</v>
      </c>
      <c r="G158" s="6">
        <f>医療機関!G157+陽性者登録センター!G157</f>
        <v>24</v>
      </c>
      <c r="H158" s="6">
        <f>医療機関!H157+陽性者登録センター!H157</f>
        <v>23</v>
      </c>
      <c r="I158" s="6">
        <f>医療機関!I157+陽性者登録センター!I157</f>
        <v>21</v>
      </c>
      <c r="J158" s="6">
        <f>医療機関!J157+陽性者登録センター!J157</f>
        <v>23</v>
      </c>
      <c r="K158" s="6">
        <f>医療機関!K157+陽性者登録センター!K157</f>
        <v>9</v>
      </c>
      <c r="L158" s="6">
        <f>医療機関!L157+陽性者登録センター!L157</f>
        <v>10</v>
      </c>
      <c r="M158" s="6">
        <f>医療機関!M157+陽性者登録センター!M157</f>
        <v>13</v>
      </c>
      <c r="N158" s="6">
        <f>医療機関!N157+陽性者登録センター!N157</f>
        <v>16</v>
      </c>
      <c r="O158" s="6">
        <f>医療機関!O157+陽性者登録センター!O157</f>
        <v>0</v>
      </c>
      <c r="P158" s="8">
        <f t="shared" si="6"/>
        <v>188</v>
      </c>
      <c r="Q158" s="8">
        <f t="shared" si="4"/>
        <v>198250</v>
      </c>
    </row>
    <row r="159" spans="1:17" ht="20" customHeight="1">
      <c r="A159" s="4">
        <v>44986</v>
      </c>
      <c r="B159" s="15">
        <f>医療機関!B158+陽性者登録センター!B158</f>
        <v>0</v>
      </c>
      <c r="C159" s="6">
        <f>医療機関!C158+陽性者登録センター!C158</f>
        <v>8</v>
      </c>
      <c r="D159" s="6">
        <f>医療機関!D158+陽性者登録センター!D158</f>
        <v>7</v>
      </c>
      <c r="E159" s="6">
        <f>医療機関!E158+陽性者登録センター!E158</f>
        <v>18</v>
      </c>
      <c r="F159" s="6">
        <f>医療機関!F158+陽性者登録センター!F158</f>
        <v>11</v>
      </c>
      <c r="G159" s="6">
        <f>医療機関!G158+陽性者登録センター!G158</f>
        <v>18</v>
      </c>
      <c r="H159" s="6">
        <f>医療機関!H158+陽性者登録センター!H158</f>
        <v>13</v>
      </c>
      <c r="I159" s="6">
        <f>医療機関!I158+陽性者登録センター!I158</f>
        <v>13</v>
      </c>
      <c r="J159" s="6">
        <f>医療機関!J158+陽性者登録センター!J158</f>
        <v>10</v>
      </c>
      <c r="K159" s="6">
        <f>医療機関!K158+陽性者登録センター!K158</f>
        <v>5</v>
      </c>
      <c r="L159" s="6">
        <f>医療機関!L158+陽性者登録センター!L158</f>
        <v>5</v>
      </c>
      <c r="M159" s="6">
        <f>医療機関!M158+陽性者登録センター!M158</f>
        <v>20</v>
      </c>
      <c r="N159" s="6">
        <f>医療機関!N158+陽性者登録センター!N158</f>
        <v>12</v>
      </c>
      <c r="O159" s="6">
        <f>医療機関!O158+陽性者登録センター!O158</f>
        <v>0</v>
      </c>
      <c r="P159" s="8">
        <f t="shared" si="6"/>
        <v>140</v>
      </c>
      <c r="Q159" s="8">
        <f t="shared" si="4"/>
        <v>198390</v>
      </c>
    </row>
    <row r="160" spans="1:17" ht="20" customHeight="1">
      <c r="A160" s="4">
        <v>44987</v>
      </c>
      <c r="B160" s="15">
        <f>医療機関!B159+陽性者登録センター!B159</f>
        <v>0</v>
      </c>
      <c r="C160" s="6">
        <f>医療機関!C159+陽性者登録センター!C159</f>
        <v>3</v>
      </c>
      <c r="D160" s="6">
        <f>医療機関!D159+陽性者登録センター!D159</f>
        <v>2</v>
      </c>
      <c r="E160" s="6">
        <f>医療機関!E159+陽性者登録センター!E159</f>
        <v>12</v>
      </c>
      <c r="F160" s="6">
        <f>医療機関!F159+陽性者登録センター!F159</f>
        <v>14</v>
      </c>
      <c r="G160" s="6">
        <f>医療機関!G159+陽性者登録センター!G159</f>
        <v>15</v>
      </c>
      <c r="H160" s="6">
        <f>医療機関!H159+陽性者登録センター!H159</f>
        <v>17</v>
      </c>
      <c r="I160" s="6">
        <f>医療機関!I159+陽性者登録センター!I159</f>
        <v>6</v>
      </c>
      <c r="J160" s="6">
        <f>医療機関!J159+陽性者登録センター!J159</f>
        <v>8</v>
      </c>
      <c r="K160" s="6">
        <f>医療機関!K159+陽性者登録センター!K159</f>
        <v>5</v>
      </c>
      <c r="L160" s="6">
        <f>医療機関!L159+陽性者登録センター!L159</f>
        <v>7</v>
      </c>
      <c r="M160" s="6">
        <f>医療機関!M159+陽性者登録センター!M159</f>
        <v>12</v>
      </c>
      <c r="N160" s="6">
        <f>医療機関!N159+陽性者登録センター!N159</f>
        <v>5</v>
      </c>
      <c r="O160" s="6">
        <f>医療機関!O159+陽性者登録センター!O159</f>
        <v>0</v>
      </c>
      <c r="P160" s="8">
        <f t="shared" si="6"/>
        <v>106</v>
      </c>
      <c r="Q160" s="8">
        <f t="shared" si="4"/>
        <v>198496</v>
      </c>
    </row>
    <row r="161" spans="1:17" ht="20" customHeight="1">
      <c r="A161" s="4">
        <v>44988</v>
      </c>
      <c r="B161" s="15">
        <f>医療機関!B160+陽性者登録センター!B160</f>
        <v>0</v>
      </c>
      <c r="C161" s="6">
        <f>医療機関!C160+陽性者登録センター!C160</f>
        <v>5</v>
      </c>
      <c r="D161" s="6">
        <f>医療機関!D160+陽性者登録センター!D160</f>
        <v>6</v>
      </c>
      <c r="E161" s="6">
        <f>医療機関!E160+陽性者登録センター!E160</f>
        <v>8</v>
      </c>
      <c r="F161" s="6">
        <f>医療機関!F160+陽性者登録センター!F160</f>
        <v>14</v>
      </c>
      <c r="G161" s="6">
        <f>医療機関!G160+陽性者登録センター!G160</f>
        <v>17</v>
      </c>
      <c r="H161" s="6">
        <f>医療機関!H160+陽性者登録センター!H160</f>
        <v>19</v>
      </c>
      <c r="I161" s="6">
        <f>医療機関!I160+陽性者登録センター!I160</f>
        <v>12</v>
      </c>
      <c r="J161" s="6">
        <f>医療機関!J160+陽性者登録センター!J160</f>
        <v>10</v>
      </c>
      <c r="K161" s="6">
        <f>医療機関!K160+陽性者登録センター!K160</f>
        <v>1</v>
      </c>
      <c r="L161" s="6">
        <f>医療機関!L160+陽性者登録センター!L160</f>
        <v>4</v>
      </c>
      <c r="M161" s="6">
        <f>医療機関!M160+陽性者登録センター!M160</f>
        <v>10</v>
      </c>
      <c r="N161" s="6">
        <f>医療機関!N160+陽性者登録センター!N160</f>
        <v>7</v>
      </c>
      <c r="O161" s="6">
        <f>医療機関!O160+陽性者登録センター!O160</f>
        <v>0</v>
      </c>
      <c r="P161" s="8">
        <f t="shared" si="6"/>
        <v>113</v>
      </c>
      <c r="Q161" s="8">
        <f t="shared" si="4"/>
        <v>198609</v>
      </c>
    </row>
    <row r="162" spans="1:17" ht="20" customHeight="1">
      <c r="A162" s="4">
        <v>44989</v>
      </c>
      <c r="B162" s="15">
        <f>医療機関!B161+陽性者登録センター!B161</f>
        <v>0</v>
      </c>
      <c r="C162" s="6">
        <f>医療機関!C161+陽性者登録センター!C161</f>
        <v>11</v>
      </c>
      <c r="D162" s="6">
        <f>医療機関!D161+陽性者登録センター!D161</f>
        <v>2</v>
      </c>
      <c r="E162" s="6">
        <f>医療機関!E161+陽性者登録センター!E161</f>
        <v>6</v>
      </c>
      <c r="F162" s="6">
        <f>医療機関!F161+陽性者登録センター!F161</f>
        <v>15</v>
      </c>
      <c r="G162" s="6">
        <f>医療機関!G161+陽性者登録センター!G161</f>
        <v>21</v>
      </c>
      <c r="H162" s="6">
        <f>医療機関!H161+陽性者登録センター!H161</f>
        <v>9</v>
      </c>
      <c r="I162" s="6">
        <f>医療機関!I161+陽性者登録センター!I161</f>
        <v>14</v>
      </c>
      <c r="J162" s="6">
        <f>医療機関!J161+陽性者登録センター!J161</f>
        <v>4</v>
      </c>
      <c r="K162" s="6">
        <f>医療機関!K161+陽性者登録センター!K161</f>
        <v>8</v>
      </c>
      <c r="L162" s="6">
        <f>医療機関!L161+陽性者登録センター!L161</f>
        <v>2</v>
      </c>
      <c r="M162" s="6">
        <f>医療機関!M161+陽性者登録センター!M161</f>
        <v>10</v>
      </c>
      <c r="N162" s="6">
        <f>医療機関!N161+陽性者登録センター!N161</f>
        <v>1</v>
      </c>
      <c r="O162" s="6">
        <f>医療機関!O161+陽性者登録センター!O161</f>
        <v>0</v>
      </c>
      <c r="P162" s="8">
        <f t="shared" si="6"/>
        <v>103</v>
      </c>
      <c r="Q162" s="8">
        <f t="shared" si="4"/>
        <v>198712</v>
      </c>
    </row>
    <row r="163" spans="1:17" ht="20" customHeight="1">
      <c r="A163" s="4">
        <v>44990</v>
      </c>
      <c r="B163" s="15">
        <f>医療機関!B162+陽性者登録センター!B162</f>
        <v>1</v>
      </c>
      <c r="C163" s="15">
        <f>医療機関!C162+陽性者登録センター!C162</f>
        <v>4</v>
      </c>
      <c r="D163" s="15">
        <f>医療機関!D162+陽性者登録センター!D162</f>
        <v>3</v>
      </c>
      <c r="E163" s="15">
        <f>医療機関!E162+陽性者登録センター!E162</f>
        <v>3</v>
      </c>
      <c r="F163" s="15">
        <f>医療機関!F162+陽性者登録センター!F162</f>
        <v>9</v>
      </c>
      <c r="G163" s="15">
        <f>医療機関!G162+陽性者登録センター!G162</f>
        <v>13</v>
      </c>
      <c r="H163" s="15">
        <f>医療機関!H162+陽性者登録センター!H162</f>
        <v>6</v>
      </c>
      <c r="I163" s="15">
        <f>医療機関!I162+陽性者登録センター!I162</f>
        <v>6</v>
      </c>
      <c r="J163" s="15">
        <f>医療機関!J162+陽性者登録センター!J162</f>
        <v>3</v>
      </c>
      <c r="K163" s="15">
        <f>医療機関!K162+陽性者登録センター!K162</f>
        <v>3</v>
      </c>
      <c r="L163" s="15">
        <f>医療機関!L162+陽性者登録センター!L162</f>
        <v>2</v>
      </c>
      <c r="M163" s="15">
        <f>医療機関!M162+陽性者登録センター!M162</f>
        <v>3</v>
      </c>
      <c r="N163" s="15">
        <f>医療機関!N162+陽性者登録センター!N162</f>
        <v>4</v>
      </c>
      <c r="O163" s="15">
        <f>医療機関!O162+陽性者登録センター!O162</f>
        <v>0</v>
      </c>
      <c r="P163" s="15">
        <f>医療機関!P162+陽性者登録センター!P162</f>
        <v>60</v>
      </c>
      <c r="Q163" s="8">
        <f t="shared" si="4"/>
        <v>198772</v>
      </c>
    </row>
    <row r="164" spans="1:17" ht="20" customHeight="1">
      <c r="A164" s="4">
        <v>44991</v>
      </c>
      <c r="B164" s="15">
        <f>医療機関!B163+陽性者登録センター!B163</f>
        <v>0</v>
      </c>
      <c r="C164" s="15">
        <f>医療機関!C163+陽性者登録センター!C163</f>
        <v>7</v>
      </c>
      <c r="D164" s="15">
        <f>医療機関!D163+陽性者登録センター!D163</f>
        <v>1</v>
      </c>
      <c r="E164" s="15">
        <f>医療機関!E163+陽性者登録センター!E163</f>
        <v>3</v>
      </c>
      <c r="F164" s="15">
        <f>医療機関!F163+陽性者登録センター!F163</f>
        <v>1</v>
      </c>
      <c r="G164" s="15">
        <f>医療機関!G163+陽性者登録センター!G163</f>
        <v>4</v>
      </c>
      <c r="H164" s="15">
        <f>医療機関!H163+陽性者登録センター!H163</f>
        <v>3</v>
      </c>
      <c r="I164" s="15">
        <f>医療機関!I163+陽性者登録センター!I163</f>
        <v>1</v>
      </c>
      <c r="J164" s="15">
        <f>医療機関!J163+陽性者登録センター!J163</f>
        <v>2</v>
      </c>
      <c r="K164" s="15">
        <f>医療機関!K163+陽性者登録センター!K163</f>
        <v>0</v>
      </c>
      <c r="L164" s="15">
        <f>医療機関!L163+陽性者登録センター!L163</f>
        <v>1</v>
      </c>
      <c r="M164" s="15">
        <f>医療機関!M163+陽性者登録センター!M163</f>
        <v>1</v>
      </c>
      <c r="N164" s="15">
        <f>医療機関!N163+陽性者登録センター!N163</f>
        <v>2</v>
      </c>
      <c r="O164" s="15">
        <f>医療機関!O163+陽性者登録センター!O163</f>
        <v>0</v>
      </c>
      <c r="P164" s="15">
        <f>医療機関!P163+陽性者登録センター!P163</f>
        <v>26</v>
      </c>
      <c r="Q164" s="8">
        <f t="shared" si="4"/>
        <v>198798</v>
      </c>
    </row>
    <row r="165" spans="1:17" ht="20" customHeight="1">
      <c r="A165" s="4">
        <v>44992</v>
      </c>
      <c r="B165" s="15">
        <f>医療機関!B164+陽性者登録センター!B164</f>
        <v>0</v>
      </c>
      <c r="C165" s="15">
        <f>医療機関!C164+陽性者登録センター!C164</f>
        <v>7</v>
      </c>
      <c r="D165" s="15">
        <f>医療機関!D164+陽性者登録センター!D164</f>
        <v>10</v>
      </c>
      <c r="E165" s="15">
        <f>医療機関!E164+陽性者登録センター!E164</f>
        <v>7</v>
      </c>
      <c r="F165" s="15">
        <f>医療機関!F164+陽性者登録センター!F164</f>
        <v>15</v>
      </c>
      <c r="G165" s="15">
        <f>医療機関!G164+陽性者登録センター!G164</f>
        <v>17</v>
      </c>
      <c r="H165" s="15">
        <f>医療機関!H164+陽性者登録センター!H164</f>
        <v>26</v>
      </c>
      <c r="I165" s="15">
        <f>医療機関!I164+陽性者登録センター!I164</f>
        <v>17</v>
      </c>
      <c r="J165" s="15">
        <f>医療機関!J164+陽性者登録センター!J164</f>
        <v>10</v>
      </c>
      <c r="K165" s="15">
        <f>医療機関!K164+陽性者登録センター!K164</f>
        <v>11</v>
      </c>
      <c r="L165" s="15">
        <f>医療機関!L164+陽性者登録センター!L164</f>
        <v>9</v>
      </c>
      <c r="M165" s="15">
        <f>医療機関!M164+陽性者登録センター!M164</f>
        <v>10</v>
      </c>
      <c r="N165" s="15">
        <f>医療機関!N164+陽性者登録センター!N164</f>
        <v>10</v>
      </c>
      <c r="O165" s="15">
        <f>医療機関!O164+陽性者登録センター!O164</f>
        <v>0</v>
      </c>
      <c r="P165" s="15">
        <f>医療機関!P164+陽性者登録センター!P164</f>
        <v>149</v>
      </c>
      <c r="Q165" s="8">
        <f t="shared" si="4"/>
        <v>198947</v>
      </c>
    </row>
    <row r="166" spans="1:17" ht="20" customHeight="1">
      <c r="A166" s="4">
        <v>44993</v>
      </c>
      <c r="B166" s="15">
        <f>医療機関!B165+陽性者登録センター!B165</f>
        <v>1</v>
      </c>
      <c r="C166" s="15">
        <f>医療機関!C165+陽性者登録センター!C165</f>
        <v>3</v>
      </c>
      <c r="D166" s="15">
        <f>医療機関!D165+陽性者登録センター!D165</f>
        <v>4</v>
      </c>
      <c r="E166" s="15">
        <f>医療機関!E165+陽性者登録センター!E165</f>
        <v>5</v>
      </c>
      <c r="F166" s="15">
        <f>医療機関!F165+陽性者登録センター!F165</f>
        <v>13</v>
      </c>
      <c r="G166" s="15">
        <f>医療機関!G165+陽性者登録センター!G165</f>
        <v>17</v>
      </c>
      <c r="H166" s="15">
        <f>医療機関!H165+陽性者登録センター!H165</f>
        <v>11</v>
      </c>
      <c r="I166" s="15">
        <f>医療機関!I165+陽性者登録センター!I165</f>
        <v>14</v>
      </c>
      <c r="J166" s="15">
        <f>医療機関!J165+陽性者登録センター!J165</f>
        <v>5</v>
      </c>
      <c r="K166" s="15">
        <f>医療機関!K165+陽性者登録センター!K165</f>
        <v>3</v>
      </c>
      <c r="L166" s="15">
        <f>医療機関!L165+陽性者登録センター!L165</f>
        <v>2</v>
      </c>
      <c r="M166" s="15">
        <f>医療機関!M165+陽性者登録センター!M165</f>
        <v>5</v>
      </c>
      <c r="N166" s="15">
        <f>医療機関!N165+陽性者登録センター!N165</f>
        <v>7</v>
      </c>
      <c r="O166" s="15">
        <f>医療機関!O165+陽性者登録センター!O165</f>
        <v>0</v>
      </c>
      <c r="P166" s="15">
        <f>医療機関!P165+陽性者登録センター!P165</f>
        <v>90</v>
      </c>
      <c r="Q166" s="8">
        <f t="shared" si="4"/>
        <v>199037</v>
      </c>
    </row>
    <row r="167" spans="1:17" ht="20" customHeight="1">
      <c r="A167" s="4">
        <v>44994</v>
      </c>
      <c r="B167" s="15">
        <f>医療機関!B166+陽性者登録センター!B166</f>
        <v>2</v>
      </c>
      <c r="C167" s="15">
        <f>医療機関!C166+陽性者登録センター!C166</f>
        <v>7</v>
      </c>
      <c r="D167" s="15">
        <f>医療機関!D166+陽性者登録センター!D166</f>
        <v>6</v>
      </c>
      <c r="E167" s="15">
        <f>医療機関!E166+陽性者登録センター!E166</f>
        <v>1</v>
      </c>
      <c r="F167" s="15">
        <f>医療機関!F166+陽性者登録センター!F166</f>
        <v>9</v>
      </c>
      <c r="G167" s="15">
        <f>医療機関!G166+陽性者登録センター!G166</f>
        <v>8</v>
      </c>
      <c r="H167" s="15">
        <f>医療機関!H166+陽性者登録センター!H166</f>
        <v>12</v>
      </c>
      <c r="I167" s="15">
        <f>医療機関!I166+陽性者登録センター!I166</f>
        <v>9</v>
      </c>
      <c r="J167" s="15">
        <f>医療機関!J166+陽性者登録センター!J166</f>
        <v>3</v>
      </c>
      <c r="K167" s="15">
        <f>医療機関!K166+陽性者登録センター!K166</f>
        <v>7</v>
      </c>
      <c r="L167" s="15">
        <f>医療機関!L166+陽性者登録センター!L166</f>
        <v>8</v>
      </c>
      <c r="M167" s="15">
        <f>医療機関!M166+陽性者登録センター!M166</f>
        <v>10</v>
      </c>
      <c r="N167" s="15">
        <f>医療機関!N166+陽性者登録センター!N166</f>
        <v>2</v>
      </c>
      <c r="O167" s="15">
        <f>医療機関!O166+陽性者登録センター!O166</f>
        <v>0</v>
      </c>
      <c r="P167" s="15">
        <f>医療機関!P166+陽性者登録センター!P166</f>
        <v>84</v>
      </c>
      <c r="Q167" s="8">
        <f t="shared" si="4"/>
        <v>199121</v>
      </c>
    </row>
    <row r="168" spans="1:17" ht="20" customHeight="1">
      <c r="A168" s="4">
        <v>44995</v>
      </c>
      <c r="B168" s="15">
        <f>医療機関!B167+陽性者登録センター!B167</f>
        <v>0</v>
      </c>
      <c r="C168" s="15">
        <f>医療機関!C167+陽性者登録センター!C167</f>
        <v>6</v>
      </c>
      <c r="D168" s="15">
        <f>医療機関!D167+陽性者登録センター!D167</f>
        <v>2</v>
      </c>
      <c r="E168" s="15">
        <f>医療機関!E167+陽性者登録センター!E167</f>
        <v>8</v>
      </c>
      <c r="F168" s="15">
        <f>医療機関!F167+陽性者登録センター!F167</f>
        <v>11</v>
      </c>
      <c r="G168" s="15">
        <f>医療機関!G167+陽性者登録センター!G167</f>
        <v>10</v>
      </c>
      <c r="H168" s="15">
        <f>医療機関!H167+陽性者登録センター!H167</f>
        <v>8</v>
      </c>
      <c r="I168" s="15">
        <f>医療機関!I167+陽性者登録センター!I167</f>
        <v>8</v>
      </c>
      <c r="J168" s="15">
        <f>医療機関!J167+陽性者登録センター!J167</f>
        <v>4</v>
      </c>
      <c r="K168" s="15">
        <f>医療機関!K167+陽性者登録センター!K167</f>
        <v>6</v>
      </c>
      <c r="L168" s="15">
        <f>医療機関!L167+陽性者登録センター!L167</f>
        <v>10</v>
      </c>
      <c r="M168" s="15">
        <f>医療機関!M167+陽性者登録センター!M167</f>
        <v>3</v>
      </c>
      <c r="N168" s="15">
        <f>医療機関!N167+陽性者登録センター!N167</f>
        <v>2</v>
      </c>
      <c r="O168" s="15">
        <f>医療機関!O167+陽性者登録センター!O167</f>
        <v>0</v>
      </c>
      <c r="P168" s="15">
        <f>医療機関!P167+陽性者登録センター!P167</f>
        <v>78</v>
      </c>
      <c r="Q168" s="8">
        <f t="shared" si="4"/>
        <v>199199</v>
      </c>
    </row>
    <row r="169" spans="1:17" ht="20" customHeight="1">
      <c r="A169" s="4">
        <v>44996</v>
      </c>
      <c r="B169" s="15">
        <f>医療機関!B168+陽性者登録センター!B168</f>
        <v>0</v>
      </c>
      <c r="C169" s="15">
        <f>医療機関!C168+陽性者登録センター!C168</f>
        <v>3</v>
      </c>
      <c r="D169" s="15">
        <f>医療機関!D168+陽性者登録センター!D168</f>
        <v>4</v>
      </c>
      <c r="E169" s="15">
        <f>医療機関!E168+陽性者登録センター!E168</f>
        <v>4</v>
      </c>
      <c r="F169" s="15">
        <f>医療機関!F168+陽性者登録センター!F168</f>
        <v>4</v>
      </c>
      <c r="G169" s="15">
        <f>医療機関!G168+陽性者登録センター!G168</f>
        <v>7</v>
      </c>
      <c r="H169" s="15">
        <f>医療機関!H168+陽性者登録センター!H168</f>
        <v>8</v>
      </c>
      <c r="I169" s="15">
        <f>医療機関!I168+陽性者登録センター!I168</f>
        <v>4</v>
      </c>
      <c r="J169" s="15">
        <f>医療機関!J168+陽性者登録センター!J168</f>
        <v>4</v>
      </c>
      <c r="K169" s="15">
        <f>医療機関!K168+陽性者登録センター!K168</f>
        <v>1</v>
      </c>
      <c r="L169" s="15">
        <f>医療機関!L168+陽性者登録センター!L168</f>
        <v>8</v>
      </c>
      <c r="M169" s="15">
        <f>医療機関!M168+陽性者登録センター!M168</f>
        <v>7</v>
      </c>
      <c r="N169" s="15">
        <f>医療機関!N168+陽性者登録センター!N168</f>
        <v>2</v>
      </c>
      <c r="O169" s="15">
        <f>医療機関!O168+陽性者登録センター!O168</f>
        <v>0</v>
      </c>
      <c r="P169" s="15">
        <f>医療機関!P168+陽性者登録センター!P168</f>
        <v>56</v>
      </c>
      <c r="Q169" s="8">
        <f t="shared" si="4"/>
        <v>199255</v>
      </c>
    </row>
    <row r="170" spans="1:17" ht="20" customHeight="1">
      <c r="A170" s="4">
        <v>44997</v>
      </c>
      <c r="B170" s="15">
        <f>医療機関!B169+陽性者登録センター!B169</f>
        <v>1</v>
      </c>
      <c r="C170" s="15">
        <f>医療機関!C169+陽性者登録センター!C169</f>
        <v>2</v>
      </c>
      <c r="D170" s="15">
        <f>医療機関!D169+陽性者登録センター!D169</f>
        <v>5</v>
      </c>
      <c r="E170" s="15">
        <f>医療機関!E169+陽性者登録センター!E169</f>
        <v>6</v>
      </c>
      <c r="F170" s="15">
        <f>医療機関!F169+陽性者登録センター!F169</f>
        <v>3</v>
      </c>
      <c r="G170" s="15">
        <f>医療機関!G169+陽性者登録センター!G169</f>
        <v>10</v>
      </c>
      <c r="H170" s="15">
        <f>医療機関!H169+陽性者登録センター!H169</f>
        <v>8</v>
      </c>
      <c r="I170" s="15">
        <f>医療機関!I169+陽性者登録センター!I169</f>
        <v>2</v>
      </c>
      <c r="J170" s="15">
        <f>医療機関!J169+陽性者登録センター!J169</f>
        <v>3</v>
      </c>
      <c r="K170" s="15">
        <f>医療機関!K169+陽性者登録センター!K169</f>
        <v>7</v>
      </c>
      <c r="L170" s="15">
        <f>医療機関!L169+陽性者登録センター!L169</f>
        <v>4</v>
      </c>
      <c r="M170" s="15">
        <f>医療機関!M169+陽性者登録センター!M169</f>
        <v>1</v>
      </c>
      <c r="N170" s="15">
        <f>医療機関!N169+陽性者登録センター!N169</f>
        <v>1</v>
      </c>
      <c r="O170" s="15">
        <f>医療機関!O169+陽性者登録センター!O169</f>
        <v>0</v>
      </c>
      <c r="P170" s="15">
        <f>医療機関!P169+陽性者登録センター!P169</f>
        <v>53</v>
      </c>
      <c r="Q170" s="8">
        <f t="shared" si="4"/>
        <v>199308</v>
      </c>
    </row>
    <row r="171" spans="1:17" ht="20" customHeight="1">
      <c r="A171" s="4">
        <v>44998</v>
      </c>
      <c r="B171" s="15">
        <f>医療機関!B170+陽性者登録センター!B170</f>
        <v>0</v>
      </c>
      <c r="C171" s="15">
        <f>医療機関!C170+陽性者登録センター!C170</f>
        <v>2</v>
      </c>
      <c r="D171" s="15">
        <f>医療機関!D170+陽性者登録センター!D170</f>
        <v>6</v>
      </c>
      <c r="E171" s="15">
        <f>医療機関!E170+陽性者登録センター!E170</f>
        <v>2</v>
      </c>
      <c r="F171" s="15">
        <f>医療機関!F170+陽性者登録センター!F170</f>
        <v>3</v>
      </c>
      <c r="G171" s="15">
        <f>医療機関!G170+陽性者登録センター!G170</f>
        <v>3</v>
      </c>
      <c r="H171" s="15">
        <f>医療機関!H170+陽性者登録センター!H170</f>
        <v>1</v>
      </c>
      <c r="I171" s="15">
        <f>医療機関!I170+陽性者登録センター!I170</f>
        <v>2</v>
      </c>
      <c r="J171" s="15">
        <f>医療機関!J170+陽性者登録センター!J170</f>
        <v>2</v>
      </c>
      <c r="K171" s="15">
        <f>医療機関!K170+陽性者登録センター!K170</f>
        <v>0</v>
      </c>
      <c r="L171" s="15">
        <f>医療機関!L170+陽性者登録センター!L170</f>
        <v>0</v>
      </c>
      <c r="M171" s="15">
        <f>医療機関!M170+陽性者登録センター!M170</f>
        <v>4</v>
      </c>
      <c r="N171" s="15">
        <f>医療機関!N170+陽性者登録センター!N170</f>
        <v>1</v>
      </c>
      <c r="O171" s="15">
        <f>医療機関!O170+陽性者登録センター!O170</f>
        <v>0</v>
      </c>
      <c r="P171" s="15">
        <f>医療機関!P170+陽性者登録センター!P170</f>
        <v>26</v>
      </c>
      <c r="Q171" s="8">
        <f t="shared" si="4"/>
        <v>199334</v>
      </c>
    </row>
    <row r="172" spans="1:17" ht="20" customHeight="1">
      <c r="A172" s="4">
        <v>44999</v>
      </c>
      <c r="B172" s="15">
        <f>医療機関!B171+陽性者登録センター!B171</f>
        <v>1</v>
      </c>
      <c r="C172" s="15">
        <f>医療機関!C171+陽性者登録センター!C171</f>
        <v>4</v>
      </c>
      <c r="D172" s="15">
        <f>医療機関!D171+陽性者登録センター!D171</f>
        <v>11</v>
      </c>
      <c r="E172" s="15">
        <f>医療機関!E171+陽性者登録センター!E171</f>
        <v>8</v>
      </c>
      <c r="F172" s="15">
        <f>医療機関!F171+陽性者登録センター!F171</f>
        <v>5</v>
      </c>
      <c r="G172" s="15">
        <f>医療機関!G171+陽性者登録センター!G171</f>
        <v>7</v>
      </c>
      <c r="H172" s="15">
        <f>医療機関!H171+陽性者登録センター!H171</f>
        <v>15</v>
      </c>
      <c r="I172" s="15">
        <f>医療機関!I171+陽性者登録センター!I171</f>
        <v>8</v>
      </c>
      <c r="J172" s="15">
        <f>医療機関!J171+陽性者登録センター!J171</f>
        <v>8</v>
      </c>
      <c r="K172" s="15">
        <f>医療機関!K171+陽性者登録センター!K171</f>
        <v>4</v>
      </c>
      <c r="L172" s="15">
        <f>医療機関!L171+陽性者登録センター!L171</f>
        <v>9</v>
      </c>
      <c r="M172" s="15">
        <f>医療機関!M171+陽性者登録センター!M171</f>
        <v>12</v>
      </c>
      <c r="N172" s="15">
        <f>医療機関!N171+陽性者登録センター!N171</f>
        <v>2</v>
      </c>
      <c r="O172" s="15">
        <f>医療機関!O171+陽性者登録センター!O171</f>
        <v>0</v>
      </c>
      <c r="P172" s="15">
        <f>医療機関!P171+陽性者登録センター!P171</f>
        <v>94</v>
      </c>
      <c r="Q172" s="8">
        <f t="shared" si="4"/>
        <v>199428</v>
      </c>
    </row>
    <row r="173" spans="1:17" ht="20" customHeight="1">
      <c r="A173" s="4">
        <v>45000</v>
      </c>
      <c r="B173" s="15">
        <f>医療機関!B172+陽性者登録センター!B172</f>
        <v>0</v>
      </c>
      <c r="C173" s="15">
        <f>医療機関!C172+陽性者登録センター!C172</f>
        <v>3</v>
      </c>
      <c r="D173" s="15">
        <f>医療機関!D172+陽性者登録センター!D172</f>
        <v>2</v>
      </c>
      <c r="E173" s="15">
        <f>医療機関!E172+陽性者登録センター!E172</f>
        <v>6</v>
      </c>
      <c r="F173" s="15">
        <f>医療機関!F172+陽性者登録センター!F172</f>
        <v>10</v>
      </c>
      <c r="G173" s="15">
        <f>医療機関!G172+陽性者登録センター!G172</f>
        <v>15</v>
      </c>
      <c r="H173" s="15">
        <f>医療機関!H172+陽性者登録センター!H172</f>
        <v>15</v>
      </c>
      <c r="I173" s="15">
        <f>医療機関!I172+陽性者登録センター!I172</f>
        <v>10</v>
      </c>
      <c r="J173" s="15">
        <f>医療機関!J172+陽性者登録センター!J172</f>
        <v>6</v>
      </c>
      <c r="K173" s="15">
        <f>医療機関!K172+陽性者登録センター!K172</f>
        <v>6</v>
      </c>
      <c r="L173" s="15">
        <f>医療機関!L172+陽性者登録センター!L172</f>
        <v>7</v>
      </c>
      <c r="M173" s="15">
        <f>医療機関!M172+陽性者登録センター!M172</f>
        <v>10</v>
      </c>
      <c r="N173" s="15">
        <f>医療機関!N172+陽性者登録センター!N172</f>
        <v>2</v>
      </c>
      <c r="O173" s="15">
        <f>医療機関!O172+陽性者登録センター!O172</f>
        <v>0</v>
      </c>
      <c r="P173" s="15">
        <f>医療機関!P172+陽性者登録センター!P172</f>
        <v>92</v>
      </c>
      <c r="Q173" s="8">
        <f t="shared" si="4"/>
        <v>199520</v>
      </c>
    </row>
    <row r="174" spans="1:17" ht="20" customHeight="1">
      <c r="A174" s="4">
        <v>45001</v>
      </c>
      <c r="B174" s="15">
        <f>医療機関!B173+陽性者登録センター!B173</f>
        <v>0</v>
      </c>
      <c r="C174" s="15">
        <f>医療機関!C173+陽性者登録センター!C173</f>
        <v>2</v>
      </c>
      <c r="D174" s="15">
        <f>医療機関!D173+陽性者登録センター!D173</f>
        <v>2</v>
      </c>
      <c r="E174" s="15">
        <f>医療機関!E173+陽性者登録センター!E173</f>
        <v>7</v>
      </c>
      <c r="F174" s="15">
        <f>医療機関!F173+陽性者登録センター!F173</f>
        <v>7</v>
      </c>
      <c r="G174" s="15">
        <f>医療機関!G173+陽性者登録センター!G173</f>
        <v>9</v>
      </c>
      <c r="H174" s="15">
        <f>医療機関!H173+陽性者登録センター!H173</f>
        <v>10</v>
      </c>
      <c r="I174" s="15">
        <f>医療機関!I173+陽性者登録センター!I173</f>
        <v>8</v>
      </c>
      <c r="J174" s="15">
        <f>医療機関!J173+陽性者登録センター!J173</f>
        <v>3</v>
      </c>
      <c r="K174" s="15">
        <f>医療機関!K173+陽性者登録センター!K173</f>
        <v>2</v>
      </c>
      <c r="L174" s="15">
        <f>医療機関!L173+陽性者登録センター!L173</f>
        <v>2</v>
      </c>
      <c r="M174" s="15">
        <f>医療機関!M173+陽性者登録センター!M173</f>
        <v>5</v>
      </c>
      <c r="N174" s="15">
        <f>医療機関!N173+陽性者登録センター!N173</f>
        <v>1</v>
      </c>
      <c r="O174" s="15">
        <f>医療機関!O173+陽性者登録センター!O173</f>
        <v>0</v>
      </c>
      <c r="P174" s="15">
        <f>医療機関!P173+陽性者登録センター!P173</f>
        <v>58</v>
      </c>
      <c r="Q174" s="8">
        <f t="shared" si="4"/>
        <v>199578</v>
      </c>
    </row>
    <row r="175" spans="1:17" ht="20" customHeight="1">
      <c r="A175" s="4">
        <v>45002</v>
      </c>
      <c r="B175" s="15">
        <f>医療機関!B174+陽性者登録センター!B174</f>
        <v>0</v>
      </c>
      <c r="C175" s="15">
        <f>医療機関!C174+陽性者登録センター!C174</f>
        <v>3</v>
      </c>
      <c r="D175" s="15">
        <f>医療機関!D174+陽性者登録センター!D174</f>
        <v>4</v>
      </c>
      <c r="E175" s="15">
        <f>医療機関!E174+陽性者登録センター!E174</f>
        <v>4</v>
      </c>
      <c r="F175" s="15">
        <f>医療機関!F174+陽性者登録センター!F174</f>
        <v>6</v>
      </c>
      <c r="G175" s="15">
        <f>医療機関!G174+陽性者登録センター!G174</f>
        <v>3</v>
      </c>
      <c r="H175" s="15">
        <f>医療機関!H174+陽性者登録センター!H174</f>
        <v>3</v>
      </c>
      <c r="I175" s="15">
        <f>医療機関!I174+陽性者登録センター!I174</f>
        <v>5</v>
      </c>
      <c r="J175" s="15">
        <f>医療機関!J174+陽性者登録センター!J174</f>
        <v>8</v>
      </c>
      <c r="K175" s="15">
        <f>医療機関!K174+陽性者登録センター!K174</f>
        <v>0</v>
      </c>
      <c r="L175" s="15">
        <f>医療機関!L174+陽性者登録センター!L174</f>
        <v>3</v>
      </c>
      <c r="M175" s="15">
        <f>医療機関!M174+陽性者登録センター!M174</f>
        <v>11</v>
      </c>
      <c r="N175" s="15">
        <f>医療機関!N174+陽性者登録センター!N174</f>
        <v>2</v>
      </c>
      <c r="O175" s="15">
        <f>医療機関!O174+陽性者登録センター!O174</f>
        <v>0</v>
      </c>
      <c r="P175" s="15">
        <f>医療機関!P174+陽性者登録センター!P174</f>
        <v>52</v>
      </c>
      <c r="Q175" s="8">
        <f t="shared" si="4"/>
        <v>199630</v>
      </c>
    </row>
    <row r="176" spans="1:17" ht="20" customHeight="1">
      <c r="A176" s="4">
        <v>45003</v>
      </c>
      <c r="B176" s="15">
        <f>医療機関!B175+陽性者登録センター!B175</f>
        <v>0</v>
      </c>
      <c r="C176" s="15">
        <f>医療機関!C175+陽性者登録センター!C175</f>
        <v>4</v>
      </c>
      <c r="D176" s="15">
        <f>医療機関!D175+陽性者登録センター!D175</f>
        <v>4</v>
      </c>
      <c r="E176" s="15">
        <f>医療機関!E175+陽性者登録センター!E175</f>
        <v>3</v>
      </c>
      <c r="F176" s="15">
        <f>医療機関!F175+陽性者登録センター!F175</f>
        <v>5</v>
      </c>
      <c r="G176" s="15">
        <f>医療機関!G175+陽性者登録センター!G175</f>
        <v>3</v>
      </c>
      <c r="H176" s="15">
        <f>医療機関!H175+陽性者登録センター!H175</f>
        <v>4</v>
      </c>
      <c r="I176" s="15">
        <f>医療機関!I175+陽性者登録センター!I175</f>
        <v>11</v>
      </c>
      <c r="J176" s="15">
        <f>医療機関!J175+陽性者登録センター!J175</f>
        <v>4</v>
      </c>
      <c r="K176" s="15">
        <f>医療機関!K175+陽性者登録センター!K175</f>
        <v>4</v>
      </c>
      <c r="L176" s="15">
        <f>医療機関!L175+陽性者登録センター!L175</f>
        <v>5</v>
      </c>
      <c r="M176" s="15">
        <f>医療機関!M175+陽性者登録センター!M175</f>
        <v>3</v>
      </c>
      <c r="N176" s="15">
        <f>医療機関!N175+陽性者登録センター!N175</f>
        <v>1</v>
      </c>
      <c r="O176" s="15">
        <f>医療機関!O175+陽性者登録センター!O175</f>
        <v>0</v>
      </c>
      <c r="P176" s="15">
        <f>医療機関!P175+陽性者登録センター!P175</f>
        <v>51</v>
      </c>
      <c r="Q176" s="8">
        <f t="shared" si="4"/>
        <v>199681</v>
      </c>
    </row>
    <row r="177" spans="1:17" ht="20" customHeight="1">
      <c r="A177" s="4">
        <v>45004</v>
      </c>
      <c r="B177" s="15">
        <f>医療機関!B176+陽性者登録センター!B176</f>
        <v>0</v>
      </c>
      <c r="C177" s="15">
        <f>医療機関!C176+陽性者登録センター!C176</f>
        <v>3</v>
      </c>
      <c r="D177" s="15">
        <f>医療機関!D176+陽性者登録センター!D176</f>
        <v>2</v>
      </c>
      <c r="E177" s="15">
        <f>医療機関!E176+陽性者登録センター!E176</f>
        <v>2</v>
      </c>
      <c r="F177" s="15">
        <f>医療機関!F176+陽性者登録センター!F176</f>
        <v>5</v>
      </c>
      <c r="G177" s="15">
        <f>医療機関!G176+陽性者登録センター!G176</f>
        <v>4</v>
      </c>
      <c r="H177" s="15">
        <f>医療機関!H176+陽性者登録センター!H176</f>
        <v>5</v>
      </c>
      <c r="I177" s="15">
        <f>医療機関!I176+陽性者登録センター!I176</f>
        <v>6</v>
      </c>
      <c r="J177" s="15">
        <f>医療機関!J176+陽性者登録センター!J176</f>
        <v>1</v>
      </c>
      <c r="K177" s="15">
        <f>医療機関!K176+陽性者登録センター!K176</f>
        <v>0</v>
      </c>
      <c r="L177" s="15">
        <f>医療機関!L176+陽性者登録センター!L176</f>
        <v>2</v>
      </c>
      <c r="M177" s="15">
        <f>医療機関!M176+陽性者登録センター!M176</f>
        <v>2</v>
      </c>
      <c r="N177" s="15">
        <f>医療機関!N176+陽性者登録センター!N176</f>
        <v>0</v>
      </c>
      <c r="O177" s="15">
        <f>医療機関!O176+陽性者登録センター!O176</f>
        <v>0</v>
      </c>
      <c r="P177" s="15">
        <f>医療機関!P176+陽性者登録センター!P176</f>
        <v>32</v>
      </c>
      <c r="Q177" s="8">
        <f t="shared" si="4"/>
        <v>199713</v>
      </c>
    </row>
    <row r="178" spans="1:17" ht="20" customHeight="1">
      <c r="A178" s="4">
        <v>45005</v>
      </c>
      <c r="B178" s="15">
        <f>医療機関!B177+陽性者登録センター!B177</f>
        <v>0</v>
      </c>
      <c r="C178" s="15">
        <f>医療機関!C177+陽性者登録センター!C177</f>
        <v>1</v>
      </c>
      <c r="D178" s="15">
        <f>医療機関!D177+陽性者登録センター!D177</f>
        <v>0</v>
      </c>
      <c r="E178" s="15">
        <f>医療機関!E177+陽性者登録センター!E177</f>
        <v>2</v>
      </c>
      <c r="F178" s="15">
        <f>医療機関!F177+陽性者登録センター!F177</f>
        <v>1</v>
      </c>
      <c r="G178" s="15">
        <f>医療機関!G177+陽性者登録センター!G177</f>
        <v>0</v>
      </c>
      <c r="H178" s="15">
        <f>医療機関!H177+陽性者登録センター!H177</f>
        <v>2</v>
      </c>
      <c r="I178" s="15">
        <f>医療機関!I177+陽性者登録センター!I177</f>
        <v>0</v>
      </c>
      <c r="J178" s="15">
        <f>医療機関!J177+陽性者登録センター!J177</f>
        <v>0</v>
      </c>
      <c r="K178" s="15">
        <f>医療機関!K177+陽性者登録センター!K177</f>
        <v>1</v>
      </c>
      <c r="L178" s="15">
        <f>医療機関!L177+陽性者登録センター!L177</f>
        <v>0</v>
      </c>
      <c r="M178" s="15">
        <f>医療機関!M177+陽性者登録センター!M177</f>
        <v>0</v>
      </c>
      <c r="N178" s="15">
        <f>医療機関!N177+陽性者登録センター!N177</f>
        <v>1</v>
      </c>
      <c r="O178" s="15">
        <f>医療機関!O177+陽性者登録センター!O177</f>
        <v>0</v>
      </c>
      <c r="P178" s="15">
        <f>医療機関!P177+陽性者登録センター!P177</f>
        <v>8</v>
      </c>
      <c r="Q178" s="8">
        <f t="shared" si="4"/>
        <v>199721</v>
      </c>
    </row>
    <row r="179" spans="1:17" ht="20" customHeight="1">
      <c r="A179" s="4">
        <v>45006</v>
      </c>
      <c r="B179" s="15">
        <f>医療機関!B178+陽性者登録センター!B178</f>
        <v>1</v>
      </c>
      <c r="C179" s="15">
        <f>医療機関!C178+陽性者登録センター!C178</f>
        <v>4</v>
      </c>
      <c r="D179" s="15">
        <f>医療機関!D178+陽性者登録センター!D178</f>
        <v>6</v>
      </c>
      <c r="E179" s="15">
        <f>医療機関!E178+陽性者登録センター!E178</f>
        <v>9</v>
      </c>
      <c r="F179" s="15">
        <f>医療機関!F178+陽性者登録センター!F178</f>
        <v>10</v>
      </c>
      <c r="G179" s="15">
        <f>医療機関!G178+陽性者登録センター!G178</f>
        <v>11</v>
      </c>
      <c r="H179" s="15">
        <f>医療機関!H178+陽性者登録センター!H178</f>
        <v>16</v>
      </c>
      <c r="I179" s="15">
        <f>医療機関!I178+陽性者登録センター!I178</f>
        <v>11</v>
      </c>
      <c r="J179" s="15">
        <f>医療機関!J178+陽性者登録センター!J178</f>
        <v>4</v>
      </c>
      <c r="K179" s="15">
        <f>医療機関!K178+陽性者登録センター!K178</f>
        <v>1</v>
      </c>
      <c r="L179" s="15">
        <f>医療機関!L178+陽性者登録センター!L178</f>
        <v>4</v>
      </c>
      <c r="M179" s="15">
        <f>医療機関!M178+陽性者登録センター!M178</f>
        <v>7</v>
      </c>
      <c r="N179" s="15">
        <f>医療機関!N178+陽性者登録センター!N178</f>
        <v>12</v>
      </c>
      <c r="O179" s="15">
        <f>医療機関!O178+陽性者登録センター!O178</f>
        <v>0</v>
      </c>
      <c r="P179" s="15">
        <f>医療機関!P178+陽性者登録センター!P178</f>
        <v>96</v>
      </c>
      <c r="Q179" s="8">
        <f t="shared" si="4"/>
        <v>199817</v>
      </c>
    </row>
    <row r="180" spans="1:17" ht="20" customHeight="1">
      <c r="A180" s="4">
        <v>45007</v>
      </c>
      <c r="B180" s="15">
        <f>医療機関!B179+陽性者登録センター!B179</f>
        <v>0</v>
      </c>
      <c r="C180" s="15">
        <f>医療機関!C179+陽性者登録センター!C179</f>
        <v>1</v>
      </c>
      <c r="D180" s="15">
        <f>医療機関!D179+陽性者登録センター!D179</f>
        <v>0</v>
      </c>
      <c r="E180" s="15">
        <f>医療機関!E179+陽性者登録センター!E179</f>
        <v>3</v>
      </c>
      <c r="F180" s="15">
        <f>医療機関!F179+陽性者登録センター!F179</f>
        <v>3</v>
      </c>
      <c r="G180" s="15">
        <f>医療機関!G179+陽性者登録センター!G179</f>
        <v>5</v>
      </c>
      <c r="H180" s="15">
        <f>医療機関!H179+陽性者登録センター!H179</f>
        <v>2</v>
      </c>
      <c r="I180" s="15">
        <f>医療機関!I179+陽性者登録センター!I179</f>
        <v>2</v>
      </c>
      <c r="J180" s="15">
        <f>医療機関!J179+陽性者登録センター!J179</f>
        <v>0</v>
      </c>
      <c r="K180" s="15">
        <f>医療機関!K179+陽性者登録センター!K179</f>
        <v>1</v>
      </c>
      <c r="L180" s="15">
        <f>医療機関!L179+陽性者登録センター!L179</f>
        <v>0</v>
      </c>
      <c r="M180" s="15">
        <f>医療機関!M179+陽性者登録センター!M179</f>
        <v>0</v>
      </c>
      <c r="N180" s="15">
        <f>医療機関!N179+陽性者登録センター!N179</f>
        <v>0</v>
      </c>
      <c r="O180" s="15">
        <f>医療機関!O179+陽性者登録センター!O179</f>
        <v>0</v>
      </c>
      <c r="P180" s="15">
        <f>医療機関!P179+陽性者登録センター!P179</f>
        <v>17</v>
      </c>
      <c r="Q180" s="8">
        <f t="shared" si="4"/>
        <v>199834</v>
      </c>
    </row>
    <row r="181" spans="1:17" ht="20" customHeight="1">
      <c r="A181" s="4">
        <v>45008</v>
      </c>
      <c r="B181" s="15">
        <f>医療機関!B180+陽性者登録センター!B180</f>
        <v>0</v>
      </c>
      <c r="C181" s="15">
        <f>医療機関!C180+陽性者登録センター!C180</f>
        <v>1</v>
      </c>
      <c r="D181" s="15">
        <f>医療機関!D180+陽性者登録センター!D180</f>
        <v>2</v>
      </c>
      <c r="E181" s="15">
        <f>医療機関!E180+陽性者登録センター!E180</f>
        <v>7</v>
      </c>
      <c r="F181" s="15">
        <f>医療機関!F180+陽性者登録センター!F180</f>
        <v>4</v>
      </c>
      <c r="G181" s="15">
        <f>医療機関!G180+陽性者登録センター!G180</f>
        <v>5</v>
      </c>
      <c r="H181" s="15">
        <f>医療機関!H180+陽性者登録センター!H180</f>
        <v>10</v>
      </c>
      <c r="I181" s="15">
        <f>医療機関!I180+陽性者登録センター!I180</f>
        <v>14</v>
      </c>
      <c r="J181" s="15">
        <f>医療機関!J180+陽性者登録センター!J180</f>
        <v>2</v>
      </c>
      <c r="K181" s="15">
        <f>医療機関!K180+陽性者登録センター!K180</f>
        <v>3</v>
      </c>
      <c r="L181" s="15">
        <f>医療機関!L180+陽性者登録センター!L180</f>
        <v>11</v>
      </c>
      <c r="M181" s="15">
        <f>医療機関!M180+陽性者登録センター!M180</f>
        <v>3</v>
      </c>
      <c r="N181" s="15">
        <f>医療機関!N180+陽性者登録センター!N180</f>
        <v>5</v>
      </c>
      <c r="O181" s="15">
        <f>医療機関!O180+陽性者登録センター!O180</f>
        <v>0</v>
      </c>
      <c r="P181" s="15">
        <f>医療機関!P180+陽性者登録センター!P180</f>
        <v>67</v>
      </c>
      <c r="Q181" s="8">
        <f t="shared" si="4"/>
        <v>199901</v>
      </c>
    </row>
    <row r="182" spans="1:17" ht="20" customHeight="1">
      <c r="A182" s="4">
        <v>45009</v>
      </c>
      <c r="B182" s="15">
        <f>医療機関!B181+陽性者登録センター!B181</f>
        <v>0</v>
      </c>
      <c r="C182" s="15">
        <f>医療機関!C181+陽性者登録センター!C181</f>
        <v>4</v>
      </c>
      <c r="D182" s="15">
        <f>医療機関!D181+陽性者登録センター!D181</f>
        <v>1</v>
      </c>
      <c r="E182" s="15">
        <f>医療機関!E181+陽性者登録センター!E181</f>
        <v>4</v>
      </c>
      <c r="F182" s="15">
        <f>医療機関!F181+陽性者登録センター!F181</f>
        <v>9</v>
      </c>
      <c r="G182" s="15">
        <f>医療機関!G181+陽性者登録センター!G181</f>
        <v>4</v>
      </c>
      <c r="H182" s="15">
        <f>医療機関!H181+陽性者登録センター!H181</f>
        <v>9</v>
      </c>
      <c r="I182" s="15">
        <f>医療機関!I181+陽性者登録センター!I181</f>
        <v>8</v>
      </c>
      <c r="J182" s="15">
        <f>医療機関!J181+陽性者登録センター!J181</f>
        <v>2</v>
      </c>
      <c r="K182" s="15">
        <f>医療機関!K181+陽性者登録センター!K181</f>
        <v>3</v>
      </c>
      <c r="L182" s="15">
        <f>医療機関!L181+陽性者登録センター!L181</f>
        <v>8</v>
      </c>
      <c r="M182" s="15">
        <f>医療機関!M181+陽性者登録センター!M181</f>
        <v>2</v>
      </c>
      <c r="N182" s="15">
        <f>医療機関!N181+陽性者登録センター!N181</f>
        <v>4</v>
      </c>
      <c r="O182" s="15">
        <f>医療機関!O181+陽性者登録センター!O181</f>
        <v>0</v>
      </c>
      <c r="P182" s="15">
        <f>医療機関!P181+陽性者登録センター!P181</f>
        <v>58</v>
      </c>
      <c r="Q182" s="8">
        <f t="shared" si="4"/>
        <v>199959</v>
      </c>
    </row>
    <row r="183" spans="1:17" ht="20" customHeight="1">
      <c r="A183" s="4">
        <v>45010</v>
      </c>
      <c r="B183" s="15">
        <f>医療機関!B182+陽性者登録センター!B182</f>
        <v>1</v>
      </c>
      <c r="C183" s="15">
        <f>医療機関!C182+陽性者登録センター!C182</f>
        <v>3</v>
      </c>
      <c r="D183" s="15">
        <f>医療機関!D182+陽性者登録センター!D182</f>
        <v>1</v>
      </c>
      <c r="E183" s="15">
        <f>医療機関!E182+陽性者登録センター!E182</f>
        <v>6</v>
      </c>
      <c r="F183" s="15">
        <f>医療機関!F182+陽性者登録センター!F182</f>
        <v>3</v>
      </c>
      <c r="G183" s="15">
        <f>医療機関!G182+陽性者登録センター!G182</f>
        <v>6</v>
      </c>
      <c r="H183" s="15">
        <f>医療機関!H182+陽性者登録センター!H182</f>
        <v>10</v>
      </c>
      <c r="I183" s="15">
        <f>医療機関!I182+陽性者登録センター!I182</f>
        <v>3</v>
      </c>
      <c r="J183" s="15">
        <f>医療機関!J182+陽性者登録センター!J182</f>
        <v>0</v>
      </c>
      <c r="K183" s="15">
        <f>医療機関!K182+陽性者登録センター!K182</f>
        <v>2</v>
      </c>
      <c r="L183" s="15">
        <f>医療機関!L182+陽性者登録センター!L182</f>
        <v>3</v>
      </c>
      <c r="M183" s="15">
        <f>医療機関!M182+陽性者登録センター!M182</f>
        <v>4</v>
      </c>
      <c r="N183" s="15">
        <f>医療機関!N182+陽性者登録センター!N182</f>
        <v>4</v>
      </c>
      <c r="O183" s="15">
        <f>医療機関!O182+陽性者登録センター!O182</f>
        <v>0</v>
      </c>
      <c r="P183" s="15">
        <f>医療機関!P182+陽性者登録センター!P182</f>
        <v>46</v>
      </c>
      <c r="Q183" s="8">
        <f t="shared" si="4"/>
        <v>200005</v>
      </c>
    </row>
    <row r="184" spans="1:17" ht="20" customHeight="1">
      <c r="A184" s="4">
        <v>45011</v>
      </c>
      <c r="B184" s="15">
        <f>医療機関!B183+陽性者登録センター!B183</f>
        <v>0</v>
      </c>
      <c r="C184" s="15">
        <f>医療機関!C183+陽性者登録センター!C183</f>
        <v>0</v>
      </c>
      <c r="D184" s="15">
        <f>医療機関!D183+陽性者登録センター!D183</f>
        <v>1</v>
      </c>
      <c r="E184" s="15">
        <f>医療機関!E183+陽性者登録センター!E183</f>
        <v>4</v>
      </c>
      <c r="F184" s="15">
        <f>医療機関!F183+陽性者登録センター!F183</f>
        <v>4</v>
      </c>
      <c r="G184" s="15">
        <f>医療機関!G183+陽性者登録センター!G183</f>
        <v>4</v>
      </c>
      <c r="H184" s="15">
        <f>医療機関!H183+陽性者登録センター!H183</f>
        <v>3</v>
      </c>
      <c r="I184" s="15">
        <f>医療機関!I183+陽性者登録センター!I183</f>
        <v>7</v>
      </c>
      <c r="J184" s="15">
        <f>医療機関!J183+陽性者登録センター!J183</f>
        <v>1</v>
      </c>
      <c r="K184" s="15">
        <f>医療機関!K183+陽性者登録センター!K183</f>
        <v>1</v>
      </c>
      <c r="L184" s="15">
        <f>医療機関!L183+陽性者登録センター!L183</f>
        <v>3</v>
      </c>
      <c r="M184" s="15">
        <f>医療機関!M183+陽性者登録センター!M183</f>
        <v>4</v>
      </c>
      <c r="N184" s="15">
        <f>医療機関!N183+陽性者登録センター!N183</f>
        <v>1</v>
      </c>
      <c r="O184" s="15">
        <f>医療機関!O183+陽性者登録センター!O183</f>
        <v>0</v>
      </c>
      <c r="P184" s="15">
        <f>医療機関!P183+陽性者登録センター!P183</f>
        <v>33</v>
      </c>
      <c r="Q184" s="8">
        <f t="shared" si="4"/>
        <v>200038</v>
      </c>
    </row>
    <row r="185" spans="1:17" ht="20" customHeight="1">
      <c r="A185" s="4">
        <v>45012</v>
      </c>
      <c r="B185" s="15">
        <f>医療機関!B184+陽性者登録センター!B184</f>
        <v>1</v>
      </c>
      <c r="C185" s="15">
        <f>医療機関!C184+陽性者登録センター!C184</f>
        <v>1</v>
      </c>
      <c r="D185" s="15">
        <f>医療機関!D184+陽性者登録センター!D184</f>
        <v>2</v>
      </c>
      <c r="E185" s="15">
        <f>医療機関!E184+陽性者登録センター!E184</f>
        <v>1</v>
      </c>
      <c r="F185" s="15">
        <f>医療機関!F184+陽性者登録センター!F184</f>
        <v>2</v>
      </c>
      <c r="G185" s="15">
        <f>医療機関!G184+陽性者登録センター!G184</f>
        <v>2</v>
      </c>
      <c r="H185" s="15">
        <f>医療機関!H184+陽性者登録センター!H184</f>
        <v>4</v>
      </c>
      <c r="I185" s="15">
        <f>医療機関!I184+陽性者登録センター!I184</f>
        <v>1</v>
      </c>
      <c r="J185" s="15">
        <f>医療機関!J184+陽性者登録センター!J184</f>
        <v>1</v>
      </c>
      <c r="K185" s="15">
        <f>医療機関!K184+陽性者登録センター!K184</f>
        <v>0</v>
      </c>
      <c r="L185" s="15">
        <f>医療機関!L184+陽性者登録センター!L184</f>
        <v>0</v>
      </c>
      <c r="M185" s="15">
        <f>医療機関!M184+陽性者登録センター!M184</f>
        <v>0</v>
      </c>
      <c r="N185" s="15">
        <f>医療機関!N184+陽性者登録センター!N184</f>
        <v>0</v>
      </c>
      <c r="O185" s="15">
        <f>医療機関!O184+陽性者登録センター!O184</f>
        <v>0</v>
      </c>
      <c r="P185" s="15">
        <f>医療機関!P184+陽性者登録センター!P184</f>
        <v>15</v>
      </c>
      <c r="Q185" s="8">
        <f t="shared" si="4"/>
        <v>200053</v>
      </c>
    </row>
    <row r="186" spans="1:17" ht="20" customHeight="1">
      <c r="A186" s="4">
        <v>45013</v>
      </c>
      <c r="B186" s="15">
        <f>医療機関!B185+陽性者登録センター!B185</f>
        <v>1</v>
      </c>
      <c r="C186" s="15">
        <f>医療機関!C185+陽性者登録センター!C185</f>
        <v>3</v>
      </c>
      <c r="D186" s="15">
        <f>医療機関!D185+陽性者登録センター!D185</f>
        <v>3</v>
      </c>
      <c r="E186" s="15">
        <f>医療機関!E185+陽性者登録センター!E185</f>
        <v>7</v>
      </c>
      <c r="F186" s="15">
        <f>医療機関!F185+陽性者登録センター!F185</f>
        <v>11</v>
      </c>
      <c r="G186" s="15">
        <f>医療機関!G185+陽性者登録センター!G185</f>
        <v>6</v>
      </c>
      <c r="H186" s="15">
        <f>医療機関!H185+陽性者登録センター!H185</f>
        <v>6</v>
      </c>
      <c r="I186" s="15">
        <f>医療機関!I185+陽性者登録センター!I185</f>
        <v>12</v>
      </c>
      <c r="J186" s="15">
        <f>医療機関!J185+陽性者登録センター!J185</f>
        <v>3</v>
      </c>
      <c r="K186" s="15">
        <f>医療機関!K185+陽性者登録センター!K185</f>
        <v>5</v>
      </c>
      <c r="L186" s="15">
        <f>医療機関!L185+陽性者登録センター!L185</f>
        <v>7</v>
      </c>
      <c r="M186" s="15">
        <f>医療機関!M185+陽性者登録センター!M185</f>
        <v>4</v>
      </c>
      <c r="N186" s="15">
        <f>医療機関!N185+陽性者登録センター!N185</f>
        <v>2</v>
      </c>
      <c r="O186" s="15">
        <f>医療機関!O185+陽性者登録センター!O185</f>
        <v>0</v>
      </c>
      <c r="P186" s="15">
        <f>医療機関!P185+陽性者登録センター!P185</f>
        <v>70</v>
      </c>
      <c r="Q186" s="8">
        <f t="shared" si="4"/>
        <v>200123</v>
      </c>
    </row>
    <row r="187" spans="1:17" ht="20" customHeight="1">
      <c r="A187" s="4">
        <v>45014</v>
      </c>
      <c r="B187" s="15">
        <f>医療機関!B186+陽性者登録センター!B186</f>
        <v>0</v>
      </c>
      <c r="C187" s="15">
        <f>医療機関!C186+陽性者登録センター!C186</f>
        <v>3</v>
      </c>
      <c r="D187" s="15">
        <f>医療機関!D186+陽性者登録センター!D186</f>
        <v>3</v>
      </c>
      <c r="E187" s="15">
        <f>医療機関!E186+陽性者登録センター!E186</f>
        <v>6</v>
      </c>
      <c r="F187" s="15">
        <f>医療機関!F186+陽性者登録センター!F186</f>
        <v>9</v>
      </c>
      <c r="G187" s="15">
        <f>医療機関!G186+陽性者登録センター!G186</f>
        <v>10</v>
      </c>
      <c r="H187" s="15">
        <f>医療機関!H186+陽性者登録センター!H186</f>
        <v>10</v>
      </c>
      <c r="I187" s="15">
        <f>医療機関!I186+陽性者登録センター!I186</f>
        <v>5</v>
      </c>
      <c r="J187" s="15">
        <f>医療機関!J186+陽性者登録センター!J186</f>
        <v>3</v>
      </c>
      <c r="K187" s="15">
        <f>医療機関!K186+陽性者登録センター!K186</f>
        <v>2</v>
      </c>
      <c r="L187" s="15">
        <f>医療機関!L186+陽性者登録センター!L186</f>
        <v>2</v>
      </c>
      <c r="M187" s="15">
        <f>医療機関!M186+陽性者登録センター!M186</f>
        <v>3</v>
      </c>
      <c r="N187" s="15">
        <f>医療機関!N186+陽性者登録センター!N186</f>
        <v>1</v>
      </c>
      <c r="O187" s="15">
        <f>医療機関!O186+陽性者登録センター!O186</f>
        <v>0</v>
      </c>
      <c r="P187" s="15">
        <f>医療機関!P186+陽性者登録センター!P186</f>
        <v>57</v>
      </c>
      <c r="Q187" s="8">
        <f t="shared" si="4"/>
        <v>200180</v>
      </c>
    </row>
    <row r="188" spans="1:17" ht="20" customHeight="1">
      <c r="A188" s="4">
        <v>45015</v>
      </c>
      <c r="B188" s="15">
        <f>医療機関!B187+陽性者登録センター!B187</f>
        <v>0</v>
      </c>
      <c r="C188" s="15">
        <f>医療機関!C187+陽性者登録センター!C187</f>
        <v>2</v>
      </c>
      <c r="D188" s="15">
        <f>医療機関!D187+陽性者登録センター!D187</f>
        <v>0</v>
      </c>
      <c r="E188" s="15">
        <f>医療機関!E187+陽性者登録センター!E187</f>
        <v>7</v>
      </c>
      <c r="F188" s="15">
        <f>医療機関!F187+陽性者登録センター!F187</f>
        <v>5</v>
      </c>
      <c r="G188" s="15">
        <f>医療機関!G187+陽性者登録センター!G187</f>
        <v>2</v>
      </c>
      <c r="H188" s="15">
        <f>医療機関!H187+陽性者登録センター!H187</f>
        <v>5</v>
      </c>
      <c r="I188" s="15">
        <f>医療機関!I187+陽性者登録センター!I187</f>
        <v>5</v>
      </c>
      <c r="J188" s="15">
        <f>医療機関!J187+陽性者登録センター!J187</f>
        <v>2</v>
      </c>
      <c r="K188" s="15">
        <f>医療機関!K187+陽性者登録センター!K187</f>
        <v>2</v>
      </c>
      <c r="L188" s="15">
        <f>医療機関!L187+陽性者登録センター!L187</f>
        <v>5</v>
      </c>
      <c r="M188" s="15">
        <f>医療機関!M187+陽性者登録センター!M187</f>
        <v>4</v>
      </c>
      <c r="N188" s="15">
        <f>医療機関!N187+陽性者登録センター!N187</f>
        <v>0</v>
      </c>
      <c r="O188" s="15">
        <f>医療機関!O187+陽性者登録センター!O187</f>
        <v>0</v>
      </c>
      <c r="P188" s="15">
        <f>医療機関!P187+陽性者登録センター!P187</f>
        <v>39</v>
      </c>
      <c r="Q188" s="8">
        <f t="shared" si="4"/>
        <v>200219</v>
      </c>
    </row>
    <row r="189" spans="1:17" ht="20" customHeight="1">
      <c r="A189" s="4">
        <v>45016</v>
      </c>
      <c r="B189" s="15">
        <f>医療機関!B188+陽性者登録センター!B188</f>
        <v>1</v>
      </c>
      <c r="C189" s="15">
        <f>医療機関!C188+陽性者登録センター!C188</f>
        <v>2</v>
      </c>
      <c r="D189" s="15">
        <f>医療機関!D188+陽性者登録センター!D188</f>
        <v>2</v>
      </c>
      <c r="E189" s="15">
        <f>医療機関!E188+陽性者登録センター!E188</f>
        <v>3</v>
      </c>
      <c r="F189" s="15">
        <f>医療機関!F188+陽性者登録センター!F188</f>
        <v>6</v>
      </c>
      <c r="G189" s="15">
        <f>医療機関!G188+陽性者登録センター!G188</f>
        <v>6</v>
      </c>
      <c r="H189" s="15">
        <f>医療機関!H188+陽性者登録センター!H188</f>
        <v>4</v>
      </c>
      <c r="I189" s="15">
        <f>医療機関!I188+陽性者登録センター!I188</f>
        <v>9</v>
      </c>
      <c r="J189" s="15">
        <f>医療機関!J188+陽性者登録センター!J188</f>
        <v>1</v>
      </c>
      <c r="K189" s="15">
        <f>医療機関!K188+陽性者登録センター!K188</f>
        <v>2</v>
      </c>
      <c r="L189" s="15">
        <f>医療機関!L188+陽性者登録センター!L188</f>
        <v>3</v>
      </c>
      <c r="M189" s="15">
        <f>医療機関!M188+陽性者登録センター!M188</f>
        <v>2</v>
      </c>
      <c r="N189" s="15">
        <f>医療機関!N188+陽性者登録センター!N188</f>
        <v>4</v>
      </c>
      <c r="O189" s="15">
        <f>医療機関!O188+陽性者登録センター!O188</f>
        <v>0</v>
      </c>
      <c r="P189" s="15">
        <f>医療機関!P188+陽性者登録センター!P188</f>
        <v>45</v>
      </c>
      <c r="Q189" s="8">
        <f t="shared" si="4"/>
        <v>200264</v>
      </c>
    </row>
    <row r="190" spans="1:17" ht="20" customHeight="1">
      <c r="A190" s="4">
        <v>45017</v>
      </c>
      <c r="B190" s="15">
        <f>医療機関!B189+陽性者登録センター!B189</f>
        <v>1</v>
      </c>
      <c r="C190" s="15">
        <f>医療機関!C189+陽性者登録センター!C189</f>
        <v>4</v>
      </c>
      <c r="D190" s="15">
        <f>医療機関!D189+陽性者登録センター!D189</f>
        <v>3</v>
      </c>
      <c r="E190" s="15">
        <f>医療機関!E189+陽性者登録センター!E189</f>
        <v>4</v>
      </c>
      <c r="F190" s="15">
        <f>医療機関!F189+陽性者登録センター!F189</f>
        <v>8</v>
      </c>
      <c r="G190" s="15">
        <f>医療機関!G189+陽性者登録センター!G189</f>
        <v>5</v>
      </c>
      <c r="H190" s="15">
        <f>医療機関!H189+陽性者登録センター!H189</f>
        <v>8</v>
      </c>
      <c r="I190" s="15">
        <f>医療機関!I189+陽性者登録センター!I189</f>
        <v>6</v>
      </c>
      <c r="J190" s="15">
        <f>医療機関!J189+陽性者登録センター!J189</f>
        <v>2</v>
      </c>
      <c r="K190" s="15">
        <f>医療機関!K189+陽性者登録センター!K189</f>
        <v>4</v>
      </c>
      <c r="L190" s="15">
        <f>医療機関!L189+陽性者登録センター!L189</f>
        <v>4</v>
      </c>
      <c r="M190" s="15">
        <f>医療機関!M189+陽性者登録センター!M189</f>
        <v>2</v>
      </c>
      <c r="N190" s="15">
        <f>医療機関!N189+陽性者登録センター!N189</f>
        <v>2</v>
      </c>
      <c r="O190" s="15">
        <f>医療機関!O189+陽性者登録センター!O189</f>
        <v>0</v>
      </c>
      <c r="P190" s="15">
        <f>医療機関!P189+陽性者登録センター!P189</f>
        <v>53</v>
      </c>
      <c r="Q190" s="8">
        <f t="shared" si="4"/>
        <v>200317</v>
      </c>
    </row>
    <row r="191" spans="1:17" ht="20" customHeight="1">
      <c r="A191" s="4">
        <v>45018</v>
      </c>
      <c r="B191" s="15">
        <f>医療機関!B190+陽性者登録センター!B190</f>
        <v>1</v>
      </c>
      <c r="C191" s="15">
        <f>医療機関!C190+陽性者登録センター!C190</f>
        <v>1</v>
      </c>
      <c r="D191" s="15">
        <f>医療機関!D190+陽性者登録センター!D190</f>
        <v>4</v>
      </c>
      <c r="E191" s="15">
        <f>医療機関!E190+陽性者登録センター!E190</f>
        <v>8</v>
      </c>
      <c r="F191" s="15">
        <f>医療機関!F190+陽性者登録センター!F190</f>
        <v>3</v>
      </c>
      <c r="G191" s="15">
        <f>医療機関!G190+陽性者登録センター!G190</f>
        <v>8</v>
      </c>
      <c r="H191" s="15">
        <f>医療機関!H190+陽性者登録センター!H190</f>
        <v>8</v>
      </c>
      <c r="I191" s="15">
        <f>医療機関!I190+陽性者登録センター!I190</f>
        <v>9</v>
      </c>
      <c r="J191" s="15">
        <f>医療機関!J190+陽性者登録センター!J190</f>
        <v>5</v>
      </c>
      <c r="K191" s="15">
        <f>医療機関!K190+陽性者登録センター!K190</f>
        <v>1</v>
      </c>
      <c r="L191" s="15">
        <f>医療機関!L190+陽性者登録センター!L190</f>
        <v>3</v>
      </c>
      <c r="M191" s="15">
        <f>医療機関!M190+陽性者登録センター!M190</f>
        <v>1</v>
      </c>
      <c r="N191" s="15">
        <f>医療機関!N190+陽性者登録センター!N190</f>
        <v>2</v>
      </c>
      <c r="O191" s="15">
        <f>医療機関!O190+陽性者登録センター!O190</f>
        <v>0</v>
      </c>
      <c r="P191" s="15">
        <f>医療機関!P190+陽性者登録センター!P190</f>
        <v>54</v>
      </c>
      <c r="Q191" s="8">
        <f t="shared" si="4"/>
        <v>200371</v>
      </c>
    </row>
    <row r="192" spans="1:17" ht="20" customHeight="1">
      <c r="A192" s="4">
        <v>45019</v>
      </c>
      <c r="B192" s="15">
        <f>医療機関!B191+陽性者登録センター!B191</f>
        <v>0</v>
      </c>
      <c r="C192" s="15">
        <f>医療機関!C191+陽性者登録センター!C191</f>
        <v>1</v>
      </c>
      <c r="D192" s="15">
        <f>医療機関!D191+陽性者登録センター!D191</f>
        <v>1</v>
      </c>
      <c r="E192" s="15">
        <f>医療機関!E191+陽性者登録センター!E191</f>
        <v>1</v>
      </c>
      <c r="F192" s="15">
        <f>医療機関!F191+陽性者登録センター!F191</f>
        <v>5</v>
      </c>
      <c r="G192" s="15">
        <f>医療機関!G191+陽性者登録センター!G191</f>
        <v>4</v>
      </c>
      <c r="H192" s="15">
        <f>医療機関!H191+陽性者登録センター!H191</f>
        <v>6</v>
      </c>
      <c r="I192" s="15">
        <f>医療機関!I191+陽性者登録センター!I191</f>
        <v>2</v>
      </c>
      <c r="J192" s="15">
        <f>医療機関!J191+陽性者登録センター!J191</f>
        <v>1</v>
      </c>
      <c r="K192" s="15">
        <f>医療機関!K191+陽性者登録センター!K191</f>
        <v>1</v>
      </c>
      <c r="L192" s="15">
        <f>医療機関!L191+陽性者登録センター!L191</f>
        <v>2</v>
      </c>
      <c r="M192" s="15">
        <f>医療機関!M191+陽性者登録センター!M191</f>
        <v>1</v>
      </c>
      <c r="N192" s="15">
        <f>医療機関!N191+陽性者登録センター!N191</f>
        <v>0</v>
      </c>
      <c r="O192" s="15">
        <f>医療機関!O191+陽性者登録センター!O191</f>
        <v>0</v>
      </c>
      <c r="P192" s="15">
        <f>医療機関!P191+陽性者登録センター!P191</f>
        <v>25</v>
      </c>
      <c r="Q192" s="8">
        <f t="shared" si="4"/>
        <v>200396</v>
      </c>
    </row>
    <row r="193" spans="1:17" ht="20" customHeight="1">
      <c r="A193" s="4">
        <v>45020</v>
      </c>
      <c r="B193" s="15">
        <f>医療機関!B192+陽性者登録センター!B192</f>
        <v>3</v>
      </c>
      <c r="C193" s="15">
        <f>医療機関!C192+陽性者登録センター!C192</f>
        <v>1</v>
      </c>
      <c r="D193" s="15">
        <f>医療機関!D192+陽性者登録センター!D192</f>
        <v>4</v>
      </c>
      <c r="E193" s="15">
        <f>医療機関!E192+陽性者登録センター!E192</f>
        <v>10</v>
      </c>
      <c r="F193" s="15">
        <f>医療機関!F192+陽性者登録センター!F192</f>
        <v>10</v>
      </c>
      <c r="G193" s="15">
        <f>医療機関!G192+陽性者登録センター!G192</f>
        <v>25</v>
      </c>
      <c r="H193" s="15">
        <f>医療機関!H192+陽性者登録センター!H192</f>
        <v>17</v>
      </c>
      <c r="I193" s="15">
        <f>医療機関!I192+陽性者登録センター!I192</f>
        <v>17</v>
      </c>
      <c r="J193" s="15">
        <f>医療機関!J192+陽性者登録センター!J192</f>
        <v>6</v>
      </c>
      <c r="K193" s="15">
        <f>医療機関!K192+陽性者登録センター!K192</f>
        <v>2</v>
      </c>
      <c r="L193" s="15">
        <f>医療機関!L192+陽性者登録センター!L192</f>
        <v>6</v>
      </c>
      <c r="M193" s="15">
        <f>医療機関!M192+陽性者登録センター!M192</f>
        <v>11</v>
      </c>
      <c r="N193" s="15">
        <f>医療機関!N192+陽性者登録センター!N192</f>
        <v>13</v>
      </c>
      <c r="O193" s="15">
        <f>医療機関!O192+陽性者登録センター!O192</f>
        <v>0</v>
      </c>
      <c r="P193" s="15">
        <f>医療機関!P192+陽性者登録センター!P192</f>
        <v>125</v>
      </c>
      <c r="Q193" s="8">
        <f t="shared" si="4"/>
        <v>200521</v>
      </c>
    </row>
    <row r="194" spans="1:17" ht="20" customHeight="1">
      <c r="A194" s="4">
        <v>45021</v>
      </c>
      <c r="B194" s="15">
        <f>医療機関!B193+陽性者登録センター!B193</f>
        <v>2</v>
      </c>
      <c r="C194" s="15">
        <f>医療機関!C193+陽性者登録センター!C193</f>
        <v>5</v>
      </c>
      <c r="D194" s="15">
        <f>医療機関!D193+陽性者登録センター!D193</f>
        <v>4</v>
      </c>
      <c r="E194" s="15">
        <f>医療機関!E193+陽性者登録センター!E193</f>
        <v>4</v>
      </c>
      <c r="F194" s="15">
        <f>医療機関!F193+陽性者登録センター!F193</f>
        <v>7</v>
      </c>
      <c r="G194" s="15">
        <f>医療機関!G193+陽性者登録センター!G193</f>
        <v>16</v>
      </c>
      <c r="H194" s="15">
        <f>医療機関!H193+陽性者登録センター!H193</f>
        <v>15</v>
      </c>
      <c r="I194" s="15">
        <f>医療機関!I193+陽性者登録センター!I193</f>
        <v>22</v>
      </c>
      <c r="J194" s="15">
        <f>医療機関!J193+陽性者登録センター!J193</f>
        <v>8</v>
      </c>
      <c r="K194" s="15">
        <f>医療機関!K193+陽性者登録センター!K193</f>
        <v>2</v>
      </c>
      <c r="L194" s="15">
        <f>医療機関!L193+陽性者登録センター!L193</f>
        <v>13</v>
      </c>
      <c r="M194" s="15">
        <f>医療機関!M193+陽性者登録センター!M193</f>
        <v>12</v>
      </c>
      <c r="N194" s="15">
        <f>医療機関!N193+陽性者登録センター!N193</f>
        <v>12</v>
      </c>
      <c r="O194" s="15">
        <f>医療機関!O193+陽性者登録センター!O193</f>
        <v>0</v>
      </c>
      <c r="P194" s="15">
        <f>医療機関!P193+陽性者登録センター!P193</f>
        <v>122</v>
      </c>
      <c r="Q194" s="8">
        <f t="shared" si="4"/>
        <v>200643</v>
      </c>
    </row>
    <row r="195" spans="1:17" ht="20" customHeight="1">
      <c r="A195" s="4">
        <v>45022</v>
      </c>
      <c r="B195" s="15">
        <f>医療機関!B194+陽性者登録センター!B194</f>
        <v>0</v>
      </c>
      <c r="C195" s="15">
        <f>医療機関!C194+陽性者登録センター!C194</f>
        <v>4</v>
      </c>
      <c r="D195" s="15">
        <f>医療機関!D194+陽性者登録センター!D194</f>
        <v>8</v>
      </c>
      <c r="E195" s="15">
        <f>医療機関!E194+陽性者登録センター!E194</f>
        <v>2</v>
      </c>
      <c r="F195" s="15">
        <f>医療機関!F194+陽性者登録センター!F194</f>
        <v>6</v>
      </c>
      <c r="G195" s="15">
        <f>医療機関!G194+陽性者登録センター!G194</f>
        <v>17</v>
      </c>
      <c r="H195" s="15">
        <f>医療機関!H194+陽性者登録センター!H194</f>
        <v>12</v>
      </c>
      <c r="I195" s="15">
        <f>医療機関!I194+陽性者登録センター!I194</f>
        <v>10</v>
      </c>
      <c r="J195" s="15">
        <f>医療機関!J194+陽性者登録センター!J194</f>
        <v>6</v>
      </c>
      <c r="K195" s="15">
        <f>医療機関!K194+陽性者登録センター!K194</f>
        <v>7</v>
      </c>
      <c r="L195" s="15">
        <f>医療機関!L194+陽性者登録センター!L194</f>
        <v>6</v>
      </c>
      <c r="M195" s="15">
        <f>医療機関!M194+陽性者登録センター!M194</f>
        <v>3</v>
      </c>
      <c r="N195" s="15">
        <f>医療機関!N194+陽性者登録センター!N194</f>
        <v>2</v>
      </c>
      <c r="O195" s="15">
        <f>医療機関!O194+陽性者登録センター!O194</f>
        <v>0</v>
      </c>
      <c r="P195" s="15">
        <f>医療機関!P194+陽性者登録センター!P194</f>
        <v>83</v>
      </c>
      <c r="Q195" s="8">
        <f t="shared" si="4"/>
        <v>200726</v>
      </c>
    </row>
    <row r="196" spans="1:17" ht="20" customHeight="1">
      <c r="A196" s="4">
        <v>45023</v>
      </c>
      <c r="B196" s="15">
        <f>医療機関!B195+陽性者登録センター!B195</f>
        <v>1</v>
      </c>
      <c r="C196" s="15">
        <f>医療機関!C195+陽性者登録センター!C195</f>
        <v>0</v>
      </c>
      <c r="D196" s="15">
        <f>医療機関!D195+陽性者登録センター!D195</f>
        <v>2</v>
      </c>
      <c r="E196" s="15">
        <f>医療機関!E195+陽性者登録センター!E195</f>
        <v>5</v>
      </c>
      <c r="F196" s="15">
        <f>医療機関!F195+陽性者登録センター!F195</f>
        <v>10</v>
      </c>
      <c r="G196" s="15">
        <f>医療機関!G195+陽性者登録センター!G195</f>
        <v>18</v>
      </c>
      <c r="H196" s="15">
        <f>医療機関!H195+陽性者登録センター!H195</f>
        <v>11</v>
      </c>
      <c r="I196" s="15">
        <f>医療機関!I195+陽性者登録センター!I195</f>
        <v>15</v>
      </c>
      <c r="J196" s="15">
        <f>医療機関!J195+陽性者登録センター!J195</f>
        <v>4</v>
      </c>
      <c r="K196" s="15">
        <f>医療機関!K195+陽性者登録センター!K195</f>
        <v>4</v>
      </c>
      <c r="L196" s="15">
        <f>医療機関!L195+陽性者登録センター!L195</f>
        <v>6</v>
      </c>
      <c r="M196" s="15">
        <f>医療機関!M195+陽性者登録センター!M195</f>
        <v>2</v>
      </c>
      <c r="N196" s="15">
        <f>医療機関!N195+陽性者登録センター!N195</f>
        <v>1</v>
      </c>
      <c r="O196" s="15">
        <f>医療機関!O195+陽性者登録センター!O195</f>
        <v>0</v>
      </c>
      <c r="P196" s="15">
        <f>医療機関!P195+陽性者登録センター!P195</f>
        <v>79</v>
      </c>
      <c r="Q196" s="8">
        <f t="shared" ref="Q196:Q227" si="7">Q195+P196</f>
        <v>200805</v>
      </c>
    </row>
    <row r="197" spans="1:17" ht="20" customHeight="1">
      <c r="A197" s="4">
        <v>45024</v>
      </c>
      <c r="B197" s="15">
        <f>医療機関!B196+陽性者登録センター!B196</f>
        <v>0</v>
      </c>
      <c r="C197" s="15">
        <f>医療機関!C196+陽性者登録センター!C196</f>
        <v>2</v>
      </c>
      <c r="D197" s="15">
        <f>医療機関!D196+陽性者登録センター!D196</f>
        <v>8</v>
      </c>
      <c r="E197" s="15">
        <f>医療機関!E196+陽性者登録センター!E196</f>
        <v>7</v>
      </c>
      <c r="F197" s="15">
        <f>医療機関!F196+陽性者登録センター!F196</f>
        <v>9</v>
      </c>
      <c r="G197" s="15">
        <f>医療機関!G196+陽性者登録センター!G196</f>
        <v>9</v>
      </c>
      <c r="H197" s="15">
        <f>医療機関!H196+陽性者登録センター!H196</f>
        <v>9</v>
      </c>
      <c r="I197" s="15">
        <f>医療機関!I196+陽性者登録センター!I196</f>
        <v>7</v>
      </c>
      <c r="J197" s="15">
        <f>医療機関!J196+陽性者登録センター!J196</f>
        <v>8</v>
      </c>
      <c r="K197" s="15">
        <f>医療機関!K196+陽性者登録センター!K196</f>
        <v>5</v>
      </c>
      <c r="L197" s="15">
        <f>医療機関!L196+陽性者登録センター!L196</f>
        <v>3</v>
      </c>
      <c r="M197" s="15">
        <f>医療機関!M196+陽性者登録センター!M196</f>
        <v>5</v>
      </c>
      <c r="N197" s="15">
        <f>医療機関!N196+陽性者登録センター!N196</f>
        <v>1</v>
      </c>
      <c r="O197" s="15">
        <f>医療機関!O196+陽性者登録センター!O196</f>
        <v>0</v>
      </c>
      <c r="P197" s="15">
        <f>医療機関!P196+陽性者登録センター!P196</f>
        <v>73</v>
      </c>
      <c r="Q197" s="8">
        <f t="shared" si="7"/>
        <v>200878</v>
      </c>
    </row>
    <row r="198" spans="1:17" ht="20" customHeight="1">
      <c r="A198" s="4">
        <v>45025</v>
      </c>
      <c r="B198" s="15">
        <f>医療機関!B197+陽性者登録センター!B197</f>
        <v>2</v>
      </c>
      <c r="C198" s="15">
        <f>医療機関!C197+陽性者登録センター!C197</f>
        <v>2</v>
      </c>
      <c r="D198" s="15">
        <f>医療機関!D197+陽性者登録センター!D197</f>
        <v>0</v>
      </c>
      <c r="E198" s="15">
        <f>医療機関!E197+陽性者登録センター!E197</f>
        <v>2</v>
      </c>
      <c r="F198" s="15">
        <f>医療機関!F197+陽性者登録センター!F197</f>
        <v>5</v>
      </c>
      <c r="G198" s="15">
        <f>医療機関!G197+陽性者登録センター!G197</f>
        <v>4</v>
      </c>
      <c r="H198" s="15">
        <f>医療機関!H197+陽性者登録センター!H197</f>
        <v>11</v>
      </c>
      <c r="I198" s="15">
        <f>医療機関!I197+陽性者登録センター!I197</f>
        <v>8</v>
      </c>
      <c r="J198" s="15">
        <f>医療機関!J197+陽性者登録センター!J197</f>
        <v>7</v>
      </c>
      <c r="K198" s="15">
        <f>医療機関!K197+陽性者登録センター!K197</f>
        <v>6</v>
      </c>
      <c r="L198" s="15">
        <f>医療機関!L197+陽性者登録センター!L197</f>
        <v>4</v>
      </c>
      <c r="M198" s="15">
        <f>医療機関!M197+陽性者登録センター!M197</f>
        <v>0</v>
      </c>
      <c r="N198" s="15">
        <f>医療機関!N197+陽性者登録センター!N197</f>
        <v>0</v>
      </c>
      <c r="O198" s="15">
        <f>医療機関!O197+陽性者登録センター!O197</f>
        <v>0</v>
      </c>
      <c r="P198" s="15">
        <f>医療機関!P197+陽性者登録センター!P197</f>
        <v>51</v>
      </c>
      <c r="Q198" s="8">
        <f t="shared" si="7"/>
        <v>200929</v>
      </c>
    </row>
    <row r="199" spans="1:17" ht="20" customHeight="1">
      <c r="A199" s="4">
        <v>45026</v>
      </c>
      <c r="B199" s="15">
        <f>医療機関!B198+陽性者登録センター!B198</f>
        <v>0</v>
      </c>
      <c r="C199" s="15">
        <f>医療機関!C198+陽性者登録センター!C198</f>
        <v>0</v>
      </c>
      <c r="D199" s="15">
        <f>医療機関!D198+陽性者登録センター!D198</f>
        <v>0</v>
      </c>
      <c r="E199" s="15">
        <f>医療機関!E198+陽性者登録センター!E198</f>
        <v>0</v>
      </c>
      <c r="F199" s="15">
        <f>医療機関!F198+陽性者登録センター!F198</f>
        <v>4</v>
      </c>
      <c r="G199" s="15">
        <f>医療機関!G198+陽性者登録センター!G198</f>
        <v>5</v>
      </c>
      <c r="H199" s="15">
        <f>医療機関!H198+陽性者登録センター!H198</f>
        <v>1</v>
      </c>
      <c r="I199" s="15">
        <f>医療機関!I198+陽性者登録センター!I198</f>
        <v>1</v>
      </c>
      <c r="J199" s="15">
        <f>医療機関!J198+陽性者登録センター!J198</f>
        <v>3</v>
      </c>
      <c r="K199" s="15">
        <f>医療機関!K198+陽性者登録センター!K198</f>
        <v>1</v>
      </c>
      <c r="L199" s="15">
        <f>医療機関!L198+陽性者登録センター!L198</f>
        <v>2</v>
      </c>
      <c r="M199" s="15">
        <f>医療機関!M198+陽性者登録センター!M198</f>
        <v>1</v>
      </c>
      <c r="N199" s="15">
        <f>医療機関!N198+陽性者登録センター!N198</f>
        <v>1</v>
      </c>
      <c r="O199" s="15">
        <f>医療機関!O198+陽性者登録センター!O198</f>
        <v>0</v>
      </c>
      <c r="P199" s="15">
        <f>医療機関!P198+陽性者登録センター!P198</f>
        <v>19</v>
      </c>
      <c r="Q199" s="8">
        <f t="shared" si="7"/>
        <v>200948</v>
      </c>
    </row>
    <row r="200" spans="1:17" ht="20" customHeight="1">
      <c r="A200" s="4">
        <v>45027</v>
      </c>
      <c r="B200" s="15">
        <f>医療機関!B199+陽性者登録センター!B199</f>
        <v>1</v>
      </c>
      <c r="C200" s="15">
        <f>医療機関!C199+陽性者登録センター!C199</f>
        <v>8</v>
      </c>
      <c r="D200" s="15">
        <f>医療機関!D199+陽性者登録センター!D199</f>
        <v>9</v>
      </c>
      <c r="E200" s="15">
        <f>医療機関!E199+陽性者登録センター!E199</f>
        <v>13</v>
      </c>
      <c r="F200" s="15">
        <f>医療機関!F199+陽性者登録センター!F199</f>
        <v>12</v>
      </c>
      <c r="G200" s="15">
        <f>医療機関!G199+陽性者登録センター!G199</f>
        <v>15</v>
      </c>
      <c r="H200" s="15">
        <f>医療機関!H199+陽性者登録センター!H199</f>
        <v>16</v>
      </c>
      <c r="I200" s="15">
        <f>医療機関!I199+陽性者登録センター!I199</f>
        <v>14</v>
      </c>
      <c r="J200" s="15">
        <f>医療機関!J199+陽性者登録センター!J199</f>
        <v>15</v>
      </c>
      <c r="K200" s="15">
        <f>医療機関!K199+陽性者登録センター!K199</f>
        <v>3</v>
      </c>
      <c r="L200" s="15">
        <f>医療機関!L199+陽性者登録センター!L199</f>
        <v>15</v>
      </c>
      <c r="M200" s="15">
        <f>医療機関!M199+陽性者登録センター!M199</f>
        <v>8</v>
      </c>
      <c r="N200" s="15">
        <f>医療機関!N199+陽性者登録センター!N199</f>
        <v>3</v>
      </c>
      <c r="O200" s="15">
        <f>医療機関!O199+陽性者登録センター!O199</f>
        <v>0</v>
      </c>
      <c r="P200" s="15">
        <f>医療機関!P199+陽性者登録センター!P199</f>
        <v>132</v>
      </c>
      <c r="Q200" s="8">
        <f t="shared" si="7"/>
        <v>201080</v>
      </c>
    </row>
    <row r="201" spans="1:17" ht="20" customHeight="1">
      <c r="A201" s="4">
        <v>45028</v>
      </c>
      <c r="B201" s="15">
        <f>医療機関!B200+陽性者登録センター!B200</f>
        <v>3</v>
      </c>
      <c r="C201" s="15">
        <f>医療機関!C200+陽性者登録センター!C200</f>
        <v>8</v>
      </c>
      <c r="D201" s="15">
        <f>医療機関!D200+陽性者登録センター!D200</f>
        <v>2</v>
      </c>
      <c r="E201" s="15">
        <f>医療機関!E200+陽性者登録センター!E200</f>
        <v>12</v>
      </c>
      <c r="F201" s="15">
        <f>医療機関!F200+陽性者登録センター!F200</f>
        <v>3</v>
      </c>
      <c r="G201" s="15">
        <f>医療機関!G200+陽性者登録センター!G200</f>
        <v>13</v>
      </c>
      <c r="H201" s="15">
        <f>医療機関!H200+陽性者登録センター!H200</f>
        <v>18</v>
      </c>
      <c r="I201" s="15">
        <f>医療機関!I200+陽性者登録センター!I200</f>
        <v>23</v>
      </c>
      <c r="J201" s="15">
        <f>医療機関!J200+陽性者登録センター!J200</f>
        <v>9</v>
      </c>
      <c r="K201" s="15">
        <f>医療機関!K200+陽性者登録センター!K200</f>
        <v>8</v>
      </c>
      <c r="L201" s="15">
        <f>医療機関!L200+陽性者登録センター!L200</f>
        <v>12</v>
      </c>
      <c r="M201" s="15">
        <f>医療機関!M200+陽性者登録センター!M200</f>
        <v>2</v>
      </c>
      <c r="N201" s="15">
        <f>医療機関!N200+陽性者登録センター!N200</f>
        <v>1</v>
      </c>
      <c r="O201" s="15">
        <f>医療機関!O200+陽性者登録センター!O200</f>
        <v>0</v>
      </c>
      <c r="P201" s="15">
        <f>医療機関!P200+陽性者登録センター!P200</f>
        <v>114</v>
      </c>
      <c r="Q201" s="8">
        <f t="shared" si="7"/>
        <v>201194</v>
      </c>
    </row>
    <row r="202" spans="1:17" ht="20" customHeight="1">
      <c r="A202" s="4">
        <v>45029</v>
      </c>
      <c r="B202" s="15">
        <f>医療機関!B201+陽性者登録センター!B201</f>
        <v>0</v>
      </c>
      <c r="C202" s="15">
        <f>医療機関!C201+陽性者登録センター!C201</f>
        <v>5</v>
      </c>
      <c r="D202" s="15">
        <f>医療機関!D201+陽性者登録センター!D201</f>
        <v>4</v>
      </c>
      <c r="E202" s="15">
        <f>医療機関!E201+陽性者登録センター!E201</f>
        <v>5</v>
      </c>
      <c r="F202" s="15">
        <f>医療機関!F201+陽性者登録センター!F201</f>
        <v>6</v>
      </c>
      <c r="G202" s="15">
        <f>医療機関!G201+陽性者登録センター!G201</f>
        <v>12</v>
      </c>
      <c r="H202" s="15">
        <f>医療機関!H201+陽性者登録センター!H201</f>
        <v>8</v>
      </c>
      <c r="I202" s="15">
        <f>医療機関!I201+陽性者登録センター!I201</f>
        <v>13</v>
      </c>
      <c r="J202" s="15">
        <f>医療機関!J201+陽性者登録センター!J201</f>
        <v>5</v>
      </c>
      <c r="K202" s="15">
        <f>医療機関!K201+陽性者登録センター!K201</f>
        <v>4</v>
      </c>
      <c r="L202" s="15">
        <f>医療機関!L201+陽性者登録センター!L201</f>
        <v>6</v>
      </c>
      <c r="M202" s="15">
        <f>医療機関!M201+陽性者登録センター!M201</f>
        <v>4</v>
      </c>
      <c r="N202" s="15">
        <f>医療機関!N201+陽性者登録センター!N201</f>
        <v>0</v>
      </c>
      <c r="O202" s="15">
        <f>医療機関!O201+陽性者登録センター!O201</f>
        <v>0</v>
      </c>
      <c r="P202" s="15">
        <f>医療機関!P201+陽性者登録センター!P201</f>
        <v>72</v>
      </c>
      <c r="Q202" s="8">
        <f t="shared" si="7"/>
        <v>201266</v>
      </c>
    </row>
    <row r="203" spans="1:17" ht="20" customHeight="1">
      <c r="A203" s="4">
        <v>45030</v>
      </c>
      <c r="B203" s="15">
        <f>医療機関!B202+陽性者登録センター!B202</f>
        <v>3</v>
      </c>
      <c r="C203" s="15">
        <f>医療機関!C202+陽性者登録センター!C202</f>
        <v>10</v>
      </c>
      <c r="D203" s="15">
        <f>医療機関!D202+陽性者登録センター!D202</f>
        <v>7</v>
      </c>
      <c r="E203" s="15">
        <f>医療機関!E202+陽性者登録センター!E202</f>
        <v>1</v>
      </c>
      <c r="F203" s="15">
        <f>医療機関!F202+陽性者登録センター!F202</f>
        <v>11</v>
      </c>
      <c r="G203" s="15">
        <f>医療機関!G202+陽性者登録センター!G202</f>
        <v>9</v>
      </c>
      <c r="H203" s="15">
        <f>医療機関!H202+陽性者登録センター!H202</f>
        <v>9</v>
      </c>
      <c r="I203" s="15">
        <f>医療機関!I202+陽性者登録センター!I202</f>
        <v>10</v>
      </c>
      <c r="J203" s="15">
        <f>医療機関!J202+陽性者登録センター!J202</f>
        <v>8</v>
      </c>
      <c r="K203" s="15">
        <f>医療機関!K202+陽性者登録センター!K202</f>
        <v>5</v>
      </c>
      <c r="L203" s="15">
        <f>医療機関!L202+陽性者登録センター!L202</f>
        <v>10</v>
      </c>
      <c r="M203" s="15">
        <f>医療機関!M202+陽性者登録センター!M202</f>
        <v>7</v>
      </c>
      <c r="N203" s="15">
        <f>医療機関!N202+陽性者登録センター!N202</f>
        <v>0</v>
      </c>
      <c r="O203" s="15">
        <f>医療機関!O202+陽性者登録センター!O202</f>
        <v>0</v>
      </c>
      <c r="P203" s="15">
        <f>医療機関!P202+陽性者登録センター!P202</f>
        <v>90</v>
      </c>
      <c r="Q203" s="8">
        <f t="shared" si="7"/>
        <v>201356</v>
      </c>
    </row>
    <row r="204" spans="1:17" ht="20" customHeight="1">
      <c r="A204" s="4">
        <v>45031</v>
      </c>
      <c r="B204" s="15">
        <f>医療機関!B203+陽性者登録センター!B203</f>
        <v>0</v>
      </c>
      <c r="C204" s="15">
        <f>医療機関!C203+陽性者登録センター!C203</f>
        <v>4</v>
      </c>
      <c r="D204" s="15">
        <f>医療機関!D203+陽性者登録センター!D203</f>
        <v>7</v>
      </c>
      <c r="E204" s="15">
        <f>医療機関!E203+陽性者登録センター!E203</f>
        <v>6</v>
      </c>
      <c r="F204" s="15">
        <f>医療機関!F203+陽性者登録センター!F203</f>
        <v>6</v>
      </c>
      <c r="G204" s="15">
        <f>医療機関!G203+陽性者登録センター!G203</f>
        <v>9</v>
      </c>
      <c r="H204" s="15">
        <f>医療機関!H203+陽性者登録センター!H203</f>
        <v>8</v>
      </c>
      <c r="I204" s="15">
        <f>医療機関!I203+陽性者登録センター!I203</f>
        <v>11</v>
      </c>
      <c r="J204" s="15">
        <f>医療機関!J203+陽性者登録センター!J203</f>
        <v>1</v>
      </c>
      <c r="K204" s="15">
        <f>医療機関!K203+陽性者登録センター!K203</f>
        <v>1</v>
      </c>
      <c r="L204" s="15">
        <f>医療機関!L203+陽性者登録センター!L203</f>
        <v>4</v>
      </c>
      <c r="M204" s="15">
        <f>医療機関!M203+陽性者登録センター!M203</f>
        <v>0</v>
      </c>
      <c r="N204" s="15">
        <f>医療機関!N203+陽性者登録センター!N203</f>
        <v>1</v>
      </c>
      <c r="O204" s="15">
        <f>医療機関!O203+陽性者登録センター!O203</f>
        <v>0</v>
      </c>
      <c r="P204" s="15">
        <f>医療機関!P203+陽性者登録センター!P203</f>
        <v>58</v>
      </c>
      <c r="Q204" s="8">
        <f t="shared" si="7"/>
        <v>201414</v>
      </c>
    </row>
    <row r="205" spans="1:17" ht="20" customHeight="1">
      <c r="A205" s="4">
        <v>45032</v>
      </c>
      <c r="B205" s="15">
        <f>医療機関!B204+陽性者登録センター!B204</f>
        <v>0</v>
      </c>
      <c r="C205" s="15">
        <f>医療機関!C204+陽性者登録センター!C204</f>
        <v>1</v>
      </c>
      <c r="D205" s="15">
        <f>医療機関!D204+陽性者登録センター!D204</f>
        <v>2</v>
      </c>
      <c r="E205" s="15">
        <f>医療機関!E204+陽性者登録センター!E204</f>
        <v>11</v>
      </c>
      <c r="F205" s="15">
        <f>医療機関!F204+陽性者登録センター!F204</f>
        <v>7</v>
      </c>
      <c r="G205" s="15">
        <f>医療機関!G204+陽性者登録センター!G204</f>
        <v>9</v>
      </c>
      <c r="H205" s="15">
        <f>医療機関!H204+陽性者登録センター!H204</f>
        <v>5</v>
      </c>
      <c r="I205" s="15">
        <f>医療機関!I204+陽性者登録センター!I204</f>
        <v>8</v>
      </c>
      <c r="J205" s="15">
        <f>医療機関!J204+陽性者登録センター!J204</f>
        <v>5</v>
      </c>
      <c r="K205" s="15">
        <f>医療機関!K204+陽性者登録センター!K204</f>
        <v>3</v>
      </c>
      <c r="L205" s="15">
        <f>医療機関!L204+陽性者登録センター!L204</f>
        <v>11</v>
      </c>
      <c r="M205" s="15">
        <f>医療機関!M204+陽性者登録センター!M204</f>
        <v>3</v>
      </c>
      <c r="N205" s="15">
        <f>医療機関!N204+陽性者登録センター!N204</f>
        <v>3</v>
      </c>
      <c r="O205" s="15">
        <f>医療機関!O204+陽性者登録センター!O204</f>
        <v>0</v>
      </c>
      <c r="P205" s="15">
        <f>医療機関!P204+陽性者登録センター!P204</f>
        <v>68</v>
      </c>
      <c r="Q205" s="8">
        <f t="shared" si="7"/>
        <v>201482</v>
      </c>
    </row>
    <row r="206" spans="1:17" ht="20" customHeight="1">
      <c r="A206" s="4">
        <v>45033</v>
      </c>
      <c r="B206" s="15">
        <f>医療機関!B205+陽性者登録センター!B205</f>
        <v>0</v>
      </c>
      <c r="C206" s="15">
        <f>医療機関!C205+陽性者登録センター!C205</f>
        <v>1</v>
      </c>
      <c r="D206" s="15">
        <f>医療機関!D205+陽性者登録センター!D205</f>
        <v>1</v>
      </c>
      <c r="E206" s="15">
        <f>医療機関!E205+陽性者登録センター!E205</f>
        <v>0</v>
      </c>
      <c r="F206" s="15">
        <f>医療機関!F205+陽性者登録センター!F205</f>
        <v>3</v>
      </c>
      <c r="G206" s="15">
        <f>医療機関!G205+陽性者登録センター!G205</f>
        <v>3</v>
      </c>
      <c r="H206" s="15">
        <f>医療機関!H205+陽性者登録センター!H205</f>
        <v>10</v>
      </c>
      <c r="I206" s="15">
        <f>医療機関!I205+陽性者登録センター!I205</f>
        <v>2</v>
      </c>
      <c r="J206" s="15">
        <f>医療機関!J205+陽性者登録センター!J205</f>
        <v>0</v>
      </c>
      <c r="K206" s="15">
        <f>医療機関!K205+陽性者登録センター!K205</f>
        <v>2</v>
      </c>
      <c r="L206" s="15">
        <f>医療機関!L205+陽性者登録センター!L205</f>
        <v>1</v>
      </c>
      <c r="M206" s="15">
        <f>医療機関!M205+陽性者登録センター!M205</f>
        <v>4</v>
      </c>
      <c r="N206" s="15">
        <f>医療機関!N205+陽性者登録センター!N205</f>
        <v>1</v>
      </c>
      <c r="O206" s="15">
        <f>医療機関!O205+陽性者登録センター!O205</f>
        <v>0</v>
      </c>
      <c r="P206" s="15">
        <f>医療機関!P205+陽性者登録センター!P205</f>
        <v>28</v>
      </c>
      <c r="Q206" s="8">
        <f t="shared" si="7"/>
        <v>201510</v>
      </c>
    </row>
    <row r="207" spans="1:17" ht="20" customHeight="1">
      <c r="A207" s="4">
        <v>45034</v>
      </c>
      <c r="B207" s="15">
        <f>医療機関!B206+陽性者登録センター!B206</f>
        <v>0</v>
      </c>
      <c r="C207" s="15">
        <f>医療機関!C206+陽性者登録センター!C206</f>
        <v>5</v>
      </c>
      <c r="D207" s="15">
        <f>医療機関!D206+陽性者登録センター!D206</f>
        <v>5</v>
      </c>
      <c r="E207" s="15">
        <f>医療機関!E206+陽性者登録センター!E206</f>
        <v>12</v>
      </c>
      <c r="F207" s="15">
        <f>医療機関!F206+陽性者登録センター!F206</f>
        <v>9</v>
      </c>
      <c r="G207" s="15">
        <f>医療機関!G206+陽性者登録センター!G206</f>
        <v>18</v>
      </c>
      <c r="H207" s="15">
        <f>医療機関!H206+陽性者登録センター!H206</f>
        <v>30</v>
      </c>
      <c r="I207" s="15">
        <f>医療機関!I206+陽性者登録センター!I206</f>
        <v>19</v>
      </c>
      <c r="J207" s="15">
        <f>医療機関!J206+陽性者登録センター!J206</f>
        <v>13</v>
      </c>
      <c r="K207" s="15">
        <f>医療機関!K206+陽性者登録センター!K206</f>
        <v>4</v>
      </c>
      <c r="L207" s="15">
        <f>医療機関!L206+陽性者登録センター!L206</f>
        <v>14</v>
      </c>
      <c r="M207" s="15">
        <f>医療機関!M206+陽性者登録センター!M206</f>
        <v>4</v>
      </c>
      <c r="N207" s="15">
        <f>医療機関!N206+陽性者登録センター!N206</f>
        <v>4</v>
      </c>
      <c r="O207" s="15">
        <f>医療機関!O206+陽性者登録センター!O206</f>
        <v>0</v>
      </c>
      <c r="P207" s="15">
        <f>医療機関!P206+陽性者登録センター!P206</f>
        <v>137</v>
      </c>
      <c r="Q207" s="8">
        <f t="shared" si="7"/>
        <v>201647</v>
      </c>
    </row>
    <row r="208" spans="1:17" ht="20" customHeight="1">
      <c r="A208" s="4">
        <v>45035</v>
      </c>
      <c r="B208" s="15">
        <f>医療機関!B207+陽性者登録センター!B207</f>
        <v>1</v>
      </c>
      <c r="C208" s="15">
        <f>医療機関!C207+陽性者登録センター!C207</f>
        <v>1</v>
      </c>
      <c r="D208" s="15">
        <f>医療機関!D207+陽性者登録センター!D207</f>
        <v>3</v>
      </c>
      <c r="E208" s="15">
        <f>医療機関!E207+陽性者登録センター!E207</f>
        <v>8</v>
      </c>
      <c r="F208" s="15">
        <f>医療機関!F207+陽性者登録センター!F207</f>
        <v>12</v>
      </c>
      <c r="G208" s="15">
        <f>医療機関!G207+陽性者登録センター!G207</f>
        <v>11</v>
      </c>
      <c r="H208" s="15">
        <f>医療機関!H207+陽性者登録センター!H207</f>
        <v>13</v>
      </c>
      <c r="I208" s="15">
        <f>医療機関!I207+陽性者登録センター!I207</f>
        <v>20</v>
      </c>
      <c r="J208" s="15">
        <f>医療機関!J207+陽性者登録センター!J207</f>
        <v>13</v>
      </c>
      <c r="K208" s="15">
        <f>医療機関!K207+陽性者登録センター!K207</f>
        <v>4</v>
      </c>
      <c r="L208" s="15">
        <f>医療機関!L207+陽性者登録センター!L207</f>
        <v>8</v>
      </c>
      <c r="M208" s="15">
        <f>医療機関!M207+陽性者登録センター!M207</f>
        <v>10</v>
      </c>
      <c r="N208" s="15">
        <f>医療機関!N207+陽性者登録センター!N207</f>
        <v>7</v>
      </c>
      <c r="O208" s="15">
        <f>医療機関!O207+陽性者登録センター!O207</f>
        <v>0</v>
      </c>
      <c r="P208" s="15">
        <f>医療機関!P207+陽性者登録センター!P207</f>
        <v>111</v>
      </c>
      <c r="Q208" s="8">
        <f t="shared" si="7"/>
        <v>201758</v>
      </c>
    </row>
    <row r="209" spans="1:17" ht="20" customHeight="1">
      <c r="A209" s="4">
        <v>45036</v>
      </c>
      <c r="B209" s="15">
        <f>医療機関!B208+陽性者登録センター!B208</f>
        <v>2</v>
      </c>
      <c r="C209" s="15">
        <f>医療機関!C208+陽性者登録センター!C208</f>
        <v>4</v>
      </c>
      <c r="D209" s="15">
        <f>医療機関!D208+陽性者登録センター!D208</f>
        <v>4</v>
      </c>
      <c r="E209" s="15">
        <f>医療機関!E208+陽性者登録センター!E208</f>
        <v>10</v>
      </c>
      <c r="F209" s="15">
        <f>医療機関!F208+陽性者登録センター!F208</f>
        <v>9</v>
      </c>
      <c r="G209" s="15">
        <f>医療機関!G208+陽性者登録センター!G208</f>
        <v>21</v>
      </c>
      <c r="H209" s="15">
        <f>医療機関!H208+陽性者登録センター!H208</f>
        <v>24</v>
      </c>
      <c r="I209" s="15">
        <f>医療機関!I208+陽性者登録センター!I208</f>
        <v>13</v>
      </c>
      <c r="J209" s="15">
        <f>医療機関!J208+陽性者登録センター!J208</f>
        <v>6</v>
      </c>
      <c r="K209" s="15">
        <f>医療機関!K208+陽性者登録センター!K208</f>
        <v>4</v>
      </c>
      <c r="L209" s="15">
        <f>医療機関!L208+陽性者登録センター!L208</f>
        <v>6</v>
      </c>
      <c r="M209" s="15">
        <f>医療機関!M208+陽性者登録センター!M208</f>
        <v>7</v>
      </c>
      <c r="N209" s="15">
        <f>医療機関!N208+陽性者登録センター!N208</f>
        <v>3</v>
      </c>
      <c r="O209" s="15">
        <f>医療機関!O208+陽性者登録センター!O208</f>
        <v>0</v>
      </c>
      <c r="P209" s="15">
        <f>医療機関!P208+陽性者登録センター!P208</f>
        <v>113</v>
      </c>
      <c r="Q209" s="8">
        <f t="shared" si="7"/>
        <v>201871</v>
      </c>
    </row>
    <row r="210" spans="1:17" ht="20" customHeight="1">
      <c r="A210" s="4">
        <v>45037</v>
      </c>
      <c r="B210" s="15">
        <f>医療機関!B209+陽性者登録センター!B209</f>
        <v>2</v>
      </c>
      <c r="C210" s="15">
        <f>医療機関!C209+陽性者登録センター!C209</f>
        <v>2</v>
      </c>
      <c r="D210" s="15">
        <f>医療機関!D209+陽性者登録センター!D209</f>
        <v>2</v>
      </c>
      <c r="E210" s="15">
        <f>医療機関!E209+陽性者登録センター!E209</f>
        <v>19</v>
      </c>
      <c r="F210" s="15">
        <f>医療機関!F209+陽性者登録センター!F209</f>
        <v>10</v>
      </c>
      <c r="G210" s="15">
        <f>医療機関!G209+陽性者登録センター!G209</f>
        <v>13</v>
      </c>
      <c r="H210" s="15">
        <f>医療機関!H209+陽性者登録センター!H209</f>
        <v>16</v>
      </c>
      <c r="I210" s="15">
        <f>医療機関!I209+陽性者登録センター!I209</f>
        <v>8</v>
      </c>
      <c r="J210" s="15">
        <f>医療機関!J209+陽性者登録センター!J209</f>
        <v>9</v>
      </c>
      <c r="K210" s="15">
        <f>医療機関!K209+陽性者登録センター!K209</f>
        <v>6</v>
      </c>
      <c r="L210" s="15">
        <f>医療機関!L209+陽性者登録センター!L209</f>
        <v>5</v>
      </c>
      <c r="M210" s="15">
        <f>医療機関!M209+陽性者登録センター!M209</f>
        <v>4</v>
      </c>
      <c r="N210" s="15">
        <f>医療機関!N209+陽性者登録センター!N209</f>
        <v>1</v>
      </c>
      <c r="O210" s="15">
        <f>医療機関!O209+陽性者登録センター!O209</f>
        <v>0</v>
      </c>
      <c r="P210" s="15">
        <f>医療機関!P209+陽性者登録センター!P209</f>
        <v>97</v>
      </c>
      <c r="Q210" s="8">
        <f t="shared" si="7"/>
        <v>201968</v>
      </c>
    </row>
    <row r="211" spans="1:17" ht="20" customHeight="1">
      <c r="A211" s="4">
        <v>45038</v>
      </c>
      <c r="B211" s="15">
        <f>医療機関!B210+陽性者登録センター!B210</f>
        <v>0</v>
      </c>
      <c r="C211" s="15">
        <f>医療機関!C210+陽性者登録センター!C210</f>
        <v>3</v>
      </c>
      <c r="D211" s="15">
        <f>医療機関!D210+陽性者登録センター!D210</f>
        <v>4</v>
      </c>
      <c r="E211" s="15">
        <f>医療機関!E210+陽性者登録センター!E210</f>
        <v>17</v>
      </c>
      <c r="F211" s="15">
        <f>医療機関!F210+陽性者登録センター!F210</f>
        <v>15</v>
      </c>
      <c r="G211" s="15">
        <f>医療機関!G210+陽性者登録センター!G210</f>
        <v>9</v>
      </c>
      <c r="H211" s="15">
        <f>医療機関!H210+陽性者登録センター!H210</f>
        <v>13</v>
      </c>
      <c r="I211" s="15">
        <f>医療機関!I210+陽性者登録センター!I210</f>
        <v>12</v>
      </c>
      <c r="J211" s="15">
        <f>医療機関!J210+陽性者登録センター!J210</f>
        <v>7</v>
      </c>
      <c r="K211" s="15">
        <f>医療機関!K210+陽性者登録センター!K210</f>
        <v>7</v>
      </c>
      <c r="L211" s="15">
        <f>医療機関!L210+陽性者登録センター!L210</f>
        <v>15</v>
      </c>
      <c r="M211" s="15">
        <f>医療機関!M210+陽性者登録センター!M210</f>
        <v>4</v>
      </c>
      <c r="N211" s="15">
        <f>医療機関!N210+陽性者登録センター!N210</f>
        <v>1</v>
      </c>
      <c r="O211" s="15">
        <f>医療機関!O210+陽性者登録センター!O210</f>
        <v>0</v>
      </c>
      <c r="P211" s="15">
        <f>医療機関!P210+陽性者登録センター!P210</f>
        <v>107</v>
      </c>
      <c r="Q211" s="8">
        <f t="shared" si="7"/>
        <v>202075</v>
      </c>
    </row>
    <row r="212" spans="1:17" ht="20" customHeight="1">
      <c r="A212" s="4">
        <v>45039</v>
      </c>
      <c r="B212" s="15">
        <f>医療機関!B211+陽性者登録センター!B211</f>
        <v>0</v>
      </c>
      <c r="C212" s="15">
        <f>医療機関!C211+陽性者登録センター!C211</f>
        <v>3</v>
      </c>
      <c r="D212" s="15">
        <f>医療機関!D211+陽性者登録センター!D211</f>
        <v>3</v>
      </c>
      <c r="E212" s="15">
        <f>医療機関!E211+陽性者登録センター!E211</f>
        <v>7</v>
      </c>
      <c r="F212" s="15">
        <f>医療機関!F211+陽性者登録センター!F211</f>
        <v>9</v>
      </c>
      <c r="G212" s="15">
        <f>医療機関!G211+陽性者登録センター!G211</f>
        <v>8</v>
      </c>
      <c r="H212" s="15">
        <f>医療機関!H211+陽性者登録センター!H211</f>
        <v>13</v>
      </c>
      <c r="I212" s="15">
        <f>医療機関!I211+陽性者登録センター!I211</f>
        <v>10</v>
      </c>
      <c r="J212" s="15">
        <f>医療機関!J211+陽性者登録センター!J211</f>
        <v>6</v>
      </c>
      <c r="K212" s="15">
        <f>医療機関!K211+陽性者登録センター!K211</f>
        <v>1</v>
      </c>
      <c r="L212" s="15">
        <f>医療機関!L211+陽性者登録センター!L211</f>
        <v>8</v>
      </c>
      <c r="M212" s="15">
        <f>医療機関!M211+陽性者登録センター!M211</f>
        <v>1</v>
      </c>
      <c r="N212" s="15">
        <f>医療機関!N211+陽性者登録センター!N211</f>
        <v>1</v>
      </c>
      <c r="O212" s="15">
        <f>医療機関!O211+陽性者登録センター!O211</f>
        <v>0</v>
      </c>
      <c r="P212" s="15">
        <f>医療機関!P211+陽性者登録センター!P211</f>
        <v>70</v>
      </c>
      <c r="Q212" s="8">
        <f t="shared" si="7"/>
        <v>202145</v>
      </c>
    </row>
    <row r="213" spans="1:17" ht="20" customHeight="1">
      <c r="A213" s="4">
        <v>45040</v>
      </c>
      <c r="B213" s="15">
        <f>医療機関!B212+陽性者登録センター!B212</f>
        <v>0</v>
      </c>
      <c r="C213" s="15">
        <f>医療機関!C212+陽性者登録センター!C212</f>
        <v>0</v>
      </c>
      <c r="D213" s="15">
        <f>医療機関!D212+陽性者登録センター!D212</f>
        <v>2</v>
      </c>
      <c r="E213" s="15">
        <f>医療機関!E212+陽性者登録センター!E212</f>
        <v>2</v>
      </c>
      <c r="F213" s="15">
        <f>医療機関!F212+陽性者登録センター!F212</f>
        <v>2</v>
      </c>
      <c r="G213" s="15">
        <f>医療機関!G212+陽性者登録センター!G212</f>
        <v>2</v>
      </c>
      <c r="H213" s="15">
        <f>医療機関!H212+陽性者登録センター!H212</f>
        <v>5</v>
      </c>
      <c r="I213" s="15">
        <f>医療機関!I212+陽性者登録センター!I212</f>
        <v>3</v>
      </c>
      <c r="J213" s="15">
        <f>医療機関!J212+陽性者登録センター!J212</f>
        <v>0</v>
      </c>
      <c r="K213" s="15">
        <f>医療機関!K212+陽性者登録センター!K212</f>
        <v>0</v>
      </c>
      <c r="L213" s="15">
        <f>医療機関!L212+陽性者登録センター!L212</f>
        <v>2</v>
      </c>
      <c r="M213" s="15">
        <f>医療機関!M212+陽性者登録センター!M212</f>
        <v>2</v>
      </c>
      <c r="N213" s="15">
        <f>医療機関!N212+陽性者登録センター!N212</f>
        <v>0</v>
      </c>
      <c r="O213" s="15">
        <f>医療機関!O212+陽性者登録センター!O212</f>
        <v>0</v>
      </c>
      <c r="P213" s="15">
        <f>医療機関!P212+陽性者登録センター!P212</f>
        <v>20</v>
      </c>
      <c r="Q213" s="8">
        <f t="shared" si="7"/>
        <v>202165</v>
      </c>
    </row>
    <row r="214" spans="1:17" ht="20" customHeight="1">
      <c r="A214" s="4">
        <v>45041</v>
      </c>
      <c r="B214" s="15">
        <f>医療機関!B213+陽性者登録センター!B213</f>
        <v>1</v>
      </c>
      <c r="C214" s="15">
        <f>医療機関!C213+陽性者登録センター!C213</f>
        <v>6</v>
      </c>
      <c r="D214" s="15">
        <f>医療機関!D213+陽性者登録センター!D213</f>
        <v>15</v>
      </c>
      <c r="E214" s="15">
        <f>医療機関!E213+陽性者登録センター!E213</f>
        <v>20</v>
      </c>
      <c r="F214" s="15">
        <f>医療機関!F213+陽性者登録センター!F213</f>
        <v>18</v>
      </c>
      <c r="G214" s="15">
        <f>医療機関!G213+陽性者登録センター!G213</f>
        <v>14</v>
      </c>
      <c r="H214" s="15">
        <f>医療機関!H213+陽性者登録センター!H213</f>
        <v>33</v>
      </c>
      <c r="I214" s="15">
        <f>医療機関!I213+陽性者登録センター!I213</f>
        <v>25</v>
      </c>
      <c r="J214" s="15">
        <f>医療機関!J213+陽性者登録センター!J213</f>
        <v>15</v>
      </c>
      <c r="K214" s="15">
        <f>医療機関!K213+陽性者登録センター!K213</f>
        <v>13</v>
      </c>
      <c r="L214" s="15">
        <f>医療機関!L213+陽性者登録センター!L213</f>
        <v>16</v>
      </c>
      <c r="M214" s="15">
        <f>医療機関!M213+陽性者登録センター!M213</f>
        <v>7</v>
      </c>
      <c r="N214" s="15">
        <f>医療機関!N213+陽性者登録センター!N213</f>
        <v>5</v>
      </c>
      <c r="O214" s="15">
        <f>医療機関!O213+陽性者登録センター!O213</f>
        <v>0</v>
      </c>
      <c r="P214" s="15">
        <f>医療機関!P213+陽性者登録センター!P213</f>
        <v>188</v>
      </c>
      <c r="Q214" s="8">
        <f t="shared" si="7"/>
        <v>202353</v>
      </c>
    </row>
    <row r="215" spans="1:17" ht="20" customHeight="1">
      <c r="A215" s="4">
        <v>45042</v>
      </c>
      <c r="B215" s="15">
        <f>医療機関!B214+陽性者登録センター!B214</f>
        <v>0</v>
      </c>
      <c r="C215" s="15">
        <f>医療機関!C214+陽性者登録センター!C214</f>
        <v>7</v>
      </c>
      <c r="D215" s="15">
        <f>医療機関!D214+陽性者登録センター!D214</f>
        <v>8</v>
      </c>
      <c r="E215" s="15">
        <f>医療機関!E214+陽性者登録センター!E214</f>
        <v>6</v>
      </c>
      <c r="F215" s="15">
        <f>医療機関!F214+陽性者登録センター!F214</f>
        <v>12</v>
      </c>
      <c r="G215" s="15">
        <f>医療機関!G214+陽性者登録センター!G214</f>
        <v>19</v>
      </c>
      <c r="H215" s="15">
        <f>医療機関!H214+陽性者登録センター!H214</f>
        <v>17</v>
      </c>
      <c r="I215" s="15">
        <f>医療機関!I214+陽性者登録センター!I214</f>
        <v>18</v>
      </c>
      <c r="J215" s="15">
        <f>医療機関!J214+陽性者登録センター!J214</f>
        <v>10</v>
      </c>
      <c r="K215" s="15">
        <f>医療機関!K214+陽性者登録センター!K214</f>
        <v>11</v>
      </c>
      <c r="L215" s="15">
        <f>医療機関!L214+陽性者登録センター!L214</f>
        <v>11</v>
      </c>
      <c r="M215" s="15">
        <f>医療機関!M214+陽性者登録センター!M214</f>
        <v>9</v>
      </c>
      <c r="N215" s="15">
        <f>医療機関!N214+陽性者登録センター!N214</f>
        <v>2</v>
      </c>
      <c r="O215" s="15">
        <f>医療機関!O214+陽性者登録センター!O214</f>
        <v>0</v>
      </c>
      <c r="P215" s="15">
        <f>医療機関!P214+陽性者登録センター!P214</f>
        <v>130</v>
      </c>
      <c r="Q215" s="8">
        <f t="shared" si="7"/>
        <v>202483</v>
      </c>
    </row>
    <row r="216" spans="1:17" ht="20" customHeight="1">
      <c r="A216" s="4">
        <v>45043</v>
      </c>
      <c r="B216" s="15">
        <f>医療機関!B215+陽性者登録センター!B215</f>
        <v>1</v>
      </c>
      <c r="C216" s="15">
        <f>医療機関!C215+陽性者登録センター!C215</f>
        <v>7</v>
      </c>
      <c r="D216" s="15">
        <f>医療機関!D215+陽性者登録センター!D215</f>
        <v>7</v>
      </c>
      <c r="E216" s="15">
        <f>医療機関!E215+陽性者登録センター!E215</f>
        <v>20</v>
      </c>
      <c r="F216" s="15">
        <f>医療機関!F215+陽性者登録センター!F215</f>
        <v>8</v>
      </c>
      <c r="G216" s="15">
        <f>医療機関!G215+陽性者登録センター!G215</f>
        <v>12</v>
      </c>
      <c r="H216" s="15">
        <f>医療機関!H215+陽性者登録センター!H215</f>
        <v>15</v>
      </c>
      <c r="I216" s="15">
        <f>医療機関!I215+陽性者登録センター!I215</f>
        <v>12</v>
      </c>
      <c r="J216" s="15">
        <f>医療機関!J215+陽性者登録センター!J215</f>
        <v>6</v>
      </c>
      <c r="K216" s="15">
        <f>医療機関!K215+陽性者登録センター!K215</f>
        <v>5</v>
      </c>
      <c r="L216" s="15">
        <f>医療機関!L215+陽性者登録センター!L215</f>
        <v>9</v>
      </c>
      <c r="M216" s="15">
        <f>医療機関!M215+陽性者登録センター!M215</f>
        <v>9</v>
      </c>
      <c r="N216" s="15">
        <f>医療機関!N215+陽性者登録センター!N215</f>
        <v>2</v>
      </c>
      <c r="O216" s="15">
        <f>医療機関!O215+陽性者登録センター!O215</f>
        <v>0</v>
      </c>
      <c r="P216" s="15">
        <f>医療機関!P215+陽性者登録センター!P215</f>
        <v>113</v>
      </c>
      <c r="Q216" s="8">
        <f t="shared" si="7"/>
        <v>202596</v>
      </c>
    </row>
    <row r="217" spans="1:17" ht="20" customHeight="1">
      <c r="A217" s="4">
        <v>45044</v>
      </c>
      <c r="B217" s="15">
        <f>医療機関!B216+陽性者登録センター!B216</f>
        <v>0</v>
      </c>
      <c r="C217" s="15">
        <f>医療機関!C216+陽性者登録センター!C216</f>
        <v>6</v>
      </c>
      <c r="D217" s="15">
        <f>医療機関!D216+陽性者登録センター!D216</f>
        <v>10</v>
      </c>
      <c r="E217" s="15">
        <f>医療機関!E216+陽性者登録センター!E216</f>
        <v>11</v>
      </c>
      <c r="F217" s="15">
        <f>医療機関!F216+陽性者登録センター!F216</f>
        <v>11</v>
      </c>
      <c r="G217" s="15">
        <f>医療機関!G216+陽性者登録センター!G216</f>
        <v>15</v>
      </c>
      <c r="H217" s="15">
        <f>医療機関!H216+陽性者登録センター!H216</f>
        <v>17</v>
      </c>
      <c r="I217" s="15">
        <f>医療機関!I216+陽性者登録センター!I216</f>
        <v>24</v>
      </c>
      <c r="J217" s="15">
        <f>医療機関!J216+陽性者登録センター!J216</f>
        <v>14</v>
      </c>
      <c r="K217" s="15">
        <f>医療機関!K216+陽性者登録センター!K216</f>
        <v>9</v>
      </c>
      <c r="L217" s="15">
        <f>医療機関!L216+陽性者登録センター!L216</f>
        <v>12</v>
      </c>
      <c r="M217" s="15">
        <f>医療機関!M216+陽性者登録センター!M216</f>
        <v>8</v>
      </c>
      <c r="N217" s="15">
        <f>医療機関!N216+陽性者登録センター!N216</f>
        <v>4</v>
      </c>
      <c r="O217" s="15">
        <f>医療機関!O216+陽性者登録センター!O216</f>
        <v>0</v>
      </c>
      <c r="P217" s="15">
        <f>医療機関!P216+陽性者登録センター!P216</f>
        <v>141</v>
      </c>
      <c r="Q217" s="8">
        <f t="shared" si="7"/>
        <v>202737</v>
      </c>
    </row>
    <row r="218" spans="1:17" ht="20" customHeight="1">
      <c r="A218" s="4">
        <v>45045</v>
      </c>
      <c r="B218" s="15">
        <f>医療機関!B217+陽性者登録センター!B217</f>
        <v>0</v>
      </c>
      <c r="C218" s="15">
        <f>医療機関!C217+陽性者登録センター!C217</f>
        <v>9</v>
      </c>
      <c r="D218" s="15">
        <f>医療機関!D217+陽性者登録センター!D217</f>
        <v>13</v>
      </c>
      <c r="E218" s="15">
        <f>医療機関!E217+陽性者登録センター!E217</f>
        <v>10</v>
      </c>
      <c r="F218" s="15">
        <f>医療機関!F217+陽性者登録センター!F217</f>
        <v>14</v>
      </c>
      <c r="G218" s="15">
        <f>医療機関!G217+陽性者登録センター!G217</f>
        <v>10</v>
      </c>
      <c r="H218" s="15">
        <f>医療機関!H217+陽性者登録センター!H217</f>
        <v>19</v>
      </c>
      <c r="I218" s="15">
        <f>医療機関!I217+陽性者登録センター!I217</f>
        <v>19</v>
      </c>
      <c r="J218" s="15">
        <f>医療機関!J217+陽性者登録センター!J217</f>
        <v>8</v>
      </c>
      <c r="K218" s="15">
        <f>医療機関!K217+陽性者登録センター!K217</f>
        <v>12</v>
      </c>
      <c r="L218" s="15">
        <f>医療機関!L217+陽性者登録センター!L217</f>
        <v>20</v>
      </c>
      <c r="M218" s="15">
        <f>医療機関!M217+陽性者登録センター!M217</f>
        <v>12</v>
      </c>
      <c r="N218" s="15">
        <f>医療機関!N217+陽性者登録センター!N217</f>
        <v>6</v>
      </c>
      <c r="O218" s="15">
        <f>医療機関!O217+陽性者登録センター!O217</f>
        <v>0</v>
      </c>
      <c r="P218" s="15">
        <f>医療機関!P217+陽性者登録センター!P217</f>
        <v>152</v>
      </c>
      <c r="Q218" s="8">
        <f t="shared" si="7"/>
        <v>202889</v>
      </c>
    </row>
    <row r="219" spans="1:17" ht="20" customHeight="1">
      <c r="A219" s="4">
        <v>45046</v>
      </c>
      <c r="B219" s="15">
        <f>医療機関!B218+陽性者登録センター!B218</f>
        <v>0</v>
      </c>
      <c r="C219" s="15">
        <f>医療機関!C218+陽性者登録センター!C218</f>
        <v>2</v>
      </c>
      <c r="D219" s="15">
        <f>医療機関!D218+陽性者登録センター!D218</f>
        <v>6</v>
      </c>
      <c r="E219" s="15">
        <f>医療機関!E218+陽性者登録センター!E218</f>
        <v>2</v>
      </c>
      <c r="F219" s="15">
        <f>医療機関!F218+陽性者登録センター!F218</f>
        <v>6</v>
      </c>
      <c r="G219" s="15">
        <f>医療機関!G218+陽性者登録センター!G218</f>
        <v>5</v>
      </c>
      <c r="H219" s="15">
        <f>医療機関!H218+陽性者登録センター!H218</f>
        <v>6</v>
      </c>
      <c r="I219" s="15">
        <f>医療機関!I218+陽性者登録センター!I218</f>
        <v>8</v>
      </c>
      <c r="J219" s="15">
        <f>医療機関!J218+陽性者登録センター!J218</f>
        <v>2</v>
      </c>
      <c r="K219" s="15">
        <f>医療機関!K218+陽性者登録センター!K218</f>
        <v>4</v>
      </c>
      <c r="L219" s="15">
        <f>医療機関!L218+陽性者登録センター!L218</f>
        <v>4</v>
      </c>
      <c r="M219" s="15">
        <f>医療機関!M218+陽性者登録センター!M218</f>
        <v>1</v>
      </c>
      <c r="N219" s="15">
        <f>医療機関!N218+陽性者登録センター!N218</f>
        <v>0</v>
      </c>
      <c r="O219" s="15">
        <f>医療機関!O218+陽性者登録センター!O218</f>
        <v>0</v>
      </c>
      <c r="P219" s="15">
        <f>医療機関!P218+陽性者登録センター!P218</f>
        <v>46</v>
      </c>
      <c r="Q219" s="8">
        <f t="shared" si="7"/>
        <v>202935</v>
      </c>
    </row>
    <row r="220" spans="1:17" ht="20" customHeight="1">
      <c r="A220" s="4">
        <v>45047</v>
      </c>
      <c r="B220" s="15">
        <f>医療機関!B219+陽性者登録センター!B219</f>
        <v>0</v>
      </c>
      <c r="C220" s="15">
        <f>医療機関!C219+陽性者登録センター!C219</f>
        <v>2</v>
      </c>
      <c r="D220" s="15">
        <f>医療機関!D219+陽性者登録センター!D219</f>
        <v>0</v>
      </c>
      <c r="E220" s="15">
        <f>医療機関!E219+陽性者登録センター!E219</f>
        <v>4</v>
      </c>
      <c r="F220" s="15">
        <f>医療機関!F219+陽性者登録センター!F219</f>
        <v>3</v>
      </c>
      <c r="G220" s="15">
        <f>医療機関!G219+陽性者登録センター!G219</f>
        <v>8</v>
      </c>
      <c r="H220" s="15">
        <f>医療機関!H219+陽性者登録センター!H219</f>
        <v>6</v>
      </c>
      <c r="I220" s="15">
        <f>医療機関!I219+陽性者登録センター!I219</f>
        <v>4</v>
      </c>
      <c r="J220" s="15">
        <f>医療機関!J219+陽性者登録センター!J219</f>
        <v>4</v>
      </c>
      <c r="K220" s="15">
        <f>医療機関!K219+陽性者登録センター!K219</f>
        <v>0</v>
      </c>
      <c r="L220" s="15">
        <f>医療機関!L219+陽性者登録センター!L219</f>
        <v>1</v>
      </c>
      <c r="M220" s="15">
        <f>医療機関!M219+陽性者登録センター!M219</f>
        <v>1</v>
      </c>
      <c r="N220" s="15">
        <f>医療機関!N219+陽性者登録センター!N219</f>
        <v>0</v>
      </c>
      <c r="O220" s="15">
        <f>医療機関!O219+陽性者登録センター!O219</f>
        <v>0</v>
      </c>
      <c r="P220" s="15">
        <f>医療機関!P219+陽性者登録センター!P219</f>
        <v>33</v>
      </c>
      <c r="Q220" s="8">
        <f t="shared" si="7"/>
        <v>202968</v>
      </c>
    </row>
    <row r="221" spans="1:17" ht="20" customHeight="1">
      <c r="A221" s="4">
        <v>45048</v>
      </c>
      <c r="B221" s="15">
        <f>医療機関!B220+陽性者登録センター!B220</f>
        <v>0</v>
      </c>
      <c r="C221" s="15">
        <f>医療機関!C220+陽性者登録センター!C220</f>
        <v>6</v>
      </c>
      <c r="D221" s="15">
        <f>医療機関!D220+陽性者登録センター!D220</f>
        <v>20</v>
      </c>
      <c r="E221" s="15">
        <f>医療機関!E220+陽性者登録センター!E220</f>
        <v>25</v>
      </c>
      <c r="F221" s="15">
        <f>医療機関!F220+陽性者登録センター!F220</f>
        <v>24</v>
      </c>
      <c r="G221" s="15">
        <f>医療機関!G220+陽性者登録センター!G220</f>
        <v>31</v>
      </c>
      <c r="H221" s="15">
        <f>医療機関!H220+陽性者登録センター!H220</f>
        <v>38</v>
      </c>
      <c r="I221" s="15">
        <f>医療機関!I220+陽性者登録センター!I220</f>
        <v>50</v>
      </c>
      <c r="J221" s="15">
        <f>医療機関!J220+陽性者登録センター!J220</f>
        <v>20</v>
      </c>
      <c r="K221" s="15">
        <f>医療機関!K220+陽性者登録センター!K220</f>
        <v>9</v>
      </c>
      <c r="L221" s="15">
        <f>医療機関!L220+陽性者登録センター!L220</f>
        <v>39</v>
      </c>
      <c r="M221" s="15">
        <f>医療機関!M220+陽性者登録センター!M220</f>
        <v>20</v>
      </c>
      <c r="N221" s="15">
        <f>医療機関!N220+陽性者登録センター!N220</f>
        <v>6</v>
      </c>
      <c r="O221" s="15">
        <f>医療機関!O220+陽性者登録センター!O220</f>
        <v>0</v>
      </c>
      <c r="P221" s="15">
        <f>医療機関!P220+陽性者登録センター!P220</f>
        <v>288</v>
      </c>
      <c r="Q221" s="8">
        <f t="shared" si="7"/>
        <v>203256</v>
      </c>
    </row>
    <row r="222" spans="1:17" ht="20" customHeight="1">
      <c r="A222" s="4">
        <v>45049</v>
      </c>
      <c r="B222" s="15">
        <f>医療機関!B221+陽性者登録センター!B221</f>
        <v>1</v>
      </c>
      <c r="C222" s="15">
        <f>医療機関!C221+陽性者登録センター!C221</f>
        <v>2</v>
      </c>
      <c r="D222" s="15">
        <f>医療機関!D221+陽性者登録センター!D221</f>
        <v>9</v>
      </c>
      <c r="E222" s="15">
        <f>医療機関!E221+陽性者登録センター!E221</f>
        <v>11</v>
      </c>
      <c r="F222" s="15">
        <f>医療機関!F221+陽性者登録センター!F221</f>
        <v>22</v>
      </c>
      <c r="G222" s="15">
        <f>医療機関!G221+陽性者登録センター!G221</f>
        <v>27</v>
      </c>
      <c r="H222" s="15">
        <f>医療機関!H221+陽性者登録センター!H221</f>
        <v>16</v>
      </c>
      <c r="I222" s="15">
        <f>医療機関!I221+陽性者登録センター!I221</f>
        <v>28</v>
      </c>
      <c r="J222" s="15">
        <f>医療機関!J221+陽性者登録センター!J221</f>
        <v>17</v>
      </c>
      <c r="K222" s="15">
        <f>医療機関!K221+陽性者登録センター!K221</f>
        <v>12</v>
      </c>
      <c r="L222" s="15">
        <f>医療機関!L221+陽性者登録センター!L221</f>
        <v>19</v>
      </c>
      <c r="M222" s="15">
        <f>医療機関!M221+陽性者登録センター!M221</f>
        <v>12</v>
      </c>
      <c r="N222" s="15">
        <f>医療機関!N221+陽性者登録センター!N221</f>
        <v>6</v>
      </c>
      <c r="O222" s="15">
        <f>医療機関!O221+陽性者登録センター!O221</f>
        <v>0</v>
      </c>
      <c r="P222" s="15">
        <f>医療機関!P221+陽性者登録センター!P221</f>
        <v>182</v>
      </c>
      <c r="Q222" s="8">
        <f t="shared" si="7"/>
        <v>203438</v>
      </c>
    </row>
    <row r="223" spans="1:17" ht="20" customHeight="1">
      <c r="A223" s="4">
        <v>45050</v>
      </c>
      <c r="B223" s="15">
        <f>医療機関!B222+陽性者登録センター!B222</f>
        <v>0</v>
      </c>
      <c r="C223" s="15">
        <f>医療機関!C222+陽性者登録センター!C222</f>
        <v>0</v>
      </c>
      <c r="D223" s="15">
        <f>医療機関!D222+陽性者登録センター!D222</f>
        <v>1</v>
      </c>
      <c r="E223" s="15">
        <f>医療機関!E222+陽性者登録センター!E222</f>
        <v>2</v>
      </c>
      <c r="F223" s="15">
        <f>医療機関!F222+陽性者登録センター!F222</f>
        <v>5</v>
      </c>
      <c r="G223" s="15">
        <f>医療機関!G222+陽性者登録センター!G222</f>
        <v>4</v>
      </c>
      <c r="H223" s="15">
        <f>医療機関!H222+陽性者登録センター!H222</f>
        <v>5</v>
      </c>
      <c r="I223" s="15">
        <f>医療機関!I222+陽性者登録センター!I222</f>
        <v>9</v>
      </c>
      <c r="J223" s="15">
        <f>医療機関!J222+陽性者登録センター!J222</f>
        <v>3</v>
      </c>
      <c r="K223" s="15">
        <f>医療機関!K222+陽性者登録センター!K222</f>
        <v>1</v>
      </c>
      <c r="L223" s="15">
        <f>医療機関!L222+陽性者登録センター!L222</f>
        <v>2</v>
      </c>
      <c r="M223" s="15">
        <f>医療機関!M222+陽性者登録センター!M222</f>
        <v>1</v>
      </c>
      <c r="N223" s="15">
        <f>医療機関!N222+陽性者登録センター!N222</f>
        <v>3</v>
      </c>
      <c r="O223" s="15">
        <f>医療機関!O222+陽性者登録センター!O222</f>
        <v>0</v>
      </c>
      <c r="P223" s="15">
        <f>医療機関!P222+陽性者登録センター!P222</f>
        <v>36</v>
      </c>
      <c r="Q223" s="8">
        <f t="shared" si="7"/>
        <v>203474</v>
      </c>
    </row>
    <row r="224" spans="1:17" ht="20" customHeight="1">
      <c r="A224" s="4">
        <v>45051</v>
      </c>
      <c r="B224" s="15">
        <f>医療機関!B223+陽性者登録センター!B223</f>
        <v>0</v>
      </c>
      <c r="C224" s="15">
        <f>医療機関!C223+陽性者登録センター!C223</f>
        <v>0</v>
      </c>
      <c r="D224" s="15">
        <f>医療機関!D223+陽性者登録センター!D223</f>
        <v>2</v>
      </c>
      <c r="E224" s="15">
        <f>医療機関!E223+陽性者登録センター!E223</f>
        <v>3</v>
      </c>
      <c r="F224" s="15">
        <f>医療機関!F223+陽性者登録センター!F223</f>
        <v>3</v>
      </c>
      <c r="G224" s="15">
        <f>医療機関!G223+陽性者登録センター!G223</f>
        <v>4</v>
      </c>
      <c r="H224" s="15">
        <f>医療機関!H223+陽性者登録センター!H223</f>
        <v>11</v>
      </c>
      <c r="I224" s="15">
        <f>医療機関!I223+陽性者登録センター!I223</f>
        <v>8</v>
      </c>
      <c r="J224" s="15">
        <f>医療機関!J223+陽性者登録センター!J223</f>
        <v>5</v>
      </c>
      <c r="K224" s="15">
        <f>医療機関!K223+陽性者登録センター!K223</f>
        <v>2</v>
      </c>
      <c r="L224" s="15">
        <f>医療機関!L223+陽性者登録センター!L223</f>
        <v>1</v>
      </c>
      <c r="M224" s="15">
        <f>医療機関!M223+陽性者登録センター!M223</f>
        <v>5</v>
      </c>
      <c r="N224" s="15">
        <f>医療機関!N223+陽性者登録センター!N223</f>
        <v>2</v>
      </c>
      <c r="O224" s="15">
        <f>医療機関!O223+陽性者登録センター!O223</f>
        <v>0</v>
      </c>
      <c r="P224" s="15">
        <f>医療機関!P223+陽性者登録センター!P223</f>
        <v>46</v>
      </c>
      <c r="Q224" s="8">
        <f t="shared" si="7"/>
        <v>203520</v>
      </c>
    </row>
    <row r="225" spans="1:17" ht="20" customHeight="1">
      <c r="A225" s="4">
        <v>45052</v>
      </c>
      <c r="B225" s="15">
        <f>医療機関!B224+陽性者登録センター!B224</f>
        <v>0</v>
      </c>
      <c r="C225" s="15">
        <f>医療機関!C224+陽性者登録センター!C224</f>
        <v>1</v>
      </c>
      <c r="D225" s="15">
        <f>医療機関!D224+陽性者登録センター!D224</f>
        <v>0</v>
      </c>
      <c r="E225" s="15">
        <f>医療機関!E224+陽性者登録センター!E224</f>
        <v>11</v>
      </c>
      <c r="F225" s="15">
        <f>医療機関!F224+陽性者登録センター!F224</f>
        <v>9</v>
      </c>
      <c r="G225" s="15">
        <f>医療機関!G224+陽性者登録センター!G224</f>
        <v>5</v>
      </c>
      <c r="H225" s="15">
        <f>医療機関!H224+陽性者登録センター!H224</f>
        <v>5</v>
      </c>
      <c r="I225" s="15">
        <f>医療機関!I224+陽性者登録センター!I224</f>
        <v>4</v>
      </c>
      <c r="J225" s="15">
        <f>医療機関!J224+陽性者登録センター!J224</f>
        <v>2</v>
      </c>
      <c r="K225" s="15">
        <f>医療機関!K224+陽性者登録センター!K224</f>
        <v>0</v>
      </c>
      <c r="L225" s="15">
        <f>医療機関!L224+陽性者登録センター!L224</f>
        <v>2</v>
      </c>
      <c r="M225" s="15">
        <f>医療機関!M224+陽性者登録センター!M224</f>
        <v>5</v>
      </c>
      <c r="N225" s="15">
        <f>医療機関!N224+陽性者登録センター!N224</f>
        <v>3</v>
      </c>
      <c r="O225" s="15">
        <f>医療機関!O224+陽性者登録センター!O224</f>
        <v>0</v>
      </c>
      <c r="P225" s="15">
        <f>医療機関!P224+陽性者登録センター!P224</f>
        <v>47</v>
      </c>
      <c r="Q225" s="8">
        <f t="shared" si="7"/>
        <v>203567</v>
      </c>
    </row>
    <row r="226" spans="1:17" ht="20" customHeight="1">
      <c r="A226" s="4">
        <v>45053</v>
      </c>
      <c r="B226" s="15">
        <f>医療機関!B225+陽性者登録センター!B225</f>
        <v>1</v>
      </c>
      <c r="C226" s="15">
        <f>医療機関!C225+陽性者登録センター!C225</f>
        <v>3</v>
      </c>
      <c r="D226" s="15">
        <f>医療機関!D225+陽性者登録センター!D225</f>
        <v>1</v>
      </c>
      <c r="E226" s="15">
        <f>医療機関!E225+陽性者登録センター!E225</f>
        <v>13</v>
      </c>
      <c r="F226" s="15">
        <f>医療機関!F225+陽性者登録センター!F225</f>
        <v>20</v>
      </c>
      <c r="G226" s="15">
        <f>医療機関!G225+陽性者登録センター!G225</f>
        <v>14</v>
      </c>
      <c r="H226" s="15">
        <f>医療機関!H225+陽性者登録センター!H225</f>
        <v>20</v>
      </c>
      <c r="I226" s="15">
        <f>医療機関!I225+陽性者登録センター!I225</f>
        <v>21</v>
      </c>
      <c r="J226" s="15">
        <f>医療機関!J225+陽性者登録センター!J225</f>
        <v>13</v>
      </c>
      <c r="K226" s="15">
        <f>医療機関!K225+陽性者登録センター!K225</f>
        <v>6</v>
      </c>
      <c r="L226" s="15">
        <f>医療機関!L225+陽性者登録センター!L225</f>
        <v>16</v>
      </c>
      <c r="M226" s="15">
        <f>医療機関!M225+陽性者登録センター!M225</f>
        <v>11</v>
      </c>
      <c r="N226" s="15">
        <f>医療機関!N225+陽性者登録センター!N225</f>
        <v>8</v>
      </c>
      <c r="O226" s="15">
        <f>医療機関!O225+陽性者登録センター!O225</f>
        <v>0</v>
      </c>
      <c r="P226" s="15">
        <f>医療機関!P225+陽性者登録センター!P225</f>
        <v>147</v>
      </c>
      <c r="Q226" s="8">
        <f t="shared" si="7"/>
        <v>203714</v>
      </c>
    </row>
    <row r="227" spans="1:17" ht="20" customHeight="1">
      <c r="A227" s="4">
        <v>45054</v>
      </c>
      <c r="B227" s="15">
        <f>医療機関!B226+陽性者登録センター!B226</f>
        <v>2</v>
      </c>
      <c r="C227" s="15">
        <f>医療機関!C226+陽性者登録センター!C226</f>
        <v>1</v>
      </c>
      <c r="D227" s="15">
        <f>医療機関!D226+陽性者登録センター!D226</f>
        <v>4</v>
      </c>
      <c r="E227" s="15">
        <f>医療機関!E226+陽性者登録センター!E226</f>
        <v>7</v>
      </c>
      <c r="F227" s="15">
        <f>医療機関!F226+陽性者登録センター!F226</f>
        <v>12</v>
      </c>
      <c r="G227" s="15">
        <f>医療機関!G226+陽性者登録センター!G226</f>
        <v>11</v>
      </c>
      <c r="H227" s="15">
        <f>医療機関!H226+陽性者登録センター!H226</f>
        <v>11</v>
      </c>
      <c r="I227" s="15">
        <f>医療機関!I226+陽性者登録センター!I226</f>
        <v>5</v>
      </c>
      <c r="J227" s="15">
        <f>医療機関!J226+陽性者登録センター!J226</f>
        <v>5</v>
      </c>
      <c r="K227" s="15">
        <f>医療機関!K226+陽性者登録センター!K226</f>
        <v>2</v>
      </c>
      <c r="L227" s="15">
        <f>医療機関!L226+陽性者登録センター!L226</f>
        <v>1</v>
      </c>
      <c r="M227" s="15">
        <f>医療機関!M226+陽性者登録センター!M226</f>
        <v>10</v>
      </c>
      <c r="N227" s="15">
        <f>医療機関!N226+陽性者登録センター!N226</f>
        <v>6</v>
      </c>
      <c r="O227" s="15">
        <f>医療機関!O226+陽性者登録センター!O226</f>
        <v>0</v>
      </c>
      <c r="P227" s="15">
        <f>医療機関!P226+陽性者登録センター!P226</f>
        <v>77</v>
      </c>
      <c r="Q227" s="8">
        <f t="shared" si="7"/>
        <v>203791</v>
      </c>
    </row>
    <row r="228" spans="1:17" ht="20" customHeight="1">
      <c r="A228" s="3" t="s">
        <v>5</v>
      </c>
      <c r="B228" s="8">
        <f t="shared" ref="B228:P228" si="8">SUM(B4:B227)</f>
        <v>737</v>
      </c>
      <c r="C228" s="8">
        <f t="shared" si="8"/>
        <v>4703</v>
      </c>
      <c r="D228" s="8">
        <f t="shared" si="8"/>
        <v>8044</v>
      </c>
      <c r="E228" s="8">
        <f t="shared" si="8"/>
        <v>14501</v>
      </c>
      <c r="F228" s="8">
        <f t="shared" si="8"/>
        <v>9717</v>
      </c>
      <c r="G228" s="8">
        <f t="shared" si="8"/>
        <v>14007</v>
      </c>
      <c r="H228" s="8">
        <f t="shared" si="8"/>
        <v>16175</v>
      </c>
      <c r="I228" s="8">
        <f t="shared" si="8"/>
        <v>11209</v>
      </c>
      <c r="J228" s="8">
        <f t="shared" si="8"/>
        <v>5544</v>
      </c>
      <c r="K228" s="8">
        <f t="shared" si="8"/>
        <v>4361</v>
      </c>
      <c r="L228" s="8">
        <f t="shared" si="8"/>
        <v>6992</v>
      </c>
      <c r="M228" s="8">
        <f t="shared" si="8"/>
        <v>5726</v>
      </c>
      <c r="N228" s="8">
        <f t="shared" si="8"/>
        <v>3403</v>
      </c>
      <c r="O228" s="8">
        <f t="shared" si="8"/>
        <v>0</v>
      </c>
      <c r="P228" s="8">
        <f t="shared" si="8"/>
        <v>105119</v>
      </c>
      <c r="Q228" s="8">
        <f>Q3+P228</f>
        <v>203791</v>
      </c>
    </row>
  </sheetData>
  <phoneticPr fontId="1" type="Hiragana"/>
  <pageMargins left="0.7" right="0.7" top="0.75" bottom="0.75" header="0.3" footer="0.3"/>
  <pageSetup paperSize="9" scale="51" fitToWidth="1" fitToHeight="0" orientation="portrait" usePrinterDefaults="1" r:id="rId1"/>
  <headerFooter>
    <oddFooter>&amp;C-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医療機関</vt:lpstr>
      <vt:lpstr>陽性者登録センター</vt:lpstr>
      <vt:lpstr>合計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2022-07-15T00:11:56Z</dcterms:created>
  <dcterms:modified xsi:type="dcterms:W3CDTF">2023-05-09T00:49:50Z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2023-05-09T00:49:50Z</vt:filetime>
  </property>
</Properties>
</file>