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admin\02koueikigyo\02 業務\01 共通業務\03 各種調査・照会\07 経営総点検調査・抜本的改革取組状況調査\R04年度作業\01 抜本的な改革の取組状況調査\07公開用ファイル\"/>
    </mc:Choice>
  </mc:AlternateContent>
  <xr:revisionPtr revIDLastSave="0" documentId="13_ncr:1_{E746CCEB-97C1-453E-8D29-415CB24EAFCA}" xr6:coauthVersionLast="47" xr6:coauthVersionMax="47" xr10:uidLastSave="{00000000-0000-0000-0000-000000000000}"/>
  <bookViews>
    <workbookView xWindow="135" yWindow="600" windowWidth="28665" windowHeight="15600" firstSheet="12" activeTab="14" xr2:uid="{BC254DD8-AB24-4553-B0E1-D4723D9F9C95}"/>
  </bookViews>
  <sheets>
    <sheet name="hos" sheetId="1" r:id="rId1"/>
    <sheet name="gesui_nousyu" sheetId="2" r:id="rId2"/>
    <sheet name="gesui_tokuhai" sheetId="3" r:id="rId3"/>
    <sheet name="gesui_tokkan" sheetId="4" r:id="rId4"/>
    <sheet name="gesui_koukyo" sheetId="5" r:id="rId5"/>
    <sheet name="kansui" sheetId="6" r:id="rId6"/>
    <sheet name="suido" sheetId="7" r:id="rId7"/>
    <sheet name="kanko" sheetId="8" r:id="rId8"/>
    <sheet name="takuzo" sheetId="9" r:id="rId9"/>
    <sheet name="denki_suiryoku" sheetId="10" r:id="rId10"/>
    <sheet name="denki_taiyo" sheetId="11" r:id="rId11"/>
    <sheet name="kaigo_dei" sheetId="12" r:id="rId12"/>
    <sheet name="kaigo_tanki" sheetId="13" r:id="rId13"/>
    <sheet name="kaigo_hoken" sheetId="14" r:id="rId14"/>
    <sheet name="kaigo_fukusi" sheetId="1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5" i="15" l="1"/>
  <c r="AM352" i="15"/>
  <c r="U352" i="15"/>
  <c r="N352" i="15"/>
  <c r="AM345" i="15"/>
  <c r="U345" i="15"/>
  <c r="N339" i="15"/>
  <c r="BN336" i="15"/>
  <c r="BJ336" i="15"/>
  <c r="BF336" i="15"/>
  <c r="AU335" i="15"/>
  <c r="AM335" i="15"/>
  <c r="BF333" i="15"/>
  <c r="U333" i="15"/>
  <c r="N333" i="15"/>
  <c r="AM322" i="15"/>
  <c r="U322" i="15"/>
  <c r="N322" i="15"/>
  <c r="AM315" i="15"/>
  <c r="U315" i="15"/>
  <c r="AY311" i="15"/>
  <c r="AQ311" i="15"/>
  <c r="AQ309" i="15"/>
  <c r="N309" i="15"/>
  <c r="AY308" i="15"/>
  <c r="AQ307" i="15"/>
  <c r="BN306" i="15"/>
  <c r="BJ306" i="15"/>
  <c r="BF306" i="15"/>
  <c r="AQ305" i="15"/>
  <c r="BF303" i="15"/>
  <c r="AY303" i="15"/>
  <c r="AQ303" i="15"/>
  <c r="U303" i="15"/>
  <c r="N303" i="15"/>
  <c r="AM291" i="15"/>
  <c r="U291" i="15"/>
  <c r="N291" i="15"/>
  <c r="AM284" i="15"/>
  <c r="U284" i="15"/>
  <c r="N278" i="15"/>
  <c r="BN275" i="15"/>
  <c r="BJ275" i="15"/>
  <c r="BF275" i="15"/>
  <c r="BF272" i="15"/>
  <c r="AN272" i="15"/>
  <c r="U272" i="15"/>
  <c r="N272" i="15"/>
  <c r="AM260" i="15"/>
  <c r="U260" i="15"/>
  <c r="N260" i="15"/>
  <c r="AM253" i="15"/>
  <c r="U253" i="15"/>
  <c r="N247" i="15"/>
  <c r="BN244" i="15"/>
  <c r="BJ244" i="15"/>
  <c r="BF244" i="15"/>
  <c r="AU244" i="15"/>
  <c r="AM244" i="15"/>
  <c r="BF241" i="15"/>
  <c r="U241" i="15"/>
  <c r="N241" i="15"/>
  <c r="AM229" i="15"/>
  <c r="U229" i="15"/>
  <c r="N229" i="15"/>
  <c r="AM222" i="15"/>
  <c r="U222" i="15"/>
  <c r="N216" i="15"/>
  <c r="AU213" i="15"/>
  <c r="AQ213" i="15"/>
  <c r="AM213" i="15"/>
  <c r="AM210" i="15"/>
  <c r="U210" i="15"/>
  <c r="N210" i="15"/>
  <c r="AM198" i="15"/>
  <c r="U198" i="15"/>
  <c r="N198" i="15"/>
  <c r="AM191" i="15"/>
  <c r="U191" i="15"/>
  <c r="AK186" i="15"/>
  <c r="AC186" i="15"/>
  <c r="U186" i="15"/>
  <c r="N185" i="15"/>
  <c r="BA180" i="15"/>
  <c r="AS180" i="15"/>
  <c r="AK180" i="15"/>
  <c r="AC180" i="15"/>
  <c r="U180" i="15"/>
  <c r="AC174" i="15"/>
  <c r="U174" i="15"/>
  <c r="BX169" i="15"/>
  <c r="BN169" i="15"/>
  <c r="BJ169" i="15"/>
  <c r="BF169" i="15"/>
  <c r="U168" i="15"/>
  <c r="BF166" i="15"/>
  <c r="AM166" i="15"/>
  <c r="N166" i="15"/>
  <c r="AM154" i="15"/>
  <c r="U154" i="15"/>
  <c r="N154" i="15"/>
  <c r="AM147" i="15"/>
  <c r="U147" i="15"/>
  <c r="AY142" i="15"/>
  <c r="AS142" i="15"/>
  <c r="AM142" i="15"/>
  <c r="U142" i="15"/>
  <c r="N139" i="15"/>
  <c r="U137" i="15"/>
  <c r="BN133" i="15"/>
  <c r="BJ133" i="15"/>
  <c r="BF133" i="15"/>
  <c r="U132" i="15"/>
  <c r="N132" i="15"/>
  <c r="BF130" i="15"/>
  <c r="AM130" i="15"/>
  <c r="AM118" i="15"/>
  <c r="U118" i="15"/>
  <c r="N118" i="15"/>
  <c r="AM111" i="15"/>
  <c r="U111" i="15"/>
  <c r="AC106" i="15"/>
  <c r="U106" i="15"/>
  <c r="N105" i="15"/>
  <c r="BN102" i="15"/>
  <c r="BJ102" i="15"/>
  <c r="BF102" i="15"/>
  <c r="AC101" i="15"/>
  <c r="U101" i="15"/>
  <c r="BF99" i="15"/>
  <c r="AM99" i="15"/>
  <c r="N99" i="15"/>
  <c r="AM87" i="15"/>
  <c r="U87" i="15"/>
  <c r="N87" i="15"/>
  <c r="AM80" i="15"/>
  <c r="U80" i="15"/>
  <c r="N74" i="15"/>
  <c r="BN71" i="15"/>
  <c r="BJ71" i="15"/>
  <c r="BF71" i="15"/>
  <c r="AU71" i="15"/>
  <c r="AM71" i="15"/>
  <c r="BF68" i="15"/>
  <c r="U68" i="15"/>
  <c r="N68" i="15"/>
  <c r="AM57" i="15"/>
  <c r="U57" i="15"/>
  <c r="N57" i="15"/>
  <c r="AM50" i="15"/>
  <c r="U50" i="15"/>
  <c r="AM47" i="15"/>
  <c r="AM46" i="15"/>
  <c r="AM45" i="15"/>
  <c r="AM44" i="15"/>
  <c r="N44" i="15"/>
  <c r="AM43" i="15"/>
  <c r="AM42" i="15"/>
  <c r="BN39" i="15"/>
  <c r="BJ39" i="15"/>
  <c r="BF39" i="15"/>
  <c r="AU38" i="15"/>
  <c r="AM38" i="15"/>
  <c r="BF36" i="15"/>
  <c r="U36" i="15"/>
  <c r="N36" i="15"/>
  <c r="BB24" i="15"/>
  <c r="AT24" i="15"/>
  <c r="AM24" i="15"/>
  <c r="AF24" i="15"/>
  <c r="Y24" i="15"/>
  <c r="R24" i="15"/>
  <c r="K24" i="15"/>
  <c r="D24" i="15"/>
  <c r="BG11" i="15"/>
  <c r="AO11" i="15"/>
  <c r="U11" i="15"/>
  <c r="C11" i="15"/>
  <c r="D365" i="14" l="1"/>
  <c r="AM352" i="14"/>
  <c r="U352" i="14"/>
  <c r="N352" i="14"/>
  <c r="AM345" i="14"/>
  <c r="U345" i="14"/>
  <c r="N339" i="14"/>
  <c r="BN336" i="14"/>
  <c r="BJ336" i="14"/>
  <c r="BF336" i="14"/>
  <c r="AU335" i="14"/>
  <c r="AM335" i="14"/>
  <c r="BF333" i="14"/>
  <c r="U333" i="14"/>
  <c r="N333" i="14"/>
  <c r="AM322" i="14"/>
  <c r="U322" i="14"/>
  <c r="N322" i="14"/>
  <c r="AM315" i="14"/>
  <c r="U315" i="14"/>
  <c r="AY311" i="14"/>
  <c r="AQ311" i="14"/>
  <c r="AQ309" i="14"/>
  <c r="N309" i="14"/>
  <c r="AY308" i="14"/>
  <c r="AQ307" i="14"/>
  <c r="BN306" i="14"/>
  <c r="BJ306" i="14"/>
  <c r="BF306" i="14"/>
  <c r="AQ305" i="14"/>
  <c r="BF303" i="14"/>
  <c r="AY303" i="14"/>
  <c r="AQ303" i="14"/>
  <c r="U303" i="14"/>
  <c r="N303" i="14"/>
  <c r="AM291" i="14"/>
  <c r="U291" i="14"/>
  <c r="N291" i="14"/>
  <c r="AM284" i="14"/>
  <c r="U284" i="14"/>
  <c r="N278" i="14"/>
  <c r="BN275" i="14"/>
  <c r="BJ275" i="14"/>
  <c r="BF275" i="14"/>
  <c r="BF272" i="14"/>
  <c r="AN272" i="14"/>
  <c r="U272" i="14"/>
  <c r="N272" i="14"/>
  <c r="AM260" i="14"/>
  <c r="U260" i="14"/>
  <c r="N260" i="14"/>
  <c r="AM253" i="14"/>
  <c r="U253" i="14"/>
  <c r="N247" i="14"/>
  <c r="BN244" i="14"/>
  <c r="BJ244" i="14"/>
  <c r="BF244" i="14"/>
  <c r="AU244" i="14"/>
  <c r="AM244" i="14"/>
  <c r="BF241" i="14"/>
  <c r="U241" i="14"/>
  <c r="N241" i="14"/>
  <c r="AM229" i="14"/>
  <c r="U229" i="14"/>
  <c r="N229" i="14"/>
  <c r="AM222" i="14"/>
  <c r="U222" i="14"/>
  <c r="N216" i="14"/>
  <c r="AU213" i="14"/>
  <c r="AQ213" i="14"/>
  <c r="AM213" i="14"/>
  <c r="AM210" i="14"/>
  <c r="U210" i="14"/>
  <c r="N210" i="14"/>
  <c r="AM198" i="14"/>
  <c r="U198" i="14"/>
  <c r="N198" i="14"/>
  <c r="AM191" i="14"/>
  <c r="U191" i="14"/>
  <c r="AK186" i="14"/>
  <c r="AC186" i="14"/>
  <c r="U186" i="14"/>
  <c r="N185" i="14"/>
  <c r="BA180" i="14"/>
  <c r="AS180" i="14"/>
  <c r="AK180" i="14"/>
  <c r="AC180" i="14"/>
  <c r="U180" i="14"/>
  <c r="AC174" i="14"/>
  <c r="U174" i="14"/>
  <c r="BX169" i="14"/>
  <c r="BN169" i="14"/>
  <c r="BJ169" i="14"/>
  <c r="BF169" i="14"/>
  <c r="U168" i="14"/>
  <c r="BF166" i="14"/>
  <c r="AM166" i="14"/>
  <c r="N166" i="14"/>
  <c r="AM154" i="14"/>
  <c r="U154" i="14"/>
  <c r="N154" i="14"/>
  <c r="AM147" i="14"/>
  <c r="U147" i="14"/>
  <c r="AY142" i="14"/>
  <c r="AS142" i="14"/>
  <c r="AM142" i="14"/>
  <c r="U142" i="14"/>
  <c r="N139" i="14"/>
  <c r="U137" i="14"/>
  <c r="BN133" i="14"/>
  <c r="BJ133" i="14"/>
  <c r="BF133" i="14"/>
  <c r="U132" i="14"/>
  <c r="N132" i="14"/>
  <c r="BF130" i="14"/>
  <c r="AM130" i="14"/>
  <c r="AM118" i="14"/>
  <c r="U118" i="14"/>
  <c r="N118" i="14"/>
  <c r="AM111" i="14"/>
  <c r="U111" i="14"/>
  <c r="AC106" i="14"/>
  <c r="U106" i="14"/>
  <c r="N105" i="14"/>
  <c r="BN102" i="14"/>
  <c r="BJ102" i="14"/>
  <c r="BF102" i="14"/>
  <c r="AC101" i="14"/>
  <c r="U101" i="14"/>
  <c r="BF99" i="14"/>
  <c r="AM99" i="14"/>
  <c r="N99" i="14"/>
  <c r="AM87" i="14"/>
  <c r="U87" i="14"/>
  <c r="N87" i="14"/>
  <c r="AM80" i="14"/>
  <c r="U80" i="14"/>
  <c r="N74" i="14"/>
  <c r="BN71" i="14"/>
  <c r="BJ71" i="14"/>
  <c r="BF71" i="14"/>
  <c r="AU71" i="14"/>
  <c r="AM71" i="14"/>
  <c r="BF68" i="14"/>
  <c r="U68" i="14"/>
  <c r="N68" i="14"/>
  <c r="AM57" i="14"/>
  <c r="U57" i="14"/>
  <c r="N57" i="14"/>
  <c r="AM50" i="14"/>
  <c r="U50"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365" i="13" l="1"/>
  <c r="AM352" i="13"/>
  <c r="U352" i="13"/>
  <c r="N352" i="13"/>
  <c r="AM345" i="13"/>
  <c r="U345" i="13"/>
  <c r="N339" i="13"/>
  <c r="BN336" i="13"/>
  <c r="BJ336" i="13"/>
  <c r="BF336" i="13"/>
  <c r="AU335" i="13"/>
  <c r="AM335" i="13"/>
  <c r="BF333" i="13"/>
  <c r="U333" i="13"/>
  <c r="N333" i="13"/>
  <c r="AM322" i="13"/>
  <c r="U322" i="13"/>
  <c r="N322" i="13"/>
  <c r="AM315" i="13"/>
  <c r="U315" i="13"/>
  <c r="AY311" i="13"/>
  <c r="AQ311" i="13"/>
  <c r="AQ309" i="13"/>
  <c r="N309" i="13"/>
  <c r="AY308" i="13"/>
  <c r="AQ307" i="13"/>
  <c r="BN306" i="13"/>
  <c r="BJ306" i="13"/>
  <c r="BF306" i="13"/>
  <c r="AQ305" i="13"/>
  <c r="BF303" i="13"/>
  <c r="AY303" i="13"/>
  <c r="AQ303" i="13"/>
  <c r="U303" i="13"/>
  <c r="N303" i="13"/>
  <c r="AM291" i="13"/>
  <c r="U291" i="13"/>
  <c r="N291" i="13"/>
  <c r="AM284" i="13"/>
  <c r="U284" i="13"/>
  <c r="N278" i="13"/>
  <c r="BN275" i="13"/>
  <c r="BJ275" i="13"/>
  <c r="BF275" i="13"/>
  <c r="BF272" i="13"/>
  <c r="AN272" i="13"/>
  <c r="U272" i="13"/>
  <c r="N272" i="13"/>
  <c r="AM260" i="13"/>
  <c r="U260" i="13"/>
  <c r="N260" i="13"/>
  <c r="AM253" i="13"/>
  <c r="U253" i="13"/>
  <c r="N247" i="13"/>
  <c r="BN244" i="13"/>
  <c r="BJ244" i="13"/>
  <c r="BF244" i="13"/>
  <c r="AU244" i="13"/>
  <c r="AM244" i="13"/>
  <c r="BF241" i="13"/>
  <c r="U241" i="13"/>
  <c r="N241" i="13"/>
  <c r="AM229" i="13"/>
  <c r="U229" i="13"/>
  <c r="N229" i="13"/>
  <c r="AM222" i="13"/>
  <c r="U222" i="13"/>
  <c r="N216" i="13"/>
  <c r="AU213" i="13"/>
  <c r="AQ213" i="13"/>
  <c r="AM213" i="13"/>
  <c r="AM210" i="13"/>
  <c r="U210" i="13"/>
  <c r="N210" i="13"/>
  <c r="AM198" i="13"/>
  <c r="U198" i="13"/>
  <c r="N198" i="13"/>
  <c r="AM191" i="13"/>
  <c r="U191" i="13"/>
  <c r="AK186" i="13"/>
  <c r="AC186" i="13"/>
  <c r="U186" i="13"/>
  <c r="N185" i="13"/>
  <c r="BA180" i="13"/>
  <c r="AS180" i="13"/>
  <c r="AK180" i="13"/>
  <c r="AC180" i="13"/>
  <c r="U180" i="13"/>
  <c r="AC174" i="13"/>
  <c r="U174" i="13"/>
  <c r="BX169" i="13"/>
  <c r="BN169" i="13"/>
  <c r="BJ169" i="13"/>
  <c r="BF169" i="13"/>
  <c r="U168" i="13"/>
  <c r="BF166" i="13"/>
  <c r="AM166" i="13"/>
  <c r="N166" i="13"/>
  <c r="AM154" i="13"/>
  <c r="U154" i="13"/>
  <c r="N154" i="13"/>
  <c r="AM147" i="13"/>
  <c r="U147" i="13"/>
  <c r="AY142" i="13"/>
  <c r="AS142" i="13"/>
  <c r="AM142" i="13"/>
  <c r="U142" i="13"/>
  <c r="N139" i="13"/>
  <c r="U137" i="13"/>
  <c r="BN133" i="13"/>
  <c r="BJ133" i="13"/>
  <c r="BF133" i="13"/>
  <c r="U132" i="13"/>
  <c r="N132" i="13"/>
  <c r="BF130" i="13"/>
  <c r="AM130" i="13"/>
  <c r="AM118" i="13"/>
  <c r="U118" i="13"/>
  <c r="N118" i="13"/>
  <c r="AM111" i="13"/>
  <c r="U111" i="13"/>
  <c r="AC106" i="13"/>
  <c r="U106" i="13"/>
  <c r="N105" i="13"/>
  <c r="BN102" i="13"/>
  <c r="BJ102" i="13"/>
  <c r="BF102" i="13"/>
  <c r="AC101" i="13"/>
  <c r="U101" i="13"/>
  <c r="BF99" i="13"/>
  <c r="AM99" i="13"/>
  <c r="N99" i="13"/>
  <c r="AM87" i="13"/>
  <c r="U87" i="13"/>
  <c r="N87" i="13"/>
  <c r="AM80" i="13"/>
  <c r="U80" i="13"/>
  <c r="N74" i="13"/>
  <c r="BN71" i="13"/>
  <c r="BJ71" i="13"/>
  <c r="BF71" i="13"/>
  <c r="AU71" i="13"/>
  <c r="AM71" i="13"/>
  <c r="BF68" i="13"/>
  <c r="U68" i="13"/>
  <c r="N68" i="13"/>
  <c r="AM57" i="13"/>
  <c r="U57" i="13"/>
  <c r="N57" i="13"/>
  <c r="AM50" i="13"/>
  <c r="U50"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365" i="12" l="1"/>
  <c r="AM352" i="12"/>
  <c r="U352" i="12"/>
  <c r="N352" i="12"/>
  <c r="AM345" i="12"/>
  <c r="U345" i="12"/>
  <c r="N339" i="12"/>
  <c r="BN336" i="12"/>
  <c r="BJ336" i="12"/>
  <c r="BF336" i="12"/>
  <c r="AU335" i="12"/>
  <c r="AM335" i="12"/>
  <c r="BF333" i="12"/>
  <c r="U333" i="12"/>
  <c r="N333" i="12"/>
  <c r="AM322" i="12"/>
  <c r="U322" i="12"/>
  <c r="N322" i="12"/>
  <c r="AM315" i="12"/>
  <c r="U315" i="12"/>
  <c r="AY311" i="12"/>
  <c r="AQ311" i="12"/>
  <c r="AQ309" i="12"/>
  <c r="N309" i="12"/>
  <c r="AY308" i="12"/>
  <c r="AQ307" i="12"/>
  <c r="BN306" i="12"/>
  <c r="BJ306" i="12"/>
  <c r="BF306" i="12"/>
  <c r="AQ305" i="12"/>
  <c r="BF303" i="12"/>
  <c r="AY303" i="12"/>
  <c r="AQ303" i="12"/>
  <c r="U303" i="12"/>
  <c r="N303" i="12"/>
  <c r="AM291" i="12"/>
  <c r="U291" i="12"/>
  <c r="N291" i="12"/>
  <c r="AM284" i="12"/>
  <c r="U284" i="12"/>
  <c r="N278" i="12"/>
  <c r="BN275" i="12"/>
  <c r="BJ275" i="12"/>
  <c r="BF275" i="12"/>
  <c r="BF272" i="12"/>
  <c r="AN272" i="12"/>
  <c r="U272" i="12"/>
  <c r="N272" i="12"/>
  <c r="AM260" i="12"/>
  <c r="U260" i="12"/>
  <c r="N260" i="12"/>
  <c r="AM253" i="12"/>
  <c r="U253" i="12"/>
  <c r="N247" i="12"/>
  <c r="BN244" i="12"/>
  <c r="BJ244" i="12"/>
  <c r="BF244" i="12"/>
  <c r="AU244" i="12"/>
  <c r="AM244" i="12"/>
  <c r="BF241" i="12"/>
  <c r="U241" i="12"/>
  <c r="N241" i="12"/>
  <c r="AM229" i="12"/>
  <c r="U229" i="12"/>
  <c r="N229" i="12"/>
  <c r="AM222" i="12"/>
  <c r="U222" i="12"/>
  <c r="N216" i="12"/>
  <c r="AU213" i="12"/>
  <c r="AQ213" i="12"/>
  <c r="AM213" i="12"/>
  <c r="AM210" i="12"/>
  <c r="U210" i="12"/>
  <c r="N210" i="12"/>
  <c r="AM198" i="12"/>
  <c r="U198" i="12"/>
  <c r="N198" i="12"/>
  <c r="AM191" i="12"/>
  <c r="U191" i="12"/>
  <c r="AK186" i="12"/>
  <c r="AC186" i="12"/>
  <c r="U186" i="12"/>
  <c r="N185" i="12"/>
  <c r="BA180" i="12"/>
  <c r="AS180" i="12"/>
  <c r="AK180" i="12"/>
  <c r="AC180" i="12"/>
  <c r="U180" i="12"/>
  <c r="AC174" i="12"/>
  <c r="U174" i="12"/>
  <c r="BX169" i="12"/>
  <c r="BN169" i="12"/>
  <c r="BJ169" i="12"/>
  <c r="BF169" i="12"/>
  <c r="U168" i="12"/>
  <c r="BF166" i="12"/>
  <c r="AM166" i="12"/>
  <c r="N166" i="12"/>
  <c r="AM154" i="12"/>
  <c r="U154" i="12"/>
  <c r="N154" i="12"/>
  <c r="AM147" i="12"/>
  <c r="U147" i="12"/>
  <c r="AY142" i="12"/>
  <c r="AS142" i="12"/>
  <c r="AM142" i="12"/>
  <c r="U142" i="12"/>
  <c r="N139" i="12"/>
  <c r="U137" i="12"/>
  <c r="BN133" i="12"/>
  <c r="BJ133" i="12"/>
  <c r="BF133" i="12"/>
  <c r="U132" i="12"/>
  <c r="N132" i="12"/>
  <c r="BF130" i="12"/>
  <c r="AM130" i="12"/>
  <c r="AM118" i="12"/>
  <c r="U118" i="12"/>
  <c r="N118" i="12"/>
  <c r="AM111" i="12"/>
  <c r="U111" i="12"/>
  <c r="AC106" i="12"/>
  <c r="U106" i="12"/>
  <c r="N105" i="12"/>
  <c r="BN102" i="12"/>
  <c r="BJ102" i="12"/>
  <c r="BF102" i="12"/>
  <c r="AC101" i="12"/>
  <c r="U101" i="12"/>
  <c r="BF99" i="12"/>
  <c r="AM99" i="12"/>
  <c r="N99" i="12"/>
  <c r="AM87" i="12"/>
  <c r="U87" i="12"/>
  <c r="N87" i="12"/>
  <c r="AM80" i="12"/>
  <c r="U80" i="12"/>
  <c r="N74" i="12"/>
  <c r="BN71" i="12"/>
  <c r="BJ71" i="12"/>
  <c r="BF71" i="12"/>
  <c r="AU71" i="12"/>
  <c r="AM71" i="12"/>
  <c r="BF68" i="12"/>
  <c r="U68" i="12"/>
  <c r="N68" i="12"/>
  <c r="AM57" i="12"/>
  <c r="U57" i="12"/>
  <c r="N57" i="12"/>
  <c r="AM50" i="12"/>
  <c r="U50"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365" i="11" l="1"/>
  <c r="AM352" i="11"/>
  <c r="U352" i="11"/>
  <c r="N352" i="11"/>
  <c r="AM345" i="11"/>
  <c r="U345" i="11"/>
  <c r="N339" i="11"/>
  <c r="BN336" i="11"/>
  <c r="BJ336" i="11"/>
  <c r="BF336" i="11"/>
  <c r="AU335" i="11"/>
  <c r="AM335" i="11"/>
  <c r="BF333" i="11"/>
  <c r="U333" i="11"/>
  <c r="N333" i="11"/>
  <c r="AM322" i="11"/>
  <c r="U322" i="11"/>
  <c r="N322" i="11"/>
  <c r="AM315" i="11"/>
  <c r="U315" i="11"/>
  <c r="AY311" i="11"/>
  <c r="AQ311" i="11"/>
  <c r="AQ309" i="11"/>
  <c r="N309" i="11"/>
  <c r="AY308" i="11"/>
  <c r="AQ307" i="11"/>
  <c r="BN306" i="11"/>
  <c r="BJ306" i="11"/>
  <c r="BF306" i="11"/>
  <c r="AQ305" i="11"/>
  <c r="BF303" i="11"/>
  <c r="AY303" i="11"/>
  <c r="AQ303" i="11"/>
  <c r="U303" i="11"/>
  <c r="N303" i="11"/>
  <c r="AM291" i="11"/>
  <c r="U291" i="11"/>
  <c r="N291" i="11"/>
  <c r="AM284" i="11"/>
  <c r="U284" i="11"/>
  <c r="N278" i="11"/>
  <c r="BN275" i="11"/>
  <c r="BJ275" i="11"/>
  <c r="BF275" i="11"/>
  <c r="BF272" i="11"/>
  <c r="AN272" i="11"/>
  <c r="U272" i="11"/>
  <c r="N272" i="11"/>
  <c r="AM260" i="11"/>
  <c r="U260" i="11"/>
  <c r="N260" i="11"/>
  <c r="AM253" i="11"/>
  <c r="U253" i="11"/>
  <c r="N247" i="11"/>
  <c r="BN244" i="11"/>
  <c r="BJ244" i="11"/>
  <c r="BF244" i="11"/>
  <c r="AU244" i="11"/>
  <c r="AM244" i="11"/>
  <c r="BF241" i="11"/>
  <c r="U241" i="11"/>
  <c r="N241" i="11"/>
  <c r="AM229" i="11"/>
  <c r="U229" i="11"/>
  <c r="N229" i="11"/>
  <c r="AM222" i="11"/>
  <c r="U222" i="11"/>
  <c r="N216" i="11"/>
  <c r="AU213" i="11"/>
  <c r="AQ213" i="11"/>
  <c r="AM213" i="11"/>
  <c r="AM210" i="11"/>
  <c r="U210" i="11"/>
  <c r="N210" i="11"/>
  <c r="AM198" i="11"/>
  <c r="U198" i="11"/>
  <c r="N198" i="11"/>
  <c r="AM191" i="11"/>
  <c r="U191" i="11"/>
  <c r="AK186" i="11"/>
  <c r="AC186" i="11"/>
  <c r="U186" i="11"/>
  <c r="N185" i="11"/>
  <c r="BA180" i="11"/>
  <c r="AS180" i="11"/>
  <c r="AK180" i="11"/>
  <c r="AC180" i="11"/>
  <c r="U180" i="11"/>
  <c r="AC174" i="11"/>
  <c r="U174" i="11"/>
  <c r="BX169" i="11"/>
  <c r="BN169" i="11"/>
  <c r="BJ169" i="11"/>
  <c r="BF169" i="11"/>
  <c r="U168" i="11"/>
  <c r="BF166" i="11"/>
  <c r="AM166" i="11"/>
  <c r="N166" i="11"/>
  <c r="AM154" i="11"/>
  <c r="U154" i="11"/>
  <c r="N154" i="11"/>
  <c r="AM147" i="11"/>
  <c r="U147" i="11"/>
  <c r="AY142" i="11"/>
  <c r="AS142" i="11"/>
  <c r="AM142" i="11"/>
  <c r="U142" i="11"/>
  <c r="N139" i="11"/>
  <c r="U137" i="11"/>
  <c r="BN133" i="11"/>
  <c r="BJ133" i="11"/>
  <c r="BF133" i="11"/>
  <c r="U132" i="11"/>
  <c r="N132" i="11"/>
  <c r="BF130" i="11"/>
  <c r="AM130" i="11"/>
  <c r="AM118" i="11"/>
  <c r="U118" i="11"/>
  <c r="N118" i="11"/>
  <c r="AM111" i="11"/>
  <c r="U111" i="11"/>
  <c r="AC106" i="11"/>
  <c r="U106" i="11"/>
  <c r="N105" i="11"/>
  <c r="BN102" i="11"/>
  <c r="BJ102" i="11"/>
  <c r="BF102" i="11"/>
  <c r="AC101" i="11"/>
  <c r="U101" i="11"/>
  <c r="BF99" i="11"/>
  <c r="AM99" i="11"/>
  <c r="N99" i="11"/>
  <c r="AM87" i="11"/>
  <c r="U87" i="11"/>
  <c r="N87" i="11"/>
  <c r="AM80" i="11"/>
  <c r="U80" i="11"/>
  <c r="N74" i="11"/>
  <c r="BN71" i="11"/>
  <c r="BJ71" i="11"/>
  <c r="BF71" i="11"/>
  <c r="AU71" i="11"/>
  <c r="AM71" i="11"/>
  <c r="BF68" i="11"/>
  <c r="U68" i="11"/>
  <c r="N68" i="11"/>
  <c r="AM57" i="11"/>
  <c r="U57" i="11"/>
  <c r="N57" i="11"/>
  <c r="AM50" i="11"/>
  <c r="U50"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365" i="10" l="1"/>
  <c r="AM352" i="10"/>
  <c r="U352" i="10"/>
  <c r="N352" i="10"/>
  <c r="AM345" i="10"/>
  <c r="U345" i="10"/>
  <c r="N339" i="10"/>
  <c r="BN336" i="10"/>
  <c r="BJ336" i="10"/>
  <c r="BF336" i="10"/>
  <c r="AU335" i="10"/>
  <c r="AM335" i="10"/>
  <c r="BF333" i="10"/>
  <c r="U333" i="10"/>
  <c r="N333" i="10"/>
  <c r="AM322" i="10"/>
  <c r="U322" i="10"/>
  <c r="N322" i="10"/>
  <c r="AM315" i="10"/>
  <c r="U315" i="10"/>
  <c r="AY311" i="10"/>
  <c r="AQ311" i="10"/>
  <c r="AQ309" i="10"/>
  <c r="N309" i="10"/>
  <c r="AY308" i="10"/>
  <c r="AQ307" i="10"/>
  <c r="BN306" i="10"/>
  <c r="BJ306" i="10"/>
  <c r="BF306" i="10"/>
  <c r="AQ305" i="10"/>
  <c r="BF303" i="10"/>
  <c r="AY303" i="10"/>
  <c r="AQ303" i="10"/>
  <c r="U303" i="10"/>
  <c r="N303" i="10"/>
  <c r="AM291" i="10"/>
  <c r="U291" i="10"/>
  <c r="N291" i="10"/>
  <c r="AM284" i="10"/>
  <c r="U284" i="10"/>
  <c r="N278" i="10"/>
  <c r="BN275" i="10"/>
  <c r="BJ275" i="10"/>
  <c r="BF275" i="10"/>
  <c r="BF272" i="10"/>
  <c r="AN272" i="10"/>
  <c r="U272" i="10"/>
  <c r="N272" i="10"/>
  <c r="AM260" i="10"/>
  <c r="U260" i="10"/>
  <c r="N260" i="10"/>
  <c r="AM253" i="10"/>
  <c r="U253" i="10"/>
  <c r="N247" i="10"/>
  <c r="BN244" i="10"/>
  <c r="BJ244" i="10"/>
  <c r="BF244" i="10"/>
  <c r="AU244" i="10"/>
  <c r="AM244" i="10"/>
  <c r="BF241" i="10"/>
  <c r="U241" i="10"/>
  <c r="N241" i="10"/>
  <c r="AM229" i="10"/>
  <c r="U229" i="10"/>
  <c r="N229" i="10"/>
  <c r="AM222" i="10"/>
  <c r="U222" i="10"/>
  <c r="N216" i="10"/>
  <c r="AU213" i="10"/>
  <c r="AQ213" i="10"/>
  <c r="AM213" i="10"/>
  <c r="AM210" i="10"/>
  <c r="U210" i="10"/>
  <c r="N210" i="10"/>
  <c r="AM198" i="10"/>
  <c r="U198" i="10"/>
  <c r="N198" i="10"/>
  <c r="AM191" i="10"/>
  <c r="U191" i="10"/>
  <c r="AK186" i="10"/>
  <c r="AC186" i="10"/>
  <c r="U186" i="10"/>
  <c r="N185" i="10"/>
  <c r="BA180" i="10"/>
  <c r="AS180" i="10"/>
  <c r="AK180" i="10"/>
  <c r="AC180" i="10"/>
  <c r="U180" i="10"/>
  <c r="AC174" i="10"/>
  <c r="U174" i="10"/>
  <c r="BX169" i="10"/>
  <c r="BN169" i="10"/>
  <c r="BJ169" i="10"/>
  <c r="BF169" i="10"/>
  <c r="U168" i="10"/>
  <c r="BF166" i="10"/>
  <c r="AM166" i="10"/>
  <c r="N166" i="10"/>
  <c r="AM154" i="10"/>
  <c r="U154" i="10"/>
  <c r="N154" i="10"/>
  <c r="AM147" i="10"/>
  <c r="U147" i="10"/>
  <c r="AY142" i="10"/>
  <c r="AS142" i="10"/>
  <c r="AM142" i="10"/>
  <c r="U142" i="10"/>
  <c r="N139" i="10"/>
  <c r="U137" i="10"/>
  <c r="BN133" i="10"/>
  <c r="BJ133" i="10"/>
  <c r="BF133" i="10"/>
  <c r="U132" i="10"/>
  <c r="N132" i="10"/>
  <c r="BF130" i="10"/>
  <c r="AM130" i="10"/>
  <c r="AM118" i="10"/>
  <c r="U118" i="10"/>
  <c r="N118" i="10"/>
  <c r="AM111" i="10"/>
  <c r="U111" i="10"/>
  <c r="AC106" i="10"/>
  <c r="U106" i="10"/>
  <c r="N105" i="10"/>
  <c r="BN102" i="10"/>
  <c r="BJ102" i="10"/>
  <c r="BF102" i="10"/>
  <c r="AC101" i="10"/>
  <c r="U101" i="10"/>
  <c r="BF99" i="10"/>
  <c r="AM99" i="10"/>
  <c r="N99" i="10"/>
  <c r="AM87" i="10"/>
  <c r="U87" i="10"/>
  <c r="N87" i="10"/>
  <c r="AM80" i="10"/>
  <c r="U80" i="10"/>
  <c r="N74" i="10"/>
  <c r="BN71" i="10"/>
  <c r="BJ71" i="10"/>
  <c r="BF71" i="10"/>
  <c r="AU71" i="10"/>
  <c r="AM71" i="10"/>
  <c r="BF68" i="10"/>
  <c r="U68" i="10"/>
  <c r="N68" i="10"/>
  <c r="AM57" i="10"/>
  <c r="U57" i="10"/>
  <c r="N57" i="10"/>
  <c r="AM50" i="10"/>
  <c r="U50"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365" i="9" l="1"/>
  <c r="AM352" i="9"/>
  <c r="U352" i="9"/>
  <c r="N352" i="9"/>
  <c r="AM345" i="9"/>
  <c r="U345" i="9"/>
  <c r="N339" i="9"/>
  <c r="BN336" i="9"/>
  <c r="BJ336" i="9"/>
  <c r="BF336" i="9"/>
  <c r="AU335" i="9"/>
  <c r="AM335" i="9"/>
  <c r="BF333" i="9"/>
  <c r="U333" i="9"/>
  <c r="N333" i="9"/>
  <c r="AM322" i="9"/>
  <c r="U322" i="9"/>
  <c r="N322" i="9"/>
  <c r="AM315" i="9"/>
  <c r="U315" i="9"/>
  <c r="AY311" i="9"/>
  <c r="AQ311" i="9"/>
  <c r="AQ309" i="9"/>
  <c r="N309" i="9"/>
  <c r="AY308" i="9"/>
  <c r="AQ307" i="9"/>
  <c r="BN306" i="9"/>
  <c r="BJ306" i="9"/>
  <c r="BF306" i="9"/>
  <c r="AQ305" i="9"/>
  <c r="BF303" i="9"/>
  <c r="AY303" i="9"/>
  <c r="AQ303" i="9"/>
  <c r="U303" i="9"/>
  <c r="N303" i="9"/>
  <c r="AM291" i="9"/>
  <c r="U291" i="9"/>
  <c r="N291" i="9"/>
  <c r="AM284" i="9"/>
  <c r="U284" i="9"/>
  <c r="N278" i="9"/>
  <c r="BN275" i="9"/>
  <c r="BJ275" i="9"/>
  <c r="BF275" i="9"/>
  <c r="BF272" i="9"/>
  <c r="AN272" i="9"/>
  <c r="U272" i="9"/>
  <c r="N272" i="9"/>
  <c r="AM260" i="9"/>
  <c r="U260" i="9"/>
  <c r="N260" i="9"/>
  <c r="AM253" i="9"/>
  <c r="U253" i="9"/>
  <c r="N247" i="9"/>
  <c r="BN244" i="9"/>
  <c r="BJ244" i="9"/>
  <c r="BF244" i="9"/>
  <c r="AU244" i="9"/>
  <c r="AM244" i="9"/>
  <c r="BF241" i="9"/>
  <c r="U241" i="9"/>
  <c r="N241" i="9"/>
  <c r="AM229" i="9"/>
  <c r="U229" i="9"/>
  <c r="N229" i="9"/>
  <c r="AM222" i="9"/>
  <c r="U222" i="9"/>
  <c r="N216" i="9"/>
  <c r="AU213" i="9"/>
  <c r="AQ213" i="9"/>
  <c r="AM213" i="9"/>
  <c r="AM210" i="9"/>
  <c r="U210" i="9"/>
  <c r="N210" i="9"/>
  <c r="AM198" i="9"/>
  <c r="U198" i="9"/>
  <c r="N198" i="9"/>
  <c r="AM191" i="9"/>
  <c r="U191" i="9"/>
  <c r="AK186" i="9"/>
  <c r="AC186" i="9"/>
  <c r="U186" i="9"/>
  <c r="N185" i="9"/>
  <c r="BA180" i="9"/>
  <c r="AS180" i="9"/>
  <c r="AK180" i="9"/>
  <c r="AC180" i="9"/>
  <c r="U180" i="9"/>
  <c r="AC174" i="9"/>
  <c r="U174" i="9"/>
  <c r="BX169" i="9"/>
  <c r="BN169" i="9"/>
  <c r="BJ169" i="9"/>
  <c r="BF169" i="9"/>
  <c r="U168" i="9"/>
  <c r="BF166" i="9"/>
  <c r="AM166" i="9"/>
  <c r="N166" i="9"/>
  <c r="AM154" i="9"/>
  <c r="U154" i="9"/>
  <c r="N154" i="9"/>
  <c r="AM147" i="9"/>
  <c r="U147" i="9"/>
  <c r="AY142" i="9"/>
  <c r="AS142" i="9"/>
  <c r="AM142" i="9"/>
  <c r="U142" i="9"/>
  <c r="N139" i="9"/>
  <c r="U137" i="9"/>
  <c r="BN133" i="9"/>
  <c r="BJ133" i="9"/>
  <c r="BF133" i="9"/>
  <c r="U132" i="9"/>
  <c r="N132" i="9"/>
  <c r="BF130" i="9"/>
  <c r="AM130" i="9"/>
  <c r="AM118" i="9"/>
  <c r="U118" i="9"/>
  <c r="N118" i="9"/>
  <c r="AM111" i="9"/>
  <c r="U111" i="9"/>
  <c r="AC106" i="9"/>
  <c r="U106" i="9"/>
  <c r="N105" i="9"/>
  <c r="BN102" i="9"/>
  <c r="BJ102" i="9"/>
  <c r="BF102" i="9"/>
  <c r="AC101" i="9"/>
  <c r="U101" i="9"/>
  <c r="BF99" i="9"/>
  <c r="AM99" i="9"/>
  <c r="N99" i="9"/>
  <c r="AM87" i="9"/>
  <c r="U87" i="9"/>
  <c r="N87" i="9"/>
  <c r="AM80" i="9"/>
  <c r="U80" i="9"/>
  <c r="N74" i="9"/>
  <c r="BN71" i="9"/>
  <c r="BJ71" i="9"/>
  <c r="BF71" i="9"/>
  <c r="AU71" i="9"/>
  <c r="AM71" i="9"/>
  <c r="BF68" i="9"/>
  <c r="U68" i="9"/>
  <c r="N68" i="9"/>
  <c r="AM57" i="9"/>
  <c r="U57" i="9"/>
  <c r="N57" i="9"/>
  <c r="AM50" i="9"/>
  <c r="U50"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365" i="8" l="1"/>
  <c r="AM352" i="8"/>
  <c r="U352" i="8"/>
  <c r="N352" i="8"/>
  <c r="AM345" i="8"/>
  <c r="U345" i="8"/>
  <c r="N339" i="8"/>
  <c r="BN336" i="8"/>
  <c r="BJ336" i="8"/>
  <c r="BF336" i="8"/>
  <c r="AU335" i="8"/>
  <c r="AM335" i="8"/>
  <c r="BF333" i="8"/>
  <c r="U333" i="8"/>
  <c r="N333" i="8"/>
  <c r="AM322" i="8"/>
  <c r="U322" i="8"/>
  <c r="N322" i="8"/>
  <c r="AM315" i="8"/>
  <c r="U315" i="8"/>
  <c r="AY311" i="8"/>
  <c r="AQ311" i="8"/>
  <c r="AQ309" i="8"/>
  <c r="N309" i="8"/>
  <c r="AY308" i="8"/>
  <c r="AQ307" i="8"/>
  <c r="BN306" i="8"/>
  <c r="BJ306" i="8"/>
  <c r="BF306" i="8"/>
  <c r="AQ305" i="8"/>
  <c r="BF303" i="8"/>
  <c r="AY303" i="8"/>
  <c r="AQ303" i="8"/>
  <c r="U303" i="8"/>
  <c r="N303" i="8"/>
  <c r="AM291" i="8"/>
  <c r="U291" i="8"/>
  <c r="N291" i="8"/>
  <c r="AM284" i="8"/>
  <c r="U284" i="8"/>
  <c r="N278" i="8"/>
  <c r="BN275" i="8"/>
  <c r="BJ275" i="8"/>
  <c r="BF275" i="8"/>
  <c r="BF272" i="8"/>
  <c r="AN272" i="8"/>
  <c r="U272" i="8"/>
  <c r="N272" i="8"/>
  <c r="AM260" i="8"/>
  <c r="U260" i="8"/>
  <c r="N260" i="8"/>
  <c r="AM253" i="8"/>
  <c r="U253" i="8"/>
  <c r="N247" i="8"/>
  <c r="BN244" i="8"/>
  <c r="BJ244" i="8"/>
  <c r="BF244" i="8"/>
  <c r="AU244" i="8"/>
  <c r="AM244" i="8"/>
  <c r="BF241" i="8"/>
  <c r="U241" i="8"/>
  <c r="N241" i="8"/>
  <c r="AM229" i="8"/>
  <c r="U229" i="8"/>
  <c r="N229" i="8"/>
  <c r="AM222" i="8"/>
  <c r="U222" i="8"/>
  <c r="N216" i="8"/>
  <c r="AU213" i="8"/>
  <c r="AQ213" i="8"/>
  <c r="AM213" i="8"/>
  <c r="AM210" i="8"/>
  <c r="U210" i="8"/>
  <c r="N210" i="8"/>
  <c r="AM198" i="8"/>
  <c r="U198" i="8"/>
  <c r="N198" i="8"/>
  <c r="AM191" i="8"/>
  <c r="U191" i="8"/>
  <c r="AK186" i="8"/>
  <c r="AC186" i="8"/>
  <c r="U186" i="8"/>
  <c r="N185" i="8"/>
  <c r="BA180" i="8"/>
  <c r="AS180" i="8"/>
  <c r="AK180" i="8"/>
  <c r="AC180" i="8"/>
  <c r="U180" i="8"/>
  <c r="AC174" i="8"/>
  <c r="U174" i="8"/>
  <c r="BX169" i="8"/>
  <c r="BN169" i="8"/>
  <c r="BJ169" i="8"/>
  <c r="BF169" i="8"/>
  <c r="U168" i="8"/>
  <c r="BF166" i="8"/>
  <c r="AM166" i="8"/>
  <c r="N166" i="8"/>
  <c r="AM154" i="8"/>
  <c r="U154" i="8"/>
  <c r="N154" i="8"/>
  <c r="AM147" i="8"/>
  <c r="U147" i="8"/>
  <c r="AY142" i="8"/>
  <c r="AS142" i="8"/>
  <c r="AM142" i="8"/>
  <c r="U142" i="8"/>
  <c r="N139" i="8"/>
  <c r="U137" i="8"/>
  <c r="BN133" i="8"/>
  <c r="BJ133" i="8"/>
  <c r="BF133" i="8"/>
  <c r="U132" i="8"/>
  <c r="N132" i="8"/>
  <c r="BF130" i="8"/>
  <c r="AM130" i="8"/>
  <c r="AM118" i="8"/>
  <c r="U118" i="8"/>
  <c r="N118" i="8"/>
  <c r="AM111" i="8"/>
  <c r="U111" i="8"/>
  <c r="AC106" i="8"/>
  <c r="U106" i="8"/>
  <c r="N105" i="8"/>
  <c r="BN102" i="8"/>
  <c r="BJ102" i="8"/>
  <c r="BF102" i="8"/>
  <c r="AC101" i="8"/>
  <c r="U101" i="8"/>
  <c r="BF99" i="8"/>
  <c r="AM99" i="8"/>
  <c r="N99" i="8"/>
  <c r="AM87" i="8"/>
  <c r="U87" i="8"/>
  <c r="N87" i="8"/>
  <c r="AM80" i="8"/>
  <c r="U80" i="8"/>
  <c r="N74" i="8"/>
  <c r="BN71" i="8"/>
  <c r="BJ71" i="8"/>
  <c r="BF71" i="8"/>
  <c r="AU71" i="8"/>
  <c r="AM71" i="8"/>
  <c r="BF68" i="8"/>
  <c r="U68" i="8"/>
  <c r="N68" i="8"/>
  <c r="AM57" i="8"/>
  <c r="U57" i="8"/>
  <c r="N57" i="8"/>
  <c r="AM50" i="8"/>
  <c r="U50"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365" i="7" l="1"/>
  <c r="AM352" i="7"/>
  <c r="U352" i="7"/>
  <c r="N352" i="7"/>
  <c r="AM345" i="7"/>
  <c r="U345" i="7"/>
  <c r="N339" i="7"/>
  <c r="BN336" i="7"/>
  <c r="BJ336" i="7"/>
  <c r="BF336" i="7"/>
  <c r="AU335" i="7"/>
  <c r="AM335" i="7"/>
  <c r="BF333" i="7"/>
  <c r="U333" i="7"/>
  <c r="N333" i="7"/>
  <c r="AM322" i="7"/>
  <c r="U322" i="7"/>
  <c r="N322" i="7"/>
  <c r="AM315" i="7"/>
  <c r="U315" i="7"/>
  <c r="AY311" i="7"/>
  <c r="AQ311" i="7"/>
  <c r="AQ309" i="7"/>
  <c r="N309" i="7"/>
  <c r="AY308" i="7"/>
  <c r="AQ307" i="7"/>
  <c r="BN306" i="7"/>
  <c r="BJ306" i="7"/>
  <c r="BF306" i="7"/>
  <c r="AQ305" i="7"/>
  <c r="BF303" i="7"/>
  <c r="AY303" i="7"/>
  <c r="AQ303" i="7"/>
  <c r="U303" i="7"/>
  <c r="N303" i="7"/>
  <c r="AM291" i="7"/>
  <c r="U291" i="7"/>
  <c r="N291" i="7"/>
  <c r="AM284" i="7"/>
  <c r="U284" i="7"/>
  <c r="N278" i="7"/>
  <c r="BN275" i="7"/>
  <c r="BJ275" i="7"/>
  <c r="BF275" i="7"/>
  <c r="BF272" i="7"/>
  <c r="AN272" i="7"/>
  <c r="U272" i="7"/>
  <c r="N272" i="7"/>
  <c r="AM260" i="7"/>
  <c r="U260" i="7"/>
  <c r="N260" i="7"/>
  <c r="AM253" i="7"/>
  <c r="U253" i="7"/>
  <c r="N247" i="7"/>
  <c r="BN244" i="7"/>
  <c r="BJ244" i="7"/>
  <c r="BF244" i="7"/>
  <c r="AU244" i="7"/>
  <c r="AM244" i="7"/>
  <c r="BF241" i="7"/>
  <c r="U241" i="7"/>
  <c r="N241" i="7"/>
  <c r="AM229" i="7"/>
  <c r="U229" i="7"/>
  <c r="N229" i="7"/>
  <c r="AM222" i="7"/>
  <c r="U222" i="7"/>
  <c r="N216" i="7"/>
  <c r="AU213" i="7"/>
  <c r="AQ213" i="7"/>
  <c r="AM213" i="7"/>
  <c r="AM210" i="7"/>
  <c r="U210" i="7"/>
  <c r="N210" i="7"/>
  <c r="AM198" i="7"/>
  <c r="U198" i="7"/>
  <c r="N198" i="7"/>
  <c r="AM191" i="7"/>
  <c r="U191" i="7"/>
  <c r="AK186" i="7"/>
  <c r="AC186" i="7"/>
  <c r="U186" i="7"/>
  <c r="N185" i="7"/>
  <c r="BA180" i="7"/>
  <c r="AS180" i="7"/>
  <c r="AK180" i="7"/>
  <c r="AC180" i="7"/>
  <c r="U180" i="7"/>
  <c r="AC174" i="7"/>
  <c r="U174" i="7"/>
  <c r="BX169" i="7"/>
  <c r="BN169" i="7"/>
  <c r="BJ169" i="7"/>
  <c r="BF169" i="7"/>
  <c r="U168" i="7"/>
  <c r="BF166" i="7"/>
  <c r="AM166" i="7"/>
  <c r="N166" i="7"/>
  <c r="AM154" i="7"/>
  <c r="U154" i="7"/>
  <c r="N154" i="7"/>
  <c r="AM147" i="7"/>
  <c r="U147" i="7"/>
  <c r="AY142" i="7"/>
  <c r="AS142" i="7"/>
  <c r="AM142" i="7"/>
  <c r="U142" i="7"/>
  <c r="N139" i="7"/>
  <c r="U137" i="7"/>
  <c r="BN133" i="7"/>
  <c r="BJ133" i="7"/>
  <c r="BF133" i="7"/>
  <c r="U132" i="7"/>
  <c r="N132" i="7"/>
  <c r="BF130" i="7"/>
  <c r="AM130" i="7"/>
  <c r="AM118" i="7"/>
  <c r="U118" i="7"/>
  <c r="N118" i="7"/>
  <c r="AM111" i="7"/>
  <c r="U111" i="7"/>
  <c r="AC106" i="7"/>
  <c r="U106" i="7"/>
  <c r="N105" i="7"/>
  <c r="BN102" i="7"/>
  <c r="BJ102" i="7"/>
  <c r="BF102" i="7"/>
  <c r="AC101" i="7"/>
  <c r="U101" i="7"/>
  <c r="BF99" i="7"/>
  <c r="AM99" i="7"/>
  <c r="N99" i="7"/>
  <c r="AM87" i="7"/>
  <c r="U87" i="7"/>
  <c r="N87" i="7"/>
  <c r="AM80" i="7"/>
  <c r="U80" i="7"/>
  <c r="N74" i="7"/>
  <c r="BN71" i="7"/>
  <c r="BJ71" i="7"/>
  <c r="BF71" i="7"/>
  <c r="AU71" i="7"/>
  <c r="AM71" i="7"/>
  <c r="BF68" i="7"/>
  <c r="U68" i="7"/>
  <c r="N68" i="7"/>
  <c r="AM57" i="7"/>
  <c r="U57" i="7"/>
  <c r="N57" i="7"/>
  <c r="AM50" i="7"/>
  <c r="U50"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365" i="6" l="1"/>
  <c r="AM352" i="6"/>
  <c r="U352" i="6"/>
  <c r="N352" i="6"/>
  <c r="AM345" i="6"/>
  <c r="U345" i="6"/>
  <c r="N339" i="6"/>
  <c r="BN336" i="6"/>
  <c r="BJ336" i="6"/>
  <c r="BF336" i="6"/>
  <c r="AU335" i="6"/>
  <c r="AM335" i="6"/>
  <c r="BF333" i="6"/>
  <c r="U333" i="6"/>
  <c r="N333" i="6"/>
  <c r="AM322" i="6"/>
  <c r="U322" i="6"/>
  <c r="N322" i="6"/>
  <c r="AM315" i="6"/>
  <c r="U315" i="6"/>
  <c r="AY311" i="6"/>
  <c r="AQ311" i="6"/>
  <c r="AQ309" i="6"/>
  <c r="N309" i="6"/>
  <c r="AY308" i="6"/>
  <c r="AQ307" i="6"/>
  <c r="BN306" i="6"/>
  <c r="BJ306" i="6"/>
  <c r="BF306" i="6"/>
  <c r="AQ305" i="6"/>
  <c r="BF303" i="6"/>
  <c r="AY303" i="6"/>
  <c r="AQ303" i="6"/>
  <c r="U303" i="6"/>
  <c r="N303" i="6"/>
  <c r="AM291" i="6"/>
  <c r="U291" i="6"/>
  <c r="N291" i="6"/>
  <c r="AM284" i="6"/>
  <c r="U284" i="6"/>
  <c r="N278" i="6"/>
  <c r="BN275" i="6"/>
  <c r="BJ275" i="6"/>
  <c r="BF275" i="6"/>
  <c r="BF272" i="6"/>
  <c r="AN272" i="6"/>
  <c r="U272" i="6"/>
  <c r="N272" i="6"/>
  <c r="AM260" i="6"/>
  <c r="U260" i="6"/>
  <c r="N260" i="6"/>
  <c r="AM253" i="6"/>
  <c r="U253" i="6"/>
  <c r="N247" i="6"/>
  <c r="BN244" i="6"/>
  <c r="BJ244" i="6"/>
  <c r="BF244" i="6"/>
  <c r="AU244" i="6"/>
  <c r="AM244" i="6"/>
  <c r="BF241" i="6"/>
  <c r="U241" i="6"/>
  <c r="N241" i="6"/>
  <c r="AM229" i="6"/>
  <c r="U229" i="6"/>
  <c r="N229" i="6"/>
  <c r="AM222" i="6"/>
  <c r="U222" i="6"/>
  <c r="N216" i="6"/>
  <c r="AU213" i="6"/>
  <c r="AQ213" i="6"/>
  <c r="AM213" i="6"/>
  <c r="AM210" i="6"/>
  <c r="U210" i="6"/>
  <c r="N210" i="6"/>
  <c r="AM198" i="6"/>
  <c r="U198" i="6"/>
  <c r="N198" i="6"/>
  <c r="AM191" i="6"/>
  <c r="U191" i="6"/>
  <c r="AK186" i="6"/>
  <c r="AC186" i="6"/>
  <c r="U186" i="6"/>
  <c r="N185" i="6"/>
  <c r="BA180" i="6"/>
  <c r="AS180" i="6"/>
  <c r="AK180" i="6"/>
  <c r="AC180" i="6"/>
  <c r="U180" i="6"/>
  <c r="AC174" i="6"/>
  <c r="U174" i="6"/>
  <c r="BX169" i="6"/>
  <c r="BN169" i="6"/>
  <c r="BJ169" i="6"/>
  <c r="BF169" i="6"/>
  <c r="U168" i="6"/>
  <c r="BF166" i="6"/>
  <c r="AM166" i="6"/>
  <c r="N166" i="6"/>
  <c r="AM154" i="6"/>
  <c r="U154" i="6"/>
  <c r="N154" i="6"/>
  <c r="AM147" i="6"/>
  <c r="U147" i="6"/>
  <c r="AY142" i="6"/>
  <c r="AS142" i="6"/>
  <c r="AM142" i="6"/>
  <c r="U142" i="6"/>
  <c r="N139" i="6"/>
  <c r="U137" i="6"/>
  <c r="BN133" i="6"/>
  <c r="BJ133" i="6"/>
  <c r="BF133" i="6"/>
  <c r="U132" i="6"/>
  <c r="N132" i="6"/>
  <c r="BF130" i="6"/>
  <c r="AM130" i="6"/>
  <c r="AM118" i="6"/>
  <c r="U118" i="6"/>
  <c r="N118" i="6"/>
  <c r="AM111" i="6"/>
  <c r="U111" i="6"/>
  <c r="AC106" i="6"/>
  <c r="U106" i="6"/>
  <c r="N105" i="6"/>
  <c r="BN102" i="6"/>
  <c r="BJ102" i="6"/>
  <c r="BF102" i="6"/>
  <c r="AC101" i="6"/>
  <c r="U101" i="6"/>
  <c r="BF99" i="6"/>
  <c r="AM99" i="6"/>
  <c r="N99" i="6"/>
  <c r="AM87" i="6"/>
  <c r="U87" i="6"/>
  <c r="N87" i="6"/>
  <c r="AM80" i="6"/>
  <c r="U80" i="6"/>
  <c r="N74" i="6"/>
  <c r="BN71" i="6"/>
  <c r="BJ71" i="6"/>
  <c r="BF71" i="6"/>
  <c r="AU71" i="6"/>
  <c r="AM71" i="6"/>
  <c r="BF68" i="6"/>
  <c r="U68" i="6"/>
  <c r="N68" i="6"/>
  <c r="AM57" i="6"/>
  <c r="U57" i="6"/>
  <c r="N57" i="6"/>
  <c r="AM50" i="6"/>
  <c r="U50"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365" i="5" l="1"/>
  <c r="AM352" i="5"/>
  <c r="U352" i="5"/>
  <c r="N352" i="5"/>
  <c r="AM345" i="5"/>
  <c r="U345" i="5"/>
  <c r="N339" i="5"/>
  <c r="BN336" i="5"/>
  <c r="BJ336" i="5"/>
  <c r="BF336" i="5"/>
  <c r="AU335" i="5"/>
  <c r="AM335" i="5"/>
  <c r="BF333" i="5"/>
  <c r="U333" i="5"/>
  <c r="N333" i="5"/>
  <c r="AM322" i="5"/>
  <c r="U322" i="5"/>
  <c r="N322" i="5"/>
  <c r="AM315" i="5"/>
  <c r="U315" i="5"/>
  <c r="AY311" i="5"/>
  <c r="AQ311" i="5"/>
  <c r="AQ309" i="5"/>
  <c r="N309" i="5"/>
  <c r="AY308" i="5"/>
  <c r="AQ307" i="5"/>
  <c r="BN306" i="5"/>
  <c r="BJ306" i="5"/>
  <c r="BF306" i="5"/>
  <c r="AQ305" i="5"/>
  <c r="BF303" i="5"/>
  <c r="AY303" i="5"/>
  <c r="AQ303" i="5"/>
  <c r="U303" i="5"/>
  <c r="N303" i="5"/>
  <c r="AM291" i="5"/>
  <c r="U291" i="5"/>
  <c r="N291" i="5"/>
  <c r="AM284" i="5"/>
  <c r="U284" i="5"/>
  <c r="N278" i="5"/>
  <c r="BN275" i="5"/>
  <c r="BJ275" i="5"/>
  <c r="BF275" i="5"/>
  <c r="BF272" i="5"/>
  <c r="AN272" i="5"/>
  <c r="U272" i="5"/>
  <c r="N272" i="5"/>
  <c r="AM260" i="5"/>
  <c r="U260" i="5"/>
  <c r="N260" i="5"/>
  <c r="AM253" i="5"/>
  <c r="U253" i="5"/>
  <c r="N247" i="5"/>
  <c r="BN244" i="5"/>
  <c r="BJ244" i="5"/>
  <c r="BF244" i="5"/>
  <c r="AU244" i="5"/>
  <c r="AM244" i="5"/>
  <c r="BF241" i="5"/>
  <c r="U241" i="5"/>
  <c r="N241" i="5"/>
  <c r="AM229" i="5"/>
  <c r="U229" i="5"/>
  <c r="N229" i="5"/>
  <c r="AM222" i="5"/>
  <c r="U222" i="5"/>
  <c r="N216" i="5"/>
  <c r="AU213" i="5"/>
  <c r="AQ213" i="5"/>
  <c r="AM213" i="5"/>
  <c r="AM210" i="5"/>
  <c r="U210" i="5"/>
  <c r="N210" i="5"/>
  <c r="AM198" i="5"/>
  <c r="U198" i="5"/>
  <c r="N198" i="5"/>
  <c r="AM191" i="5"/>
  <c r="U191" i="5"/>
  <c r="AK186" i="5"/>
  <c r="AC186" i="5"/>
  <c r="U186" i="5"/>
  <c r="N185" i="5"/>
  <c r="BA180" i="5"/>
  <c r="AS180" i="5"/>
  <c r="AK180" i="5"/>
  <c r="AC180" i="5"/>
  <c r="U180" i="5"/>
  <c r="AC174" i="5"/>
  <c r="U174" i="5"/>
  <c r="BX169" i="5"/>
  <c r="BN169" i="5"/>
  <c r="BJ169" i="5"/>
  <c r="BF169" i="5"/>
  <c r="U168" i="5"/>
  <c r="BF166" i="5"/>
  <c r="AM166" i="5"/>
  <c r="N166" i="5"/>
  <c r="AM154" i="5"/>
  <c r="U154" i="5"/>
  <c r="N154" i="5"/>
  <c r="AM147" i="5"/>
  <c r="U147" i="5"/>
  <c r="AY142" i="5"/>
  <c r="AS142" i="5"/>
  <c r="AM142" i="5"/>
  <c r="U142" i="5"/>
  <c r="N139" i="5"/>
  <c r="U137" i="5"/>
  <c r="BN133" i="5"/>
  <c r="BJ133" i="5"/>
  <c r="BF133" i="5"/>
  <c r="U132" i="5"/>
  <c r="N132" i="5"/>
  <c r="BF130" i="5"/>
  <c r="AM130" i="5"/>
  <c r="AM118" i="5"/>
  <c r="U118" i="5"/>
  <c r="N118" i="5"/>
  <c r="AM111" i="5"/>
  <c r="U111" i="5"/>
  <c r="AC106" i="5"/>
  <c r="U106" i="5"/>
  <c r="N105" i="5"/>
  <c r="BN102" i="5"/>
  <c r="BJ102" i="5"/>
  <c r="BF102" i="5"/>
  <c r="AC101" i="5"/>
  <c r="U101" i="5"/>
  <c r="BF99" i="5"/>
  <c r="AM99" i="5"/>
  <c r="N99" i="5"/>
  <c r="AM87" i="5"/>
  <c r="U87" i="5"/>
  <c r="N87" i="5"/>
  <c r="AM80" i="5"/>
  <c r="U80" i="5"/>
  <c r="N74" i="5"/>
  <c r="BN71" i="5"/>
  <c r="BJ71" i="5"/>
  <c r="BF71" i="5"/>
  <c r="AU71" i="5"/>
  <c r="AM71" i="5"/>
  <c r="BF68" i="5"/>
  <c r="U68" i="5"/>
  <c r="N68" i="5"/>
  <c r="AM57" i="5"/>
  <c r="U57" i="5"/>
  <c r="N57" i="5"/>
  <c r="AM50" i="5"/>
  <c r="U50"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365" i="4" l="1"/>
  <c r="AM352" i="4"/>
  <c r="U352" i="4"/>
  <c r="N352" i="4"/>
  <c r="AM345" i="4"/>
  <c r="U345" i="4"/>
  <c r="N339" i="4"/>
  <c r="BN336" i="4"/>
  <c r="BJ336" i="4"/>
  <c r="BF336" i="4"/>
  <c r="AU335" i="4"/>
  <c r="AM335" i="4"/>
  <c r="BF333" i="4"/>
  <c r="U333" i="4"/>
  <c r="N333" i="4"/>
  <c r="AM322" i="4"/>
  <c r="U322" i="4"/>
  <c r="N322" i="4"/>
  <c r="AM315" i="4"/>
  <c r="U315" i="4"/>
  <c r="AY311" i="4"/>
  <c r="AQ311" i="4"/>
  <c r="AQ309" i="4"/>
  <c r="N309" i="4"/>
  <c r="AY308" i="4"/>
  <c r="AQ307" i="4"/>
  <c r="BN306" i="4"/>
  <c r="BJ306" i="4"/>
  <c r="BF306" i="4"/>
  <c r="AQ305" i="4"/>
  <c r="BF303" i="4"/>
  <c r="AY303" i="4"/>
  <c r="AQ303" i="4"/>
  <c r="U303" i="4"/>
  <c r="N303" i="4"/>
  <c r="AM291" i="4"/>
  <c r="U291" i="4"/>
  <c r="N291" i="4"/>
  <c r="AM284" i="4"/>
  <c r="U284" i="4"/>
  <c r="N278" i="4"/>
  <c r="BN275" i="4"/>
  <c r="BJ275" i="4"/>
  <c r="BF275" i="4"/>
  <c r="BF272" i="4"/>
  <c r="AN272" i="4"/>
  <c r="U272" i="4"/>
  <c r="N272" i="4"/>
  <c r="AM260" i="4"/>
  <c r="U260" i="4"/>
  <c r="N260" i="4"/>
  <c r="AM253" i="4"/>
  <c r="U253" i="4"/>
  <c r="N247" i="4"/>
  <c r="BN244" i="4"/>
  <c r="BJ244" i="4"/>
  <c r="BF244" i="4"/>
  <c r="AU244" i="4"/>
  <c r="AM244" i="4"/>
  <c r="BF241" i="4"/>
  <c r="U241" i="4"/>
  <c r="N241" i="4"/>
  <c r="AM229" i="4"/>
  <c r="U229" i="4"/>
  <c r="N229" i="4"/>
  <c r="AM222" i="4"/>
  <c r="U222" i="4"/>
  <c r="N216" i="4"/>
  <c r="AU213" i="4"/>
  <c r="AQ213" i="4"/>
  <c r="AM213" i="4"/>
  <c r="AM210" i="4"/>
  <c r="U210" i="4"/>
  <c r="N210" i="4"/>
  <c r="AM198" i="4"/>
  <c r="U198" i="4"/>
  <c r="N198" i="4"/>
  <c r="AM191" i="4"/>
  <c r="U191" i="4"/>
  <c r="AK186" i="4"/>
  <c r="AC186" i="4"/>
  <c r="U186" i="4"/>
  <c r="N185" i="4"/>
  <c r="BA180" i="4"/>
  <c r="AS180" i="4"/>
  <c r="AK180" i="4"/>
  <c r="AC180" i="4"/>
  <c r="U180" i="4"/>
  <c r="AC174" i="4"/>
  <c r="U174" i="4"/>
  <c r="BX169" i="4"/>
  <c r="BN169" i="4"/>
  <c r="BJ169" i="4"/>
  <c r="BF169" i="4"/>
  <c r="U168" i="4"/>
  <c r="BF166" i="4"/>
  <c r="AM166" i="4"/>
  <c r="N166" i="4"/>
  <c r="AM154" i="4"/>
  <c r="U154" i="4"/>
  <c r="N154" i="4"/>
  <c r="AM147" i="4"/>
  <c r="U147" i="4"/>
  <c r="AY142" i="4"/>
  <c r="AS142" i="4"/>
  <c r="AM142" i="4"/>
  <c r="U142" i="4"/>
  <c r="N139" i="4"/>
  <c r="U137" i="4"/>
  <c r="BN133" i="4"/>
  <c r="BJ133" i="4"/>
  <c r="BF133" i="4"/>
  <c r="U132" i="4"/>
  <c r="N132" i="4"/>
  <c r="BF130" i="4"/>
  <c r="AM130" i="4"/>
  <c r="AM118" i="4"/>
  <c r="U118" i="4"/>
  <c r="N118" i="4"/>
  <c r="AM111" i="4"/>
  <c r="U111" i="4"/>
  <c r="AC106" i="4"/>
  <c r="U106" i="4"/>
  <c r="N105" i="4"/>
  <c r="BN102" i="4"/>
  <c r="BJ102" i="4"/>
  <c r="BF102" i="4"/>
  <c r="AC101" i="4"/>
  <c r="U101" i="4"/>
  <c r="BF99" i="4"/>
  <c r="AM99" i="4"/>
  <c r="N99" i="4"/>
  <c r="AM87" i="4"/>
  <c r="U87" i="4"/>
  <c r="N87" i="4"/>
  <c r="AM80" i="4"/>
  <c r="U80" i="4"/>
  <c r="N74" i="4"/>
  <c r="BN71" i="4"/>
  <c r="BJ71" i="4"/>
  <c r="BF71" i="4"/>
  <c r="AU71" i="4"/>
  <c r="AM71" i="4"/>
  <c r="BF68" i="4"/>
  <c r="U68" i="4"/>
  <c r="N68" i="4"/>
  <c r="AM57" i="4"/>
  <c r="U57" i="4"/>
  <c r="N57" i="4"/>
  <c r="AM50" i="4"/>
  <c r="U50"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365" i="3" l="1"/>
  <c r="AM352" i="3"/>
  <c r="U352" i="3"/>
  <c r="N352" i="3"/>
  <c r="AM345" i="3"/>
  <c r="U345" i="3"/>
  <c r="N339" i="3"/>
  <c r="BN336" i="3"/>
  <c r="BJ336" i="3"/>
  <c r="BF336" i="3"/>
  <c r="AU335" i="3"/>
  <c r="AM335" i="3"/>
  <c r="BF333" i="3"/>
  <c r="U333" i="3"/>
  <c r="N333" i="3"/>
  <c r="AM322" i="3"/>
  <c r="U322" i="3"/>
  <c r="N322" i="3"/>
  <c r="AM315" i="3"/>
  <c r="U315" i="3"/>
  <c r="AY311" i="3"/>
  <c r="AQ311" i="3"/>
  <c r="AQ309" i="3"/>
  <c r="N309" i="3"/>
  <c r="AY308" i="3"/>
  <c r="AQ307" i="3"/>
  <c r="BN306" i="3"/>
  <c r="BJ306" i="3"/>
  <c r="BF306" i="3"/>
  <c r="AQ305" i="3"/>
  <c r="BF303" i="3"/>
  <c r="AY303" i="3"/>
  <c r="AQ303" i="3"/>
  <c r="U303" i="3"/>
  <c r="N303" i="3"/>
  <c r="AM291" i="3"/>
  <c r="U291" i="3"/>
  <c r="N291" i="3"/>
  <c r="AM284" i="3"/>
  <c r="U284" i="3"/>
  <c r="N278" i="3"/>
  <c r="BN275" i="3"/>
  <c r="BJ275" i="3"/>
  <c r="BF275" i="3"/>
  <c r="BF272" i="3"/>
  <c r="AN272" i="3"/>
  <c r="U272" i="3"/>
  <c r="N272" i="3"/>
  <c r="AM260" i="3"/>
  <c r="U260" i="3"/>
  <c r="N260" i="3"/>
  <c r="AM253" i="3"/>
  <c r="U253" i="3"/>
  <c r="N247" i="3"/>
  <c r="BN244" i="3"/>
  <c r="BJ244" i="3"/>
  <c r="BF244" i="3"/>
  <c r="AU244" i="3"/>
  <c r="AM244" i="3"/>
  <c r="BF241" i="3"/>
  <c r="U241" i="3"/>
  <c r="N241" i="3"/>
  <c r="AM229" i="3"/>
  <c r="U229" i="3"/>
  <c r="N229" i="3"/>
  <c r="AM222" i="3"/>
  <c r="U222" i="3"/>
  <c r="N216" i="3"/>
  <c r="AU213" i="3"/>
  <c r="AQ213" i="3"/>
  <c r="AM213" i="3"/>
  <c r="AM210" i="3"/>
  <c r="U210" i="3"/>
  <c r="N210" i="3"/>
  <c r="AM198" i="3"/>
  <c r="U198" i="3"/>
  <c r="N198" i="3"/>
  <c r="AM191" i="3"/>
  <c r="U191" i="3"/>
  <c r="AK186" i="3"/>
  <c r="AC186" i="3"/>
  <c r="U186" i="3"/>
  <c r="N185" i="3"/>
  <c r="BA180" i="3"/>
  <c r="AS180" i="3"/>
  <c r="AK180" i="3"/>
  <c r="AC180" i="3"/>
  <c r="U180" i="3"/>
  <c r="AC174" i="3"/>
  <c r="U174" i="3"/>
  <c r="BX169" i="3"/>
  <c r="BN169" i="3"/>
  <c r="BJ169" i="3"/>
  <c r="BF169" i="3"/>
  <c r="U168" i="3"/>
  <c r="BF166" i="3"/>
  <c r="AM166" i="3"/>
  <c r="N166" i="3"/>
  <c r="AM154" i="3"/>
  <c r="U154" i="3"/>
  <c r="N154" i="3"/>
  <c r="AM147" i="3"/>
  <c r="U147" i="3"/>
  <c r="AY142" i="3"/>
  <c r="AS142" i="3"/>
  <c r="AM142" i="3"/>
  <c r="U142" i="3"/>
  <c r="N139" i="3"/>
  <c r="U137" i="3"/>
  <c r="BN133" i="3"/>
  <c r="BJ133" i="3"/>
  <c r="BF133" i="3"/>
  <c r="U132" i="3"/>
  <c r="N132" i="3"/>
  <c r="BF130" i="3"/>
  <c r="AM130" i="3"/>
  <c r="AM118" i="3"/>
  <c r="U118" i="3"/>
  <c r="N118" i="3"/>
  <c r="AM111" i="3"/>
  <c r="U111" i="3"/>
  <c r="AC106" i="3"/>
  <c r="U106" i="3"/>
  <c r="N105" i="3"/>
  <c r="BN102" i="3"/>
  <c r="BJ102" i="3"/>
  <c r="BF102" i="3"/>
  <c r="AC101" i="3"/>
  <c r="U101" i="3"/>
  <c r="BF99" i="3"/>
  <c r="AM99" i="3"/>
  <c r="N99" i="3"/>
  <c r="AM87" i="3"/>
  <c r="U87" i="3"/>
  <c r="N87" i="3"/>
  <c r="AM80" i="3"/>
  <c r="U80" i="3"/>
  <c r="N74" i="3"/>
  <c r="BN71" i="3"/>
  <c r="BJ71" i="3"/>
  <c r="BF71" i="3"/>
  <c r="AU71" i="3"/>
  <c r="AM71" i="3"/>
  <c r="BF68" i="3"/>
  <c r="U68" i="3"/>
  <c r="N68" i="3"/>
  <c r="AM57" i="3"/>
  <c r="U57" i="3"/>
  <c r="N57" i="3"/>
  <c r="AM50" i="3"/>
  <c r="U50"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365" i="2" l="1"/>
  <c r="AM352" i="2"/>
  <c r="U352" i="2"/>
  <c r="N352" i="2"/>
  <c r="AM345" i="2"/>
  <c r="U345" i="2"/>
  <c r="N339" i="2"/>
  <c r="BN336" i="2"/>
  <c r="BJ336" i="2"/>
  <c r="BF336" i="2"/>
  <c r="AU335" i="2"/>
  <c r="AM335" i="2"/>
  <c r="BF333" i="2"/>
  <c r="U333" i="2"/>
  <c r="N333" i="2"/>
  <c r="AM322" i="2"/>
  <c r="U322" i="2"/>
  <c r="N322" i="2"/>
  <c r="AM315" i="2"/>
  <c r="U315" i="2"/>
  <c r="AY311" i="2"/>
  <c r="AQ311" i="2"/>
  <c r="AQ309" i="2"/>
  <c r="N309" i="2"/>
  <c r="AY308" i="2"/>
  <c r="AQ307" i="2"/>
  <c r="BN306" i="2"/>
  <c r="BJ306" i="2"/>
  <c r="BF306" i="2"/>
  <c r="AQ305" i="2"/>
  <c r="BF303" i="2"/>
  <c r="AY303" i="2"/>
  <c r="AQ303" i="2"/>
  <c r="U303" i="2"/>
  <c r="N303" i="2"/>
  <c r="AM291" i="2"/>
  <c r="U291" i="2"/>
  <c r="N291" i="2"/>
  <c r="AM284" i="2"/>
  <c r="U284" i="2"/>
  <c r="N278" i="2"/>
  <c r="BN275" i="2"/>
  <c r="BJ275" i="2"/>
  <c r="BF275" i="2"/>
  <c r="BF272" i="2"/>
  <c r="AN272" i="2"/>
  <c r="U272" i="2"/>
  <c r="N272" i="2"/>
  <c r="AM260" i="2"/>
  <c r="U260" i="2"/>
  <c r="N260" i="2"/>
  <c r="AM253" i="2"/>
  <c r="U253" i="2"/>
  <c r="N247" i="2"/>
  <c r="BN244" i="2"/>
  <c r="BJ244" i="2"/>
  <c r="BF244" i="2"/>
  <c r="AU244" i="2"/>
  <c r="AM244" i="2"/>
  <c r="BF241" i="2"/>
  <c r="U241" i="2"/>
  <c r="N241" i="2"/>
  <c r="AM229" i="2"/>
  <c r="U229" i="2"/>
  <c r="N229" i="2"/>
  <c r="AM222" i="2"/>
  <c r="U222" i="2"/>
  <c r="N216" i="2"/>
  <c r="AU213" i="2"/>
  <c r="AQ213" i="2"/>
  <c r="AM213" i="2"/>
  <c r="AM210" i="2"/>
  <c r="U210" i="2"/>
  <c r="N210" i="2"/>
  <c r="AM198" i="2"/>
  <c r="U198" i="2"/>
  <c r="N198" i="2"/>
  <c r="AM191" i="2"/>
  <c r="U191" i="2"/>
  <c r="AK186" i="2"/>
  <c r="AC186" i="2"/>
  <c r="U186" i="2"/>
  <c r="N185" i="2"/>
  <c r="BA180" i="2"/>
  <c r="AS180" i="2"/>
  <c r="AK180" i="2"/>
  <c r="AC180" i="2"/>
  <c r="U180" i="2"/>
  <c r="AC174" i="2"/>
  <c r="U174" i="2"/>
  <c r="BX169" i="2"/>
  <c r="BN169" i="2"/>
  <c r="BJ169" i="2"/>
  <c r="BF169" i="2"/>
  <c r="U168" i="2"/>
  <c r="BF166" i="2"/>
  <c r="AM166" i="2"/>
  <c r="N166" i="2"/>
  <c r="AM154" i="2"/>
  <c r="U154" i="2"/>
  <c r="N154" i="2"/>
  <c r="AM147" i="2"/>
  <c r="U147" i="2"/>
  <c r="AY142" i="2"/>
  <c r="AS142" i="2"/>
  <c r="AM142" i="2"/>
  <c r="U142" i="2"/>
  <c r="N139" i="2"/>
  <c r="U137" i="2"/>
  <c r="BN133" i="2"/>
  <c r="BJ133" i="2"/>
  <c r="BF133" i="2"/>
  <c r="U132" i="2"/>
  <c r="N132" i="2"/>
  <c r="BF130" i="2"/>
  <c r="AM130" i="2"/>
  <c r="AM118" i="2"/>
  <c r="U118" i="2"/>
  <c r="N118" i="2"/>
  <c r="AM111" i="2"/>
  <c r="U111" i="2"/>
  <c r="AC106" i="2"/>
  <c r="U106" i="2"/>
  <c r="N105" i="2"/>
  <c r="BN102" i="2"/>
  <c r="BJ102" i="2"/>
  <c r="BF102" i="2"/>
  <c r="AC101" i="2"/>
  <c r="U101" i="2"/>
  <c r="BF99" i="2"/>
  <c r="AM99" i="2"/>
  <c r="N99" i="2"/>
  <c r="AM87" i="2"/>
  <c r="U87" i="2"/>
  <c r="N87" i="2"/>
  <c r="AM80" i="2"/>
  <c r="U80" i="2"/>
  <c r="N74" i="2"/>
  <c r="BN71" i="2"/>
  <c r="BJ71" i="2"/>
  <c r="BF71" i="2"/>
  <c r="AU71" i="2"/>
  <c r="AM71" i="2"/>
  <c r="BF68" i="2"/>
  <c r="U68" i="2"/>
  <c r="N68" i="2"/>
  <c r="AM57" i="2"/>
  <c r="U57" i="2"/>
  <c r="N57" i="2"/>
  <c r="AM50" i="2"/>
  <c r="U50"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365" i="1" l="1"/>
  <c r="AM352" i="1"/>
  <c r="U352" i="1"/>
  <c r="N352" i="1"/>
  <c r="AM345" i="1"/>
  <c r="U345" i="1"/>
  <c r="N339" i="1"/>
  <c r="BN336" i="1"/>
  <c r="BJ336" i="1"/>
  <c r="BF336" i="1"/>
  <c r="AU335" i="1"/>
  <c r="AM335" i="1"/>
  <c r="BF333" i="1"/>
  <c r="U333" i="1"/>
  <c r="N333" i="1"/>
  <c r="AM322" i="1"/>
  <c r="U322" i="1"/>
  <c r="N322" i="1"/>
  <c r="AM315" i="1"/>
  <c r="U315" i="1"/>
  <c r="AY311" i="1"/>
  <c r="AQ311" i="1"/>
  <c r="AQ309" i="1"/>
  <c r="N309" i="1"/>
  <c r="AY308" i="1"/>
  <c r="AQ307" i="1"/>
  <c r="BN306" i="1"/>
  <c r="BJ306" i="1"/>
  <c r="BF306" i="1"/>
  <c r="AQ305" i="1"/>
  <c r="BF303" i="1"/>
  <c r="AY303" i="1"/>
  <c r="AQ303" i="1"/>
  <c r="U303" i="1"/>
  <c r="N303" i="1"/>
  <c r="AM291" i="1"/>
  <c r="U291" i="1"/>
  <c r="N291" i="1"/>
  <c r="AM284" i="1"/>
  <c r="U284" i="1"/>
  <c r="N278" i="1"/>
  <c r="BN275" i="1"/>
  <c r="BJ275" i="1"/>
  <c r="BF275" i="1"/>
  <c r="BF272" i="1"/>
  <c r="AN272" i="1"/>
  <c r="U272" i="1"/>
  <c r="N272" i="1"/>
  <c r="AM260" i="1"/>
  <c r="U260" i="1"/>
  <c r="N260" i="1"/>
  <c r="AM253" i="1"/>
  <c r="U253" i="1"/>
  <c r="N247" i="1"/>
  <c r="BN244" i="1"/>
  <c r="BJ244" i="1"/>
  <c r="BF244" i="1"/>
  <c r="AU244" i="1"/>
  <c r="AM244" i="1"/>
  <c r="BF241" i="1"/>
  <c r="U241" i="1"/>
  <c r="N241" i="1"/>
  <c r="AM229" i="1"/>
  <c r="U229" i="1"/>
  <c r="N229" i="1"/>
  <c r="AM222" i="1"/>
  <c r="U222" i="1"/>
  <c r="N216" i="1"/>
  <c r="AU213" i="1"/>
  <c r="AQ213" i="1"/>
  <c r="AM213" i="1"/>
  <c r="AM210" i="1"/>
  <c r="U210" i="1"/>
  <c r="N210" i="1"/>
  <c r="AM198" i="1"/>
  <c r="U198" i="1"/>
  <c r="N198" i="1"/>
  <c r="AM191" i="1"/>
  <c r="U191" i="1"/>
  <c r="AK186" i="1"/>
  <c r="AC186" i="1"/>
  <c r="U186" i="1"/>
  <c r="N185" i="1"/>
  <c r="BA180" i="1"/>
  <c r="AS180" i="1"/>
  <c r="AK180" i="1"/>
  <c r="AC180" i="1"/>
  <c r="U180" i="1"/>
  <c r="AC174" i="1"/>
  <c r="U174" i="1"/>
  <c r="BX169" i="1"/>
  <c r="BN169" i="1"/>
  <c r="BJ169" i="1"/>
  <c r="BF169" i="1"/>
  <c r="U168" i="1"/>
  <c r="BF166" i="1"/>
  <c r="AM166" i="1"/>
  <c r="N166" i="1"/>
  <c r="AM154" i="1"/>
  <c r="U154" i="1"/>
  <c r="N154" i="1"/>
  <c r="AM147" i="1"/>
  <c r="U147" i="1"/>
  <c r="AY142" i="1"/>
  <c r="AS142" i="1"/>
  <c r="AM142" i="1"/>
  <c r="U142" i="1"/>
  <c r="N139" i="1"/>
  <c r="U137" i="1"/>
  <c r="BN133" i="1"/>
  <c r="BJ133" i="1"/>
  <c r="BF133" i="1"/>
  <c r="U132" i="1"/>
  <c r="N132" i="1"/>
  <c r="BF130" i="1"/>
  <c r="AM130" i="1"/>
  <c r="AM118" i="1"/>
  <c r="U118" i="1"/>
  <c r="N118" i="1"/>
  <c r="AM111" i="1"/>
  <c r="U111" i="1"/>
  <c r="AC106" i="1"/>
  <c r="U106" i="1"/>
  <c r="N105" i="1"/>
  <c r="BN102" i="1"/>
  <c r="BJ102" i="1"/>
  <c r="BF102" i="1"/>
  <c r="AC101" i="1"/>
  <c r="U101" i="1"/>
  <c r="BF99" i="1"/>
  <c r="AM99" i="1"/>
  <c r="N99" i="1"/>
  <c r="AM87" i="1"/>
  <c r="U87" i="1"/>
  <c r="N87" i="1"/>
  <c r="AM80" i="1"/>
  <c r="U80" i="1"/>
  <c r="N74" i="1"/>
  <c r="BN71" i="1"/>
  <c r="BJ71" i="1"/>
  <c r="BF71" i="1"/>
  <c r="AU71" i="1"/>
  <c r="AM71" i="1"/>
  <c r="BF68" i="1"/>
  <c r="U68" i="1"/>
  <c r="N68" i="1"/>
  <c r="AM57" i="1"/>
  <c r="U57" i="1"/>
  <c r="N57" i="1"/>
  <c r="AM50" i="1"/>
  <c r="U50"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<sst xmlns="http://schemas.openxmlformats.org/spreadsheetml/2006/main" count="3255" uniqueCount="86">
  <si>
    <t>団体名</t>
    <rPh sb="0" eb="3">
      <t>ダンタイメイ</t>
    </rPh>
    <phoneticPr fontId="8"/>
  </si>
  <si>
    <t>業種名</t>
    <rPh sb="0" eb="2">
      <t>ギョウシュ</t>
    </rPh>
    <rPh sb="2" eb="3">
      <t>メイ</t>
    </rPh>
    <phoneticPr fontId="8"/>
  </si>
  <si>
    <t>事業名</t>
    <rPh sb="0" eb="2">
      <t>ジギョウ</t>
    </rPh>
    <rPh sb="2" eb="3">
      <t>メイ</t>
    </rPh>
    <phoneticPr fontId="8"/>
  </si>
  <si>
    <t>施設名</t>
    <rPh sb="0" eb="2">
      <t>シセツ</t>
    </rPh>
    <rPh sb="2" eb="3">
      <t>メイ</t>
    </rPh>
    <phoneticPr fontId="8"/>
  </si>
  <si>
    <t>抜本的な改革の取組</t>
    <phoneticPr fontId="8"/>
  </si>
  <si>
    <t>事業廃止</t>
    <rPh sb="0" eb="2">
      <t>ジギョウ</t>
    </rPh>
    <rPh sb="2" eb="4">
      <t>ハイシ</t>
    </rPh>
    <phoneticPr fontId="8"/>
  </si>
  <si>
    <t>民営化・
民間譲渡</t>
    <rPh sb="0" eb="3">
      <t>ミンエイカ</t>
    </rPh>
    <rPh sb="5" eb="7">
      <t>ミンカン</t>
    </rPh>
    <rPh sb="7" eb="9">
      <t>ジョウト</t>
    </rPh>
    <phoneticPr fontId="8"/>
  </si>
  <si>
    <t>広域化等</t>
    <rPh sb="0" eb="3">
      <t>コウイキカ</t>
    </rPh>
    <rPh sb="3" eb="4">
      <t>トウ</t>
    </rPh>
    <phoneticPr fontId="8"/>
  </si>
  <si>
    <t>民間活用</t>
    <rPh sb="0" eb="2">
      <t>ミンカン</t>
    </rPh>
    <rPh sb="2" eb="4">
      <t>カツヨウ</t>
    </rPh>
    <phoneticPr fontId="8"/>
  </si>
  <si>
    <t>現行の経営
体制を継続</t>
    <rPh sb="0" eb="2">
      <t>ゲンコウ</t>
    </rPh>
    <rPh sb="3" eb="5">
      <t>ケイエイ</t>
    </rPh>
    <rPh sb="6" eb="8">
      <t>タイセイ</t>
    </rPh>
    <rPh sb="9" eb="11">
      <t>ケイゾク</t>
    </rPh>
    <phoneticPr fontId="8"/>
  </si>
  <si>
    <t>指定管理者
制度</t>
    <rPh sb="0" eb="2">
      <t>シテイ</t>
    </rPh>
    <rPh sb="2" eb="5">
      <t>カンリシャ</t>
    </rPh>
    <rPh sb="6" eb="8">
      <t>セイド</t>
    </rPh>
    <phoneticPr fontId="8"/>
  </si>
  <si>
    <t>包括的
民間委託</t>
    <rPh sb="0" eb="3">
      <t>ホウカツテキ</t>
    </rPh>
    <rPh sb="4" eb="6">
      <t>ミンカン</t>
    </rPh>
    <rPh sb="6" eb="8">
      <t>イタク</t>
    </rPh>
    <phoneticPr fontId="8"/>
  </si>
  <si>
    <t>PPP/PFI方式
の活用</t>
    <rPh sb="7" eb="9">
      <t>ホウシキ</t>
    </rPh>
    <rPh sb="11" eb="13">
      <t>カツヨウ</t>
    </rPh>
    <phoneticPr fontId="8"/>
  </si>
  <si>
    <t>地方独立行政法人への移行</t>
    <rPh sb="0" eb="2">
      <t>チホウ</t>
    </rPh>
    <rPh sb="2" eb="4">
      <t>ドクリツ</t>
    </rPh>
    <rPh sb="4" eb="6">
      <t>ギョウセイ</t>
    </rPh>
    <rPh sb="6" eb="8">
      <t>ホウジン</t>
    </rPh>
    <rPh sb="10" eb="12">
      <t>イコウ</t>
    </rPh>
    <phoneticPr fontId="8"/>
  </si>
  <si>
    <t>取組事項</t>
    <rPh sb="0" eb="2">
      <t>トリクミ</t>
    </rPh>
    <rPh sb="2" eb="4">
      <t>ジコウ</t>
    </rPh>
    <phoneticPr fontId="8"/>
  </si>
  <si>
    <t>（取組の概要）</t>
    <rPh sb="1" eb="2">
      <t>ト</t>
    </rPh>
    <rPh sb="2" eb="3">
      <t>ク</t>
    </rPh>
    <rPh sb="4" eb="6">
      <t>ガイヨウ</t>
    </rPh>
    <phoneticPr fontId="8"/>
  </si>
  <si>
    <t>（全部と一部の別）</t>
    <rPh sb="1" eb="3">
      <t>ゼンブ</t>
    </rPh>
    <rPh sb="4" eb="6">
      <t>イチブ</t>
    </rPh>
    <rPh sb="7" eb="8">
      <t>ベツ</t>
    </rPh>
    <phoneticPr fontId="8"/>
  </si>
  <si>
    <t>（実施（予定）時期）</t>
    <rPh sb="1" eb="3">
      <t>ジッシ</t>
    </rPh>
    <rPh sb="4" eb="6">
      <t>ヨテイ</t>
    </rPh>
    <rPh sb="7" eb="9">
      <t>ジキ</t>
    </rPh>
    <phoneticPr fontId="8"/>
  </si>
  <si>
    <t>実施済</t>
    <rPh sb="0" eb="2">
      <t>ジッシ</t>
    </rPh>
    <rPh sb="2" eb="3">
      <t>ズ</t>
    </rPh>
    <phoneticPr fontId="8"/>
  </si>
  <si>
    <t>全部廃止</t>
    <rPh sb="0" eb="2">
      <t>ゼンブ</t>
    </rPh>
    <rPh sb="2" eb="4">
      <t>ハイシ</t>
    </rPh>
    <phoneticPr fontId="8"/>
  </si>
  <si>
    <t>一部廃止</t>
    <rPh sb="0" eb="2">
      <t>イチブ</t>
    </rPh>
    <rPh sb="2" eb="4">
      <t>ハイシ</t>
    </rPh>
    <phoneticPr fontId="8"/>
  </si>
  <si>
    <t>①診療所化・介護施設化</t>
    <rPh sb="1" eb="4">
      <t>シンリョウジョ</t>
    </rPh>
    <rPh sb="4" eb="5">
      <t>カ</t>
    </rPh>
    <rPh sb="6" eb="8">
      <t>カイゴ</t>
    </rPh>
    <rPh sb="8" eb="10">
      <t>シセツ</t>
    </rPh>
    <rPh sb="10" eb="11">
      <t>カ</t>
    </rPh>
    <phoneticPr fontId="8"/>
  </si>
  <si>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8"/>
  </si>
  <si>
    <t>年</t>
    <rPh sb="0" eb="1">
      <t>ネン</t>
    </rPh>
    <phoneticPr fontId="8"/>
  </si>
  <si>
    <t>月</t>
    <rPh sb="0" eb="1">
      <t>ガツ</t>
    </rPh>
    <phoneticPr fontId="8"/>
  </si>
  <si>
    <t>日</t>
    <rPh sb="0" eb="1">
      <t>ニチ</t>
    </rPh>
    <phoneticPr fontId="8"/>
  </si>
  <si>
    <t>実施予定</t>
    <rPh sb="0" eb="2">
      <t>ジッシ</t>
    </rPh>
    <rPh sb="2" eb="4">
      <t>ヨテイ</t>
    </rPh>
    <phoneticPr fontId="8"/>
  </si>
  <si>
    <t>③事業目的の完了</t>
    <rPh sb="1" eb="3">
      <t>ジギョウ</t>
    </rPh>
    <rPh sb="3" eb="5">
      <t>モクテキ</t>
    </rPh>
    <rPh sb="6" eb="8">
      <t>カンリョウ</t>
    </rPh>
    <phoneticPr fontId="8"/>
  </si>
  <si>
    <t>④民営化・民間譲渡による廃止</t>
    <rPh sb="1" eb="4">
      <t>ミンエイカ</t>
    </rPh>
    <rPh sb="5" eb="7">
      <t>ミンカン</t>
    </rPh>
    <rPh sb="7" eb="9">
      <t>ジョウト</t>
    </rPh>
    <rPh sb="12" eb="14">
      <t>ハイシ</t>
    </rPh>
    <phoneticPr fontId="8"/>
  </si>
  <si>
    <t>⑤広域化による廃止</t>
    <rPh sb="1" eb="4">
      <t>コウイキカ</t>
    </rPh>
    <rPh sb="7" eb="9">
      <t>ハイシ</t>
    </rPh>
    <phoneticPr fontId="8"/>
  </si>
  <si>
    <t>⑥その他</t>
    <rPh sb="3" eb="4">
      <t>タ</t>
    </rPh>
    <phoneticPr fontId="8"/>
  </si>
  <si>
    <t>（取組の効果額）</t>
    <rPh sb="1" eb="2">
      <t>ト</t>
    </rPh>
    <rPh sb="2" eb="3">
      <t>ク</t>
    </rPh>
    <rPh sb="4" eb="6">
      <t>コウカ</t>
    </rPh>
    <rPh sb="6" eb="7">
      <t>ガク</t>
    </rPh>
    <phoneticPr fontId="8"/>
  </si>
  <si>
    <t>（取組の効果額内訳）</t>
    <rPh sb="1" eb="3">
      <t>トリクミ</t>
    </rPh>
    <rPh sb="4" eb="6">
      <t>コウカ</t>
    </rPh>
    <rPh sb="6" eb="7">
      <t>ガク</t>
    </rPh>
    <rPh sb="7" eb="9">
      <t>ウチワケ</t>
    </rPh>
    <phoneticPr fontId="8"/>
  </si>
  <si>
    <t>百万円(年)</t>
    <rPh sb="0" eb="2">
      <t>ヒャクマン</t>
    </rPh>
    <rPh sb="2" eb="3">
      <t>エン</t>
    </rPh>
    <rPh sb="4" eb="5">
      <t>ネン</t>
    </rPh>
    <phoneticPr fontId="8"/>
  </si>
  <si>
    <t>（検討状況・課題）</t>
    <rPh sb="1" eb="3">
      <t>ケントウ</t>
    </rPh>
    <rPh sb="3" eb="5">
      <t>ジョウキョウ</t>
    </rPh>
    <rPh sb="6" eb="8">
      <t>カダイ</t>
    </rPh>
    <phoneticPr fontId="8"/>
  </si>
  <si>
    <t>検討中</t>
    <rPh sb="0" eb="3">
      <t>ケントウチュウ</t>
    </rPh>
    <phoneticPr fontId="8"/>
  </si>
  <si>
    <t>民営化・民間譲渡</t>
    <rPh sb="0" eb="3">
      <t>ミンエイカ</t>
    </rPh>
    <rPh sb="4" eb="6">
      <t>ミンカン</t>
    </rPh>
    <rPh sb="6" eb="8">
      <t>ジョウト</t>
    </rPh>
    <phoneticPr fontId="8"/>
  </si>
  <si>
    <t>全部民営化・
全部民間譲渡</t>
    <rPh sb="0" eb="2">
      <t>ゼンブ</t>
    </rPh>
    <rPh sb="2" eb="5">
      <t>ミンエイカ</t>
    </rPh>
    <rPh sb="7" eb="9">
      <t>ゼンブ</t>
    </rPh>
    <rPh sb="9" eb="11">
      <t>ミンカン</t>
    </rPh>
    <rPh sb="11" eb="13">
      <t>ジョウト</t>
    </rPh>
    <phoneticPr fontId="8"/>
  </si>
  <si>
    <t>一部民営化・
一部民間譲渡</t>
    <rPh sb="0" eb="2">
      <t>イチブ</t>
    </rPh>
    <rPh sb="2" eb="5">
      <t>ミンエイカ</t>
    </rPh>
    <rPh sb="7" eb="8">
      <t>イチ</t>
    </rPh>
    <rPh sb="8" eb="9">
      <t>ブ</t>
    </rPh>
    <rPh sb="9" eb="11">
      <t>ミンカン</t>
    </rPh>
    <rPh sb="11" eb="13">
      <t>ジョウト</t>
    </rPh>
    <phoneticPr fontId="8"/>
  </si>
  <si>
    <t>（水道事業）広域化等</t>
    <rPh sb="1" eb="3">
      <t>スイドウ</t>
    </rPh>
    <rPh sb="3" eb="5">
      <t>ジギョウ</t>
    </rPh>
    <phoneticPr fontId="8"/>
  </si>
  <si>
    <t>（実施類型）</t>
    <rPh sb="1" eb="3">
      <t>ジッシ</t>
    </rPh>
    <rPh sb="3" eb="5">
      <t>ルイケイ</t>
    </rPh>
    <phoneticPr fontId="8"/>
  </si>
  <si>
    <t>経営統合</t>
    <rPh sb="0" eb="2">
      <t>ケイエイ</t>
    </rPh>
    <rPh sb="2" eb="4">
      <t>トウゴウ</t>
    </rPh>
    <phoneticPr fontId="8"/>
  </si>
  <si>
    <t>施設の
共同設置・利用</t>
    <rPh sb="0" eb="2">
      <t>シセツ</t>
    </rPh>
    <rPh sb="4" eb="6">
      <t>キョウドウ</t>
    </rPh>
    <rPh sb="6" eb="8">
      <t>セッチ</t>
    </rPh>
    <rPh sb="9" eb="11">
      <t>リヨウ</t>
    </rPh>
    <phoneticPr fontId="8"/>
  </si>
  <si>
    <t>施設管理の
共同化</t>
    <rPh sb="0" eb="2">
      <t>シセツ</t>
    </rPh>
    <rPh sb="2" eb="4">
      <t>カンリ</t>
    </rPh>
    <rPh sb="6" eb="9">
      <t>キョウドウカ</t>
    </rPh>
    <phoneticPr fontId="8"/>
  </si>
  <si>
    <t>管理の一体化</t>
    <rPh sb="0" eb="2">
      <t>カンリ</t>
    </rPh>
    <rPh sb="3" eb="6">
      <t>イッタイカ</t>
    </rPh>
    <phoneticPr fontId="8"/>
  </si>
  <si>
    <t>（簡易水道事業）広域化等</t>
    <rPh sb="1" eb="3">
      <t>カンイ</t>
    </rPh>
    <rPh sb="3" eb="5">
      <t>スイドウ</t>
    </rPh>
    <rPh sb="5" eb="7">
      <t>ジギョウ</t>
    </rPh>
    <phoneticPr fontId="8"/>
  </si>
  <si>
    <t>簡易水道事業統合(市町村内)</t>
    <rPh sb="0" eb="2">
      <t>カンイ</t>
    </rPh>
    <rPh sb="2" eb="4">
      <t>スイドウ</t>
    </rPh>
    <rPh sb="4" eb="6">
      <t>ジギョウ</t>
    </rPh>
    <rPh sb="6" eb="8">
      <t>トウゴウ</t>
    </rPh>
    <rPh sb="9" eb="12">
      <t>シチョウソン</t>
    </rPh>
    <rPh sb="12" eb="13">
      <t>ナイ</t>
    </rPh>
    <phoneticPr fontId="8"/>
  </si>
  <si>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8"/>
  </si>
  <si>
    <t>簡易水道事業統合以外</t>
    <rPh sb="0" eb="2">
      <t>カンイ</t>
    </rPh>
    <rPh sb="2" eb="4">
      <t>スイドウ</t>
    </rPh>
    <rPh sb="4" eb="6">
      <t>ジギョウ</t>
    </rPh>
    <rPh sb="6" eb="8">
      <t>トウゴウ</t>
    </rPh>
    <rPh sb="8" eb="10">
      <t>イガイ</t>
    </rPh>
    <phoneticPr fontId="8"/>
  </si>
  <si>
    <t>施設の共同
設置・利用</t>
    <rPh sb="0" eb="2">
      <t>シセツ</t>
    </rPh>
    <rPh sb="3" eb="5">
      <t>キョウドウ</t>
    </rPh>
    <rPh sb="6" eb="8">
      <t>セッチ</t>
    </rPh>
    <rPh sb="9" eb="11">
      <t>リヨウ</t>
    </rPh>
    <phoneticPr fontId="8"/>
  </si>
  <si>
    <t>施設管理の
共同化</t>
    <rPh sb="0" eb="2">
      <t>シセツ</t>
    </rPh>
    <rPh sb="2" eb="4">
      <t>カンリ</t>
    </rPh>
    <rPh sb="6" eb="8">
      <t>キョウドウ</t>
    </rPh>
    <rPh sb="8" eb="9">
      <t>カ</t>
    </rPh>
    <phoneticPr fontId="8"/>
  </si>
  <si>
    <t>管理の一体化</t>
    <rPh sb="0" eb="2">
      <t>カンリ</t>
    </rPh>
    <rPh sb="3" eb="5">
      <t>イッタイ</t>
    </rPh>
    <rPh sb="5" eb="6">
      <t>カ</t>
    </rPh>
    <phoneticPr fontId="8"/>
  </si>
  <si>
    <t>（下水道事業）広域化等</t>
    <rPh sb="1" eb="2">
      <t>シタ</t>
    </rPh>
    <rPh sb="2" eb="4">
      <t>スイドウ</t>
    </rPh>
    <rPh sb="4" eb="6">
      <t>ジギョウ</t>
    </rPh>
    <phoneticPr fontId="8"/>
  </si>
  <si>
    <t>汚水処理施設の統廃合</t>
    <rPh sb="0" eb="2">
      <t>オスイ</t>
    </rPh>
    <rPh sb="2" eb="4">
      <t>ショリ</t>
    </rPh>
    <rPh sb="4" eb="6">
      <t>シセツ</t>
    </rPh>
    <rPh sb="7" eb="10">
      <t>トウハイゴウ</t>
    </rPh>
    <phoneticPr fontId="8"/>
  </si>
  <si>
    <t>処理場廃止あり</t>
    <rPh sb="0" eb="3">
      <t>ショリジョウ</t>
    </rPh>
    <rPh sb="3" eb="5">
      <t>ハイシ</t>
    </rPh>
    <phoneticPr fontId="8"/>
  </si>
  <si>
    <t>処理場廃止なし</t>
    <rPh sb="0" eb="3">
      <t>ショリジョウ</t>
    </rPh>
    <rPh sb="3" eb="5">
      <t>ハイシ</t>
    </rPh>
    <phoneticPr fontId="8"/>
  </si>
  <si>
    <t>公共下水･流域下水の統合</t>
    <rPh sb="0" eb="2">
      <t>コウキョウ</t>
    </rPh>
    <rPh sb="2" eb="4">
      <t>ゲスイ</t>
    </rPh>
    <rPh sb="5" eb="7">
      <t>リュウイキ</t>
    </rPh>
    <rPh sb="7" eb="9">
      <t>ゲスイ</t>
    </rPh>
    <rPh sb="10" eb="12">
      <t>トウゴウ</t>
    </rPh>
    <phoneticPr fontId="8"/>
  </si>
  <si>
    <t>公共下水同士
の統合</t>
    <rPh sb="0" eb="2">
      <t>コウキョウ</t>
    </rPh>
    <rPh sb="2" eb="4">
      <t>ゲスイ</t>
    </rPh>
    <rPh sb="4" eb="6">
      <t>ドウシ</t>
    </rPh>
    <rPh sb="8" eb="10">
      <t>トウゴウ</t>
    </rPh>
    <phoneticPr fontId="8"/>
  </si>
  <si>
    <t>集落排水･公共下水との統合</t>
    <rPh sb="0" eb="2">
      <t>シュウラク</t>
    </rPh>
    <rPh sb="2" eb="4">
      <t>ハイスイ</t>
    </rPh>
    <rPh sb="5" eb="7">
      <t>コウキョウ</t>
    </rPh>
    <rPh sb="7" eb="9">
      <t>ゲスイ</t>
    </rPh>
    <rPh sb="11" eb="13">
      <t>トウゴウ</t>
    </rPh>
    <phoneticPr fontId="8"/>
  </si>
  <si>
    <t>特環下水と公共下水との結合</t>
    <rPh sb="0" eb="1">
      <t>トク</t>
    </rPh>
    <rPh sb="2" eb="4">
      <t>ゲスイ</t>
    </rPh>
    <rPh sb="5" eb="7">
      <t>コウキョウ</t>
    </rPh>
    <rPh sb="7" eb="9">
      <t>ゲスイ</t>
    </rPh>
    <rPh sb="11" eb="13">
      <t>ケツゴウ</t>
    </rPh>
    <phoneticPr fontId="8"/>
  </si>
  <si>
    <t>その他</t>
    <rPh sb="2" eb="3">
      <t>ホカ</t>
    </rPh>
    <phoneticPr fontId="8"/>
  </si>
  <si>
    <t>汚泥処理の
共同化</t>
    <rPh sb="0" eb="2">
      <t>オデイ</t>
    </rPh>
    <rPh sb="2" eb="4">
      <t>ショリ</t>
    </rPh>
    <rPh sb="6" eb="9">
      <t>キョウドウカ</t>
    </rPh>
    <phoneticPr fontId="8"/>
  </si>
  <si>
    <t>維持管理・事務
の共同化</t>
    <rPh sb="0" eb="2">
      <t>イジ</t>
    </rPh>
    <rPh sb="2" eb="4">
      <t>カンリ</t>
    </rPh>
    <rPh sb="5" eb="7">
      <t>ジム</t>
    </rPh>
    <rPh sb="9" eb="12">
      <t>キョウドウカ</t>
    </rPh>
    <phoneticPr fontId="8"/>
  </si>
  <si>
    <t>最適な汚水処理施設の選択（最適化）</t>
    <rPh sb="0" eb="2">
      <t>サイテキ</t>
    </rPh>
    <rPh sb="3" eb="5">
      <t>オスイ</t>
    </rPh>
    <rPh sb="5" eb="7">
      <t>ショリ</t>
    </rPh>
    <rPh sb="7" eb="9">
      <t>シセツ</t>
    </rPh>
    <rPh sb="10" eb="12">
      <t>センタク</t>
    </rPh>
    <rPh sb="13" eb="16">
      <t>サイテキカ</t>
    </rPh>
    <phoneticPr fontId="8"/>
  </si>
  <si>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8"/>
  </si>
  <si>
    <t>民間活用（指定管理者制度）</t>
    <rPh sb="0" eb="2">
      <t>ミンカン</t>
    </rPh>
    <rPh sb="2" eb="4">
      <t>カツヨウ</t>
    </rPh>
    <rPh sb="5" eb="7">
      <t>シテイ</t>
    </rPh>
    <rPh sb="7" eb="10">
      <t>カンリシャ</t>
    </rPh>
    <rPh sb="10" eb="12">
      <t>セイド</t>
    </rPh>
    <phoneticPr fontId="8"/>
  </si>
  <si>
    <t>（方式）</t>
    <rPh sb="1" eb="3">
      <t>ホウシキ</t>
    </rPh>
    <phoneticPr fontId="8"/>
  </si>
  <si>
    <t>代行制</t>
    <rPh sb="0" eb="3">
      <t>ダイコウセイ</t>
    </rPh>
    <phoneticPr fontId="8"/>
  </si>
  <si>
    <t>利用料金制</t>
    <rPh sb="0" eb="2">
      <t>リヨウ</t>
    </rPh>
    <rPh sb="2" eb="5">
      <t>リョウキンセイ</t>
    </rPh>
    <phoneticPr fontId="8"/>
  </si>
  <si>
    <t>民間活用（包括的民間委託）</t>
    <rPh sb="0" eb="2">
      <t>ミンカン</t>
    </rPh>
    <rPh sb="2" eb="4">
      <t>カツヨウ</t>
    </rPh>
    <rPh sb="5" eb="8">
      <t>ホウカツテキ</t>
    </rPh>
    <rPh sb="8" eb="10">
      <t>ミンカン</t>
    </rPh>
    <rPh sb="10" eb="12">
      <t>イタク</t>
    </rPh>
    <phoneticPr fontId="8"/>
  </si>
  <si>
    <t>（（実施済のみ）性能発注内容）</t>
    <rPh sb="2" eb="4">
      <t>ジッシ</t>
    </rPh>
    <rPh sb="4" eb="5">
      <t>ズ</t>
    </rPh>
    <rPh sb="8" eb="10">
      <t>セイノウ</t>
    </rPh>
    <rPh sb="10" eb="12">
      <t>ハッチュウ</t>
    </rPh>
    <rPh sb="12" eb="14">
      <t>ナイヨウ</t>
    </rPh>
    <phoneticPr fontId="8"/>
  </si>
  <si>
    <t>民間活用（ＰＰＰ/ＰＦＩ方式の活用）</t>
    <rPh sb="0" eb="2">
      <t>ミンカン</t>
    </rPh>
    <rPh sb="2" eb="4">
      <t>カツヨウ</t>
    </rPh>
    <rPh sb="12" eb="14">
      <t>ホウシキ</t>
    </rPh>
    <rPh sb="15" eb="17">
      <t>カツヨウ</t>
    </rPh>
    <phoneticPr fontId="8"/>
  </si>
  <si>
    <t>（導入・契約（予定）時期）</t>
    <rPh sb="1" eb="3">
      <t>ドウニュウ</t>
    </rPh>
    <rPh sb="4" eb="6">
      <t>ケイヤク</t>
    </rPh>
    <rPh sb="7" eb="9">
      <t>ヨテイ</t>
    </rPh>
    <rPh sb="10" eb="12">
      <t>ジキ</t>
    </rPh>
    <phoneticPr fontId="8"/>
  </si>
  <si>
    <t>BTO方式</t>
    <rPh sb="3" eb="5">
      <t>ホウシキ</t>
    </rPh>
    <phoneticPr fontId="8"/>
  </si>
  <si>
    <t>公共施設等運営権方式（コンセッション方式）</t>
    <rPh sb="0" eb="2">
      <t>コウキョウ</t>
    </rPh>
    <rPh sb="2" eb="4">
      <t>シセツ</t>
    </rPh>
    <rPh sb="4" eb="5">
      <t>トウ</t>
    </rPh>
    <rPh sb="5" eb="8">
      <t>ウンエイケン</t>
    </rPh>
    <rPh sb="8" eb="10">
      <t>ホウシキ</t>
    </rPh>
    <rPh sb="18" eb="20">
      <t>ホウシキ</t>
    </rPh>
    <phoneticPr fontId="8"/>
  </si>
  <si>
    <t>BOT方式</t>
    <rPh sb="3" eb="5">
      <t>ホウシキ</t>
    </rPh>
    <phoneticPr fontId="8"/>
  </si>
  <si>
    <t>BOO方式</t>
    <rPh sb="3" eb="5">
      <t>ホウシキ</t>
    </rPh>
    <phoneticPr fontId="8"/>
  </si>
  <si>
    <t>港湾運営会社制度</t>
    <rPh sb="0" eb="2">
      <t>コウワン</t>
    </rPh>
    <rPh sb="2" eb="4">
      <t>ウンエイ</t>
    </rPh>
    <rPh sb="4" eb="6">
      <t>ガイシャ</t>
    </rPh>
    <rPh sb="6" eb="8">
      <t>セイド</t>
    </rPh>
    <phoneticPr fontId="8"/>
  </si>
  <si>
    <t>DB方式</t>
    <rPh sb="2" eb="4">
      <t>ホウシキ</t>
    </rPh>
    <phoneticPr fontId="8"/>
  </si>
  <si>
    <t>DBO方式</t>
    <rPh sb="3" eb="5">
      <t>ホウシキ</t>
    </rPh>
    <phoneticPr fontId="8"/>
  </si>
  <si>
    <t>その他</t>
    <rPh sb="2" eb="3">
      <t>タ</t>
    </rPh>
    <phoneticPr fontId="8"/>
  </si>
  <si>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8"/>
  </si>
  <si>
    <t>（公務員型と非公務員型の別）</t>
    <rPh sb="1" eb="5">
      <t>コウムインガタ</t>
    </rPh>
    <rPh sb="6" eb="7">
      <t>ヒ</t>
    </rPh>
    <rPh sb="7" eb="11">
      <t>コウムインガタ</t>
    </rPh>
    <rPh sb="12" eb="13">
      <t>ベツ</t>
    </rPh>
    <phoneticPr fontId="8"/>
  </si>
  <si>
    <t>公務員型</t>
    <rPh sb="0" eb="3">
      <t>コウムイン</t>
    </rPh>
    <rPh sb="3" eb="4">
      <t>ガタ</t>
    </rPh>
    <phoneticPr fontId="8"/>
  </si>
  <si>
    <t>非公務員型</t>
    <rPh sb="0" eb="1">
      <t>ヒ</t>
    </rPh>
    <rPh sb="1" eb="4">
      <t>コウムイン</t>
    </rPh>
    <rPh sb="4" eb="5">
      <t>ガタ</t>
    </rPh>
    <phoneticPr fontId="8"/>
  </si>
  <si>
    <t>抜本的な改革に取り組まず、現行の経営体制・手法を継続する理由及び現在の経営状況・経営戦略等における中長期的な将来見通しを踏まえた、今後の経営改革の方向性</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</si>
</sst>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Yu Gothic"/>
      <family val="2"/>
      <charset val="128"/>
    </font>
    <font>
      <sz val="6"/>
      <name val="Yu Gothic"/>
      <family val="2"/>
      <charset val="128"/>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2">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2" fillId="0" borderId="0" xfId="0" applyFont="1">
      <alignment vertical="center"/>
    </xf>
    <xf numFmtId="0" fontId="13" fillId="2" borderId="2" xfId="0" applyFont="1" applyFill="1" applyBorder="1" applyAlignment="1"/>
    <xf numFmtId="0" fontId="13" fillId="2" borderId="3" xfId="0" applyFont="1" applyFill="1" applyBorder="1" applyAlignment="1"/>
    <xf numFmtId="0" fontId="13" fillId="2" borderId="4" xfId="0" applyFont="1" applyFill="1" applyBorder="1" applyAlignment="1"/>
    <xf numFmtId="0" fontId="13" fillId="0" borderId="0" xfId="0" applyFont="1" applyAlignment="1"/>
    <xf numFmtId="0" fontId="13"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3" fillId="2" borderId="0" xfId="0" applyFont="1" applyFill="1" applyAlignment="1"/>
    <xf numFmtId="0" fontId="13"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4" fillId="2" borderId="0" xfId="0" applyFont="1" applyFill="1">
      <alignment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6" fillId="0" borderId="0" xfId="0" applyFont="1" applyAlignment="1"/>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7" fillId="2" borderId="0" xfId="0" applyFont="1" applyFill="1">
      <alignment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8" fillId="0" borderId="5" xfId="0" applyFont="1" applyBorder="1" applyAlignment="1">
      <alignment horizontal="center" vertical="center" wrapText="1"/>
    </xf>
    <xf numFmtId="0" fontId="18" fillId="0" borderId="0" xfId="0" applyFont="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2" borderId="0" xfId="0" applyFont="1" applyFill="1">
      <alignment vertical="center"/>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6" fillId="2" borderId="7" xfId="0" applyFont="1" applyFill="1" applyBorder="1" applyAlignment="1"/>
    <xf numFmtId="0" fontId="16" fillId="2" borderId="8" xfId="0" applyFont="1" applyFill="1" applyBorder="1" applyAlignment="1"/>
    <xf numFmtId="0" fontId="13" fillId="2" borderId="8" xfId="0" applyFont="1" applyFill="1" applyBorder="1" applyAlignment="1"/>
    <xf numFmtId="0" fontId="13" fillId="2" borderId="9" xfId="0" applyFont="1" applyFill="1" applyBorder="1" applyAlignment="1"/>
    <xf numFmtId="0" fontId="17" fillId="0" borderId="0" xfId="0" applyFont="1">
      <alignment vertical="center"/>
    </xf>
    <xf numFmtId="0" fontId="16" fillId="0" borderId="0" xfId="0" applyFont="1">
      <alignment vertical="center"/>
    </xf>
    <xf numFmtId="0" fontId="17" fillId="2" borderId="2" xfId="0" applyFont="1" applyFill="1" applyBorder="1">
      <alignment vertical="center"/>
    </xf>
    <xf numFmtId="0" fontId="17" fillId="2" borderId="3" xfId="0" applyFont="1" applyFill="1" applyBorder="1">
      <alignment vertical="center"/>
    </xf>
    <xf numFmtId="0" fontId="16" fillId="2" borderId="10" xfId="0" applyFont="1" applyFill="1" applyBorder="1" applyAlignment="1">
      <alignment horizontal="left" wrapText="1"/>
    </xf>
    <xf numFmtId="0" fontId="16" fillId="2" borderId="3" xfId="0" applyFont="1" applyFill="1" applyBorder="1" applyAlignment="1">
      <alignment wrapText="1"/>
    </xf>
    <xf numFmtId="0" fontId="16" fillId="2" borderId="3" xfId="0" applyFont="1" applyFill="1" applyBorder="1" applyAlignment="1">
      <alignment shrinkToFit="1"/>
    </xf>
    <xf numFmtId="0" fontId="17" fillId="2" borderId="4" xfId="0" applyFont="1" applyFill="1" applyBorder="1">
      <alignment vertical="center"/>
    </xf>
    <xf numFmtId="0" fontId="19" fillId="0" borderId="0" xfId="0" applyFont="1">
      <alignment vertical="center"/>
    </xf>
    <xf numFmtId="0" fontId="17" fillId="2" borderId="5" xfId="0" applyFont="1" applyFill="1" applyBorder="1">
      <alignmen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6" fillId="2" borderId="0" xfId="0" applyFont="1" applyFill="1" applyAlignment="1">
      <alignment wrapText="1"/>
    </xf>
    <xf numFmtId="0" fontId="16" fillId="2" borderId="0" xfId="0" applyFont="1" applyFill="1" applyAlignment="1"/>
    <xf numFmtId="0" fontId="20" fillId="2" borderId="0" xfId="0" applyFont="1" applyFill="1" applyAlignment="1"/>
    <xf numFmtId="0" fontId="3" fillId="2" borderId="0" xfId="0" applyFont="1" applyFill="1" applyAlignment="1">
      <alignment horizontal="left" vertical="center" wrapText="1"/>
    </xf>
    <xf numFmtId="0" fontId="17" fillId="2" borderId="6" xfId="0" applyFont="1" applyFill="1" applyBorder="1">
      <alignment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20" fillId="2" borderId="0" xfId="0" applyFont="1" applyFill="1">
      <alignment vertical="center"/>
    </xf>
    <xf numFmtId="0" fontId="16" fillId="2" borderId="0" xfId="0" applyFont="1" applyFill="1" applyAlignment="1">
      <alignment shrinkToFit="1"/>
    </xf>
    <xf numFmtId="0" fontId="3" fillId="2" borderId="0" xfId="0" applyFont="1" applyFill="1" applyAlignment="1">
      <alignment vertical="center" wrapText="1"/>
    </xf>
    <xf numFmtId="0" fontId="16" fillId="2" borderId="0" xfId="0" applyFont="1" applyFill="1" applyAlignment="1">
      <alignment horizontal="left" wrapText="1"/>
    </xf>
    <xf numFmtId="0" fontId="21" fillId="2" borderId="0" xfId="0" applyFont="1" applyFill="1">
      <alignment vertical="center"/>
    </xf>
    <xf numFmtId="0" fontId="20" fillId="2" borderId="0" xfId="0" applyFont="1" applyFill="1" applyAlignment="1">
      <alignment shrinkToFit="1"/>
    </xf>
    <xf numFmtId="0" fontId="20" fillId="2" borderId="0" xfId="0" applyFont="1" applyFill="1" applyAlignment="1">
      <alignment horizontal="left" vertical="center" wrapText="1"/>
    </xf>
    <xf numFmtId="0" fontId="20" fillId="2" borderId="0" xfId="0" applyFont="1" applyFill="1" applyAlignment="1">
      <alignment vertical="center" wrapText="1"/>
    </xf>
    <xf numFmtId="0" fontId="20" fillId="2" borderId="8" xfId="0" applyFont="1" applyFill="1" applyBorder="1" applyAlignment="1">
      <alignment wrapText="1"/>
    </xf>
    <xf numFmtId="0" fontId="20" fillId="2" borderId="0" xfId="0" applyFont="1" applyFill="1" applyAlignment="1">
      <alignment wrapText="1"/>
    </xf>
    <xf numFmtId="0" fontId="21" fillId="2" borderId="0" xfId="0" applyFont="1" applyFill="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3" fillId="2" borderId="0" xfId="0" applyFont="1" applyFill="1" applyAlignment="1">
      <alignment vertical="center" wrapText="1"/>
    </xf>
    <xf numFmtId="0" fontId="24" fillId="0" borderId="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 xfId="0" applyFont="1" applyBorder="1" applyAlignment="1">
      <alignment horizontal="center" vertical="center" shrinkToFit="1"/>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18" fillId="0" borderId="6" xfId="0" applyFont="1" applyBorder="1" applyAlignment="1">
      <alignment horizontal="center"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0" borderId="6" xfId="0" applyFont="1" applyBorder="1" applyAlignment="1">
      <alignment horizontal="left" vertical="center" wrapText="1"/>
    </xf>
    <xf numFmtId="0" fontId="18" fillId="0" borderId="5" xfId="0" applyFont="1" applyBorder="1" applyAlignment="1">
      <alignment horizontal="center" vertical="center" shrinkToFit="1"/>
    </xf>
    <xf numFmtId="0" fontId="18" fillId="0" borderId="0" xfId="0" applyFont="1" applyAlignment="1">
      <alignment horizontal="center" vertical="center" shrinkToFit="1"/>
    </xf>
    <xf numFmtId="0" fontId="18" fillId="0" borderId="6" xfId="0" applyFont="1" applyBorder="1" applyAlignment="1">
      <alignment horizontal="center" vertical="center" shrinkToFit="1"/>
    </xf>
    <xf numFmtId="0" fontId="18" fillId="0" borderId="4" xfId="0"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4" fillId="2" borderId="0" xfId="0" applyFont="1" applyFill="1" applyAlignment="1">
      <alignment horizontal="center" vertical="center"/>
    </xf>
    <xf numFmtId="0" fontId="18" fillId="2" borderId="0" xfId="0" applyFont="1" applyFill="1" applyAlignment="1">
      <alignment horizontal="center" vertical="center"/>
    </xf>
    <xf numFmtId="0" fontId="20" fillId="2" borderId="0" xfId="0" applyFont="1" applyFill="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26" fillId="0" borderId="10" xfId="0" applyFont="1" applyBorder="1">
      <alignment vertical="center"/>
    </xf>
    <xf numFmtId="0" fontId="26" fillId="0" borderId="12" xfId="0" applyFont="1" applyBorder="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25" fillId="0" borderId="10" xfId="0" applyFont="1" applyBorder="1" applyAlignment="1">
      <alignment vertical="center" wrapText="1"/>
    </xf>
    <xf numFmtId="0" fontId="27" fillId="2" borderId="0" xfId="0" applyFont="1" applyFill="1">
      <alignment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0" fillId="2" borderId="3" xfId="0" applyFill="1" applyBorder="1">
      <alignment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23" fillId="2" borderId="0" xfId="0" applyFont="1" applyFill="1">
      <alignment vertical="center"/>
    </xf>
    <xf numFmtId="0" fontId="17" fillId="2" borderId="7" xfId="0" applyFont="1" applyFill="1" applyBorder="1">
      <alignment vertical="center"/>
    </xf>
    <xf numFmtId="0" fontId="17" fillId="2" borderId="8" xfId="0" applyFont="1" applyFill="1" applyBorder="1">
      <alignment vertical="center"/>
    </xf>
    <xf numFmtId="0" fontId="17" fillId="2" borderId="9" xfId="0" applyFont="1" applyFill="1" applyBorder="1">
      <alignment vertical="center"/>
    </xf>
    <xf numFmtId="0" fontId="20" fillId="2" borderId="8" xfId="0" applyFont="1" applyFill="1" applyBorder="1" applyAlignment="1"/>
    <xf numFmtId="0" fontId="24" fillId="0" borderId="1" xfId="0" applyFont="1" applyBorder="1" applyAlignment="1">
      <alignment horizontal="center" vertical="center" wrapText="1" shrinkToFit="1"/>
    </xf>
    <xf numFmtId="0" fontId="18" fillId="0" borderId="7"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9" xfId="0" applyFont="1" applyBorder="1" applyAlignment="1">
      <alignment horizontal="center" vertical="center" shrinkToFit="1"/>
    </xf>
    <xf numFmtId="0" fontId="0" fillId="2" borderId="0" xfId="0" applyFill="1">
      <alignment vertical="center"/>
    </xf>
    <xf numFmtId="0" fontId="16" fillId="2" borderId="3" xfId="0" applyFont="1" applyFill="1" applyBorder="1" applyAlignment="1">
      <alignment horizontal="left" wrapText="1"/>
    </xf>
    <xf numFmtId="0" fontId="16" fillId="2" borderId="0" xfId="0" applyFont="1" applyFill="1" applyAlignment="1">
      <alignment horizontal="left" wrapText="1"/>
    </xf>
    <xf numFmtId="0" fontId="1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18" fillId="0" borderId="1" xfId="0" applyFont="1" applyBorder="1" applyAlignment="1">
      <alignment horizontal="center" vertical="center" wrapText="1"/>
    </xf>
    <xf numFmtId="0" fontId="20" fillId="2" borderId="6" xfId="0" applyFont="1" applyFill="1" applyBorder="1">
      <alignment vertical="center"/>
    </xf>
    <xf numFmtId="0" fontId="14" fillId="2" borderId="8" xfId="0" applyFont="1" applyFill="1" applyBorder="1" applyAlignment="1">
      <alignment horizontal="center" vertical="center"/>
    </xf>
    <xf numFmtId="0" fontId="22"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Alignment="1">
      <alignment horizontal="center" vertical="center" wrapText="1"/>
    </xf>
    <xf numFmtId="0" fontId="25" fillId="0" borderId="6"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16" fillId="2" borderId="0" xfId="0" applyFont="1" applyFill="1" applyAlignment="1">
      <alignment horizontal="left" vertical="center" wrapText="1"/>
    </xf>
    <xf numFmtId="0" fontId="24" fillId="0" borderId="2"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0" xfId="0" applyFont="1" applyAlignment="1">
      <alignment horizontal="center" vertical="center" shrinkToFit="1"/>
    </xf>
    <xf numFmtId="0" fontId="24" fillId="0" borderId="6"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9" xfId="0" applyFont="1" applyBorder="1" applyAlignment="1">
      <alignment horizontal="center" vertical="center" shrinkToFit="1"/>
    </xf>
    <xf numFmtId="0" fontId="16" fillId="2" borderId="8" xfId="0" applyFont="1" applyFill="1" applyBorder="1" applyAlignment="1">
      <alignment horizontal="left" wrapText="1"/>
    </xf>
    <xf numFmtId="0" fontId="24" fillId="2" borderId="0" xfId="0" applyFont="1" applyFill="1" applyAlignment="1">
      <alignment horizontal="left" vertical="center"/>
    </xf>
    <xf numFmtId="0" fontId="12" fillId="2" borderId="0" xfId="0" applyFont="1" applyFill="1">
      <alignmen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0" fontId="29"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17" fillId="0" borderId="1" xfId="0" quotePrefix="1"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6"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2" fillId="0" borderId="0" xfId="0" applyFont="1" applyAlignment="1">
      <alignment horizontal="left" vertical="center" wrapText="1"/>
    </xf>
    <xf numFmtId="0" fontId="0" fillId="2" borderId="2" xfId="0" applyFill="1" applyBorder="1">
      <alignment vertical="center"/>
    </xf>
    <xf numFmtId="0" fontId="12"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cellXfs>
  <cellStyles count="1">
    <cellStyle name="標準" xfId="0" builtinId="0"/>
  </cellStyles>
  <dxfs count="30">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48B94951-27E3-45E5-BFFC-0D25510BCCB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1610F1D-6B37-4904-9609-981F9A57790D}"/>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D6D9492-4162-40EA-8473-0838CB07A1E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C8E41BA-5FF3-4055-8739-496ED3E837D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7017DAA-A31C-4A96-987A-A064BD5AE1E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8506497F-B000-49CC-9DAD-267E37E4FE6E}"/>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9BF6AFC-7F71-44A7-BA7D-FBC1AE82C23B}"/>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3C5493C9-8131-4FBD-9756-AD8A991877A7}"/>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8E5B0BA-E4AC-40D4-A643-635BE806671A}"/>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098BCAC-84BD-42B4-AFDF-1E310EE6E4EC}"/>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AD667CAB-672D-4B5D-BEF1-01244EF8EA28}"/>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23B6CBB-8990-4FC5-A7EB-B55F5A28F24B}"/>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2EAB0E6A-0DB0-499F-8193-331BB96AE97D}"/>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FEED1F51-6899-432F-AB86-25760B269767}"/>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7BC86C21-CEB6-443F-8096-54C0994B1CBA}"/>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96789D7-47B6-43CC-AEB4-23FCAA15607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DC7EAD-D240-4256-8D33-36DAEEC4293B}"/>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6D9FB58C-ECEB-43AF-B513-1BD3995C8C75}"/>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43AE2AA-6E8B-451A-8F62-9BA57DB8DEE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D3FEF1A-F7A0-449E-B1D3-F378BCB9449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40ED28DB-88C0-4694-80AF-0C11E9B3269E}"/>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50341728-C6FD-41B7-98DA-75998587F955}"/>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4FC9227B-9317-4021-90BA-F50CE6DBF4EE}"/>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7714035C-538B-49A5-9E85-934D2A77EFBF}"/>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2DB6785-3AAB-4626-A8C8-3A5B11CBCD13}"/>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110ADDA-436C-4F48-99D4-DD075403109B}"/>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F1F1C0A-267C-46CA-BD3B-88780FF839D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6990061-E031-4CBC-8FF6-17C05D18CA7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58B46E8-6524-4A7C-AE8A-5A6EDE5EEE8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FF9D487-2225-47EE-958C-32A5F170C4B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39F676F-4DD3-4E0C-BE55-2899D2B8CDD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5A132E1-84A6-44EA-BCC3-F03AF2C6043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C308499-62FF-46EA-A2BD-95824085B924}"/>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EFAFDB58-FEE0-4A89-84B0-FBC5B91A352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A27975B9-0106-4B1B-ACE8-1188142109B3}"/>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7E3CA1BA-A09B-45A4-9631-41FF5ADF7381}"/>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3CA5F44E-A022-4149-AD66-ED7D40C96F2D}"/>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037A2E0-B47A-4877-BBD6-D02B1F9D7913}"/>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47DA5B3C-03B8-4EFE-A0F0-7BA5572FF52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2ADF401C-5D3B-4D2E-9680-C479B0D455E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FAF059B9-6123-4CC1-8575-A0121ADDFB97}"/>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67224E4F-29A9-4043-B180-97512D55EEE1}"/>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87E933F8-BB22-4E92-87BD-A8D262EC2C0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9CD6AA87-A000-4902-9020-D30F6CE64508}"/>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8FB69E4A-D9EB-4E88-9E9D-EB41BC925DF3}"/>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EDDECE7-82CC-473E-A52D-14DBB17A0D5C}"/>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3D68671-6D3B-4CE5-832E-7578DBB31E2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73669DCA-25BA-4432-83CC-B60812EFEC91}"/>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553D74CF-9715-42C0-8AA6-A9E805CBF5C8}"/>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BDADAFB2-EFE9-45F5-B1EF-AFFF5D023215}"/>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F8D087F1-7891-4141-AB12-7C953576F043}"/>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5EB1BA2-5A5D-41EB-BE76-20E5D997990E}"/>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7C1C2ED-6D89-4846-B6B3-29E129688C4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4BBFCD1-0E78-44A0-AE67-CA629EA4386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51E4FA0-1678-4D19-8731-F72DE8D1942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24D4308D-3AFF-4E45-8345-658007B5BDC2}"/>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C123D1A-3273-4CE8-8D6E-C44C9427970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1FAF2B0-D12C-4BCA-8EC7-CA2F30FC149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E69A76E9-9BE3-4652-A4CC-1968B194817A}"/>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910C52E7-1BE8-4AC2-B51E-F1BD69CF45C8}"/>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41A15FD-9A9C-4E18-90BF-D9718C3B1994}"/>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56C89A41-FF31-431C-9AEF-D6E2026AAEA7}"/>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B5B597D-97BC-43CD-863E-22D425F0487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FACCD4F8-2E76-4B43-ACFF-EEEB8ECEA5F4}"/>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3F4EB8EC-FAA8-4B7A-9B90-F1DB3E1BA5C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9163A8D-CAE1-4CAD-90CF-E210EC569E0F}"/>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BED1C1C-6334-4928-AB4B-427A287778D1}"/>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D095D0E3-E587-4981-9B91-EB1590F5CB01}"/>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B6478E46-A4E5-4210-B3F9-1D6EE43FB221}"/>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0981EE57-B93E-49D2-B082-3FC9B7E84362}"/>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F422DD2-D9D4-4A52-9148-B7E46EE6ED4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649A220-CFA6-4890-89BF-B510D007FD6F}"/>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3B1BB8F3-3DF1-4680-959A-44E6F729D7A8}"/>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2A4BEF20-2032-4B28-83EB-251D9B5F549E}"/>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2C55EE9-AE99-4D46-AD4F-B4086C9AEDFF}"/>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A66746EE-477A-4E21-9CB9-9C3E6CE41C2D}"/>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86B98F4E-1CCD-47D6-A9A7-A5D104FCA5A3}"/>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E8ABD6E-4A14-4FD3-9CFC-6AB2BA76C82E}"/>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DD2C720-3CA5-4A41-9DDF-F0693885919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E6F0297-7043-4FCE-8B2D-DE0CF3E3427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B9AFB34-0D1E-4C89-817D-9757CF9B439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92ECBD8-6ECF-4A91-9D72-C4BDDF969092}"/>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5AC9B83-E2AD-4674-A2E2-5219D075719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D46E303-BDAB-4476-8964-44717ED5654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5F2AE78-43A6-4100-8AA4-B76AE0F76D6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6D600013-8C06-4415-B1BC-CBE1564568D2}"/>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A60FAF33-9B21-42B8-A7B8-9DE304B40104}"/>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3F5629B-D1AA-4131-B35B-8C6230788436}"/>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563158A-4885-4F66-AF18-971CD73E3A63}"/>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810F65A-4493-480A-9490-983E5B822FF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E02117DE-6BAF-4A38-A1A2-B9195CCA4468}"/>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BEF3CF42-57DE-4343-AC84-B514DFED80A8}"/>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6AB9888-4757-471D-8274-1F145B22BE4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6F3A5272-9ADD-4197-943F-168D9EA76807}"/>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DBA1EE0C-FC1E-4DB8-BAAF-B28D2BDCD52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C630D2C9-5EBF-4479-A7E2-BC5ADFE7B619}"/>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FD0BA51-8EF0-4754-A262-08DA62B0A157}"/>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F4460038-B340-410A-80CD-92474C89DA08}"/>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D5CFE61F-2E33-451B-BC12-66819A7740DE}"/>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B5E20C5-58D4-4C22-B38F-249EF83B529C}"/>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7A441BD4-62FB-4DEF-A4F3-6966402C65AF}"/>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63C92EC-C358-4C17-B5A5-B08901332C97}"/>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37AD07AC-984F-4410-A0F0-50CAEDA6E5ED}"/>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76194A6-29D8-4327-98E2-B806895B2333}"/>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57679B18-479D-4C71-9A87-858C81E5EBC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C14C760-8C96-49D0-AB35-239196ECB27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E38C741-BBD3-4A61-AFCA-3C38FA2C8DE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D6A28A6-D51B-408D-BF74-8437EF08A12A}"/>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6215EA0-99ED-4B07-998A-2AA9EFB7DC0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FE73D17-56E2-4FC8-970D-85CB3D262E2C}"/>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0111C18-E3BD-437A-B681-F7E47C34205C}"/>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4547A96-3EE7-4956-99B7-0AFF15AEFB0A}"/>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22A20AF0-274B-4942-A1BB-B97ACDAC0026}"/>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315758F9-4AB2-4ED0-9FD6-5F6565C0425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2D0FE0F-E244-4DDF-A909-86CECDE9DD3D}"/>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13AFF9E-AFD5-4C6C-ACDC-B199EF0DF03D}"/>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4AAB23A1-6EFD-4A17-ACC2-F9E23FA1FA39}"/>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3B357F46-9926-4390-B703-A4379E5DA8C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A9C1DF6C-5E8D-4794-BC63-6928888C0DBA}"/>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CFB2B2EC-A3E9-4865-8A43-7FC4D492015C}"/>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79B0BC3A-2B17-4D6F-B238-B74F7212D608}"/>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522F44FF-5467-4B2F-A847-0BB1ADE0D42E}"/>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3975B380-B3A1-41F6-A2AE-9293CE196FDE}"/>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701D71E4-572F-47C3-9BC6-ECB6371A396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ADC68D94-9F03-4753-B5D2-38048018E56C}"/>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C166292C-8F84-40EB-A653-4CB1CC6986D4}"/>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83390647-70F2-4120-A64D-AA7E300EAB7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25BD53E3-153B-492B-AB5D-06597B97C7BF}"/>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7EDB0AE6-B285-48D1-A2ED-BE1CF987F45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3663F454-8D3A-4F7E-81C8-7107DF7EB315}"/>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C26C4D7-D6FB-4257-9AFC-B9163368636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969854A-E7CF-458A-888C-CB3E03212A7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4BA9CE9-D1A8-4200-B6DE-5B59F14DB36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94BF759-A2D8-4033-AF70-F0F312451543}"/>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3E8F0FA-CBA6-499C-AB5B-79D39409984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8B65B615-3F90-4CB0-8917-0E01373FBF5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B482D4D-A7B5-4AF3-AD90-E3D9D789DB3B}"/>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9E4F61BC-6AE5-4C08-8DA5-D3216A242EA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DDE0F332-C8B3-4338-93C6-FA38A922F4A7}"/>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EA8574FA-128B-4C77-A4BF-D28A9CB80E7F}"/>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15741D5-46D5-4E8C-9B51-6D2721E7918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B696B499-2931-4E8F-AA11-DBDA216635CE}"/>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B697F8BB-7EC5-439F-976A-02CFC0AA9E2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1A5021A-AE37-48AA-9D50-FCDF78AFDDD9}"/>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A3D16CA-0FE9-4430-8995-D3FE8D81671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F5BE53D-C794-4E81-B38F-5F065AE02B01}"/>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C933E1E4-2616-412F-B90A-60E08912C1BD}"/>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3061685D-D018-4981-B630-19A3F809A0BB}"/>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6F76217-C57A-4775-9D7D-1596E70CEDAF}"/>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84C1EA3B-F90D-418D-B443-9E9C24C91D0E}"/>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5D0559C9-2271-4F81-8A0A-872AB24ABF81}"/>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77583A-7377-454D-9BBA-D44D38D2D307}"/>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09C876AB-D2E6-4541-8E94-E3ED3D19208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966C0BF6-1870-4B97-9402-7F40624B6797}"/>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B119DD34-6B14-49F9-B912-0563460DA11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765B8C1-6391-4725-89DD-D8700861B57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8D72D08-8FFC-49F4-9567-787D404C76D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3F27DD9-EFD6-47BD-A851-A625AF6E41F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CA0578D-4832-44E6-B650-9A2EF92390F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4B39ED7-F409-4D31-8312-62274DA48AF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3927BB0-CBCB-4CFB-A961-54A223A1AB4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5BE9169-C445-4A5C-8D71-FA8D36EA608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709E254-8ACC-42ED-B6E3-45AD84A1CDBE}"/>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D133F320-0B84-4184-AA75-F2C640A0213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B1F278EF-01FD-44BD-BE83-B0BC62CC92C8}"/>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315936-60A6-49C2-AF3B-93AF42503F46}"/>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6DE2BB92-FD62-45CA-BC7A-19D687FF595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CEE941D-8C1E-4B6D-9C75-C110C174AFAD}"/>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C3BFB5D-78A9-497E-AC8A-07C5856EF22E}"/>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0CD9B9B2-0AB2-479C-9FB1-647C36440486}"/>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3E3945B7-3203-4DAB-A11D-4822972E8457}"/>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A3AC1C8A-6E36-4E80-8D6A-A0AB3903963A}"/>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32012CAB-943F-4192-9F0A-681DE546B8CD}"/>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937938AF-85DC-4B33-879E-0154C4747E88}"/>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AC78EF5-12E4-4698-B0B1-38BB5AB5BAD5}"/>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6EDFD254-34EC-4813-9AA0-BA604D383BCD}"/>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A8C1C9FB-3A32-46C4-B959-089ED8795082}"/>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B45F4C0-957B-493A-9FA8-C8B077CB52E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43E5DCE9-5992-4FF2-B693-F4D0879A32CF}"/>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BDAEF5E9-B40C-491A-9E51-4E5CF6FB8CCF}"/>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1C3C630-4264-4E7C-8CD6-E48A3577B65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458177F-96C7-431E-99EB-ECAD112E9372}"/>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5BABF5-7F5F-4F72-B65C-335AE266DA5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8512327-CC02-40D3-9538-9C21C498045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E77B8E4-3C98-4F6F-8CBE-0F3AC5D60D3D}"/>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49531E0-66C9-4D72-9263-0536453C238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4ACB99E-C8DC-4462-A03A-B4590F6C01B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2F33B6CE-73E8-4CFB-964D-C3B0978783D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2A87A66-C0DC-43FE-B9C5-E5CBC6BAF67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8F27C34-7E30-4B51-910F-997D895671B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D58A893A-6556-4713-8472-CBC1CB37250F}"/>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23D52BB-726E-4B99-89C6-17E70E637317}"/>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428B6FB4-A006-402E-AAAE-B5AC7C66B6E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8908DAA3-215C-4E2A-945C-C4620FF270F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74F4E6C6-4E4B-498F-9827-68C7E27FB37B}"/>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CD557B7-5431-4BDD-99B3-3AFE54108F23}"/>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CF711618-3553-496E-8500-9571FEB04E0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69EEED00-2255-4804-9A5C-AB6E07D8FD73}"/>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B6713502-339D-44A7-B7F4-C8400BBA194E}"/>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6BFE4F30-CE75-44EE-8BF6-7B6863EBB1A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A8F044B1-F9E1-4A39-9268-D0A3B4848F45}"/>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F93F310-ECC3-4156-88B7-A3DFD106F036}"/>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294FC190-A1B7-4A04-ABDD-927E34323F74}"/>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443C6F68-A78C-4DF3-B195-554E2E39BA8F}"/>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B54322F-D9FF-4F22-B173-849AE0F2FBAB}"/>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93B374C-1C45-4E6A-9689-B8E9370DD34C}"/>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AF764779-9F03-471B-8517-F50DD422AA4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8CE2B65-BD2B-44F0-9C20-A77001F7C1F4}"/>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4367647-322D-4776-B87A-F2F5F7DEDBA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B960AA8-F221-4BAA-B565-273A1F6F6C7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5AFF11D-99AF-43E4-94FD-889818C227B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8EFA502F-FD67-4496-9A78-10B5DC96F73D}"/>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B8D3FE78-1E24-49B7-9406-DEAE73AED02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6D95B567-4912-49F6-A650-BCA226004BA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A1F2DF8-975A-4A8E-A098-1CE7D79EC3B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9FB6F64-89FD-4B5D-B834-EB33698665C3}"/>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35C26681-BD29-4396-866A-A85D818C73F9}"/>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62E76A8-E536-4756-8202-B86DABAD4A3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F516931-EA4D-4BD6-BD98-016093FD2BA4}"/>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940B205-42AD-4244-B4D6-39A7090DBFD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2643D087-607F-485D-91B0-BAD17DC4E2A8}"/>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51A789C-E09D-4758-A562-558D309ACE8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5BC49DEC-A6C6-4EEF-9D20-30BF66278029}"/>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C1260544-97EC-43A8-8957-1FBB37D28B73}"/>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3C7335AD-9626-44F8-B4E7-F61FD8C320C1}"/>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1E792BDE-1D0B-494D-BD5F-2E0A76B1312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376B5290-BC5F-4A38-8FC7-D79431B9E488}"/>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F8B1AD28-58D7-4CC0-AFCA-49F13FA59189}"/>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3F7FB84F-6263-4BE6-A5D8-BC30ECB5D692}"/>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0DFCF3F-7BA6-40A1-A6F7-17AEB0AD7B87}"/>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05AECF1-A79F-4BC2-BF80-7828F0032384}"/>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51C7ED71-534E-4DEC-8BCD-1CE4CD857F13}"/>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87B67087-2DBA-4326-933E-7EE5497CFF2A}"/>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74EFB3CF-30BF-404C-BB53-B61325C25845}"/>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32622FD-150A-4C5C-9472-636C919E8B9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96ACD83-50F4-429C-AE22-D19CCA2483F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76FE093-6A9E-46B7-8FA4-94749372ABE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50DF846D-EA69-435F-BE96-306A5CDDED5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F097D52-B47B-4F9D-BD9C-3BB73F00569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F922D18C-27E9-42C8-89A0-9252E7BECE9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97A6988-0239-4932-B9D3-11DB8EA6FAC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DF412247-E593-44A9-B98F-2E96CAEE4D9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B6EC1676-D377-40F6-8E2D-2321F9366CAF}"/>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5F0FEC7-0897-4C94-8EC3-89068862C055}"/>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0A76FF9-84F7-47E5-AD2F-DC54B3550907}"/>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E0751EA-57E9-4B0C-A0C6-016512F7D47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57A19649-13BB-4B8C-B5F4-337EFECB09EA}"/>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4612F83-B2B3-4DC7-96D5-3045EA6F6011}"/>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01EFFB4-F64E-457D-A4C5-D9CBC92EA1F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2ECE7670-1CF4-4DDB-9D27-609731EF6F5B}"/>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9640FC2F-29F7-47B8-A409-601BDBEDB5AB}"/>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133DFC1D-5A01-4AA7-AC81-6AC13B2325CF}"/>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68D85D04-325E-4EC0-B778-AA111FF5115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03349C4B-6D67-4582-8CB6-6FD2848C6C66}"/>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D73C86E0-00A5-4B29-B31A-E690D0A7CB44}"/>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5ABBFC3-18F2-4D56-95AD-9060BC6E06D5}"/>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132BC7D5-62EA-4664-8297-7A8EACCBEAD1}"/>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D777B8D2-A0A8-47BF-A6B6-5FA87A1FFB66}"/>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5613E36D-BA9C-4570-A856-4C7C61782BB8}"/>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6CACC90-8208-4FCD-AB43-ABEA4B6B5F88}"/>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E60E36C-011A-4C0E-AD4F-7E051B8C1F73}"/>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FF505E4-4B48-4FB4-92DF-857E91D64C2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AF6D963-47D5-4FF3-A883-68B532D72A2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1A73B26-E8FD-42AB-A656-F770125206F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1EE4844-3FE0-46F4-A2C5-3751BC39A52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8C8BCD5-8826-434D-B385-E408B1E95CC9}"/>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0E43FB4-3A31-4E8F-B942-1B25BDCD720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8AEC52D-CC00-4206-91C5-67616612334D}"/>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E45A5A72-A723-434A-A210-7D3B5CAF36C4}"/>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34653D8D-E33D-483C-A7D5-1C3EC72BFBF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4D4339B7-86BF-4332-B357-9639AF652D7F}"/>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F7BDE59-175E-4D95-BB63-1BDF3AF4070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0744D94A-8848-4702-86F8-45C4EE142D37}"/>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F4D1F472-2DAB-4D8F-AAE5-A7330A15B099}"/>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7E99D084-D680-474E-A2C7-B48F1CC836A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208A7C0-A3AC-453B-8684-9BE61AA42D16}"/>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98CDA5F5-7CD4-4C33-956C-B0D68C18794C}"/>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72873A91-E217-4922-A98C-EF3A8790DE94}"/>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6FF999FC-C9B2-456A-AABF-31039D452627}"/>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EB92983-E16E-4B04-9464-E1001C6A126B}"/>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DF2B210E-4B2D-42C8-8BEB-8CDC5772EEAF}"/>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A826EF9C-157B-4EB0-A7F4-09BA27271247}"/>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1C279A3-E3B0-4324-8608-EB98ADB1E4BB}"/>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196AA2FB-5F3D-4148-8C7D-3D53F9608235}"/>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7CFB4F5D-E4AE-48F7-AB86-6CC9BDD58AE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8FC7F39-B8E7-4F1F-8EAB-AD3F8E5F0E5A}"/>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6EE92E4-D9B7-43B8-A087-EFCFCEFAA91F}"/>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65D75C5-FDD4-4D2F-BC01-56D37FD221B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D3F4F4-1F26-488E-862D-B5FC5FA69C8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D3EB03EF-A2E4-45A7-A32C-116251949122}"/>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9F82979-0B8E-4EE0-A969-37166A0AA14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A3CD42D-32E8-42E1-B01C-AC0CC36E699C}"/>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43E0C4F7-D0D8-4854-AB1C-106ABCF69D9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826D9F06-5862-4185-86A1-A7C8975C1566}"/>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D600A0A2-8EAC-49C4-8C63-237CB6147259}"/>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6E443AE7-7A1F-44A3-BB30-5338F1D9E5C9}"/>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780C48B6-1BE4-4AD3-9D98-D8FBA4768C36}"/>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BD23364-2C34-4673-ABB0-A628184E3C76}"/>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8D3D2773-925C-4C89-9BC8-7DC647F9B22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363020D5-AF19-4CA2-9DBE-0C59B92F4E37}"/>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DF87A982-1C55-46F2-8FA5-0BFBEF19C291}"/>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1B3155E8-CED4-4D3D-83B4-39F04A7FCFCC}"/>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FEE310BC-9260-4CD2-BF66-9247225BB60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BF3D494C-9184-4DA3-8C48-F14A7A58B35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39C9CA4E-556D-48DA-BA7D-C60CB019B9D1}"/>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3177D1B5-39C7-40ED-A59E-E2DF92ADA36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F089A688-6CFB-4FA7-B959-C9BE4F2512F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E8637D06-7E3F-47F0-82A8-96E5E0239542}"/>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A9F68AAA-CFB5-4276-997D-DC2550F46122}"/>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E2F7ABF2-7338-4D6C-A9E0-716C4684E59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C8D3E48D-ADFA-4D2C-B1E3-00A0E002AE3F}"/>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F5073F6-A5F9-458F-9525-C6BDB3E75E9F}"/>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E7E9E8A-C41C-484F-B2B8-D1C0AB21A0D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4BC3063-59CE-4E7C-871C-1EA6AA04932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7470C3A-A0F1-4ADD-831D-8DA32428164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0721E71-8AD0-4F33-9BB5-39C4C5337C4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0E4BCC5-1E9B-4FF2-92CC-516A56CE7E7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2C15009-23BD-4E26-B810-BC87FE83514A}"/>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599B988E-E536-43BC-8214-857A4C410A64}"/>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9E8B826B-2F85-48C3-BD6A-041DF34F5C5A}"/>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A3F9E1A3-1089-4951-844E-9D02ABDCDFB8}"/>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D2EE8737-A9E1-4703-B02A-BDBAF50AFED8}"/>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BCDD9B12-3A48-4ADA-821A-C09026EBDCCF}"/>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0A275D4-91C5-4FAC-86E7-D8B56BDD5DEE}"/>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AC950C5D-192F-4CF0-90BF-674C69ADC3D4}"/>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5AE8C05-E0E4-452A-9DC1-0B3593F96E2F}"/>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F2B52A1C-1D1D-4565-B77C-E565848AC15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22FAF849-729C-4494-A9B1-FB91E66AB933}"/>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7DD7CFD3-6A6E-4F1D-9CA9-1B0D9E5799F4}"/>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38A8FD8F-27B4-479C-888C-B9DF7BE7A9DA}"/>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A7D5A0C4-54B2-49F7-8548-CD384A0A387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6EA79540-5905-429A-B44F-4C52209D7355}"/>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646EC060-8E76-48D0-8B34-1210BA16DAD8}"/>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DD5AA599-B17D-4520-8B9B-565CAC56DF5E}"/>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C5F0CC4D-FFFC-422A-8593-4EFAE67BC0BC}"/>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1ED127D3-4509-4D96-A085-B9B9F4C0B11D}"/>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A160A955-E43B-446E-8F57-E1A29A0FCE21}"/>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BB3B3846-9A5A-44D1-97AB-B4FCA442C11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0EF9AED-2C3E-46E4-ADD4-41FEE8AB97B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079B4C6-6BB5-4FE1-A312-FE3839BFFD2A}"/>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91DD0E4-1894-4CAA-933C-8A1783FDAB6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34910244-9F30-419A-8108-5B784CE5232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3B1AD96-066E-4B2A-9102-7029C4B444BE}"/>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C7EB7A4-5836-4BAE-B399-7969E51FF7DD}"/>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646C4B02-8D69-485D-B5D5-F794581DD489}"/>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7D98CA39-D8CD-4714-9C3E-E173098B450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92DC5C0B-0F56-4458-8D2A-CF80E0F1F2FC}"/>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898CB65-7BF9-41BC-8DEB-39B778AEE3A3}"/>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3F400DF6-519C-4276-9FA1-73CB1ECE4BA7}"/>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818835E-3665-40EA-9085-42AE0FEF17DC}"/>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D9D31F2B-C92B-4C70-AA44-DDDAB9534785}"/>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D17A8315-D4B9-4BE7-9D0C-A20693520277}"/>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73A67401-85DA-43C3-83B0-5E6361C36D5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0BD9942-201B-4D09-B41B-51C6C1A2CB1F}"/>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F366F692-3BA9-45C7-B463-BC610999DCD1}"/>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F4C02C3C-612C-40B3-A3F5-90D9887F23A8}"/>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81BAB0F5-8589-4AC3-AC38-20C08A45874A}"/>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83A4BA46-5CD3-496D-AF80-737B0425B1B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6D0CE647-1AF2-4805-B732-FAB13A84E119}"/>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F8202589-E5BA-4886-9D7E-85D5FF229F3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2A396A8F-90DB-4AD3-B4FF-872A5F8D8D36}"/>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769A7C13-14D8-483A-BE2A-73098D618613}"/>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5004A662-10CA-4784-BE27-EC83E6892D36}"/>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96BB916-AB23-4483-8D53-1021BA0836C4}"/>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2B449A3-154C-437D-B341-3A504676E52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BAE6C05-B012-46BD-9BE1-B5229AE1A71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86BB499-00F2-46B1-8433-CEF027CAE4D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7E9972A-2F92-4A97-B34C-CECEAB53D1D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3916854-5497-455B-81B2-4599D29918B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2F94A9B-EDCB-420D-98F0-B8E5604EAA3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111BEDA2-75C8-48AA-8CD7-6E20B9BEA25F}"/>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E7DB7A7F-983F-4574-88A4-4747262CAB2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7E74576E-58E4-4A2A-9DB3-C633BC5766EE}"/>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E44EC0F3-3F0A-4B02-89CB-0D9CD0E4A05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C12E1423-A988-4007-8A3E-29B7BDA1B782}"/>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59F1AEF9-2214-4A61-9118-BECF562B3AD5}"/>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EED269CF-A766-4AEC-9785-5A8FE939181E}"/>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2274040-2C2B-48C0-9D03-1F39422404A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391CC619-E9DD-4AE9-9063-953694BDA71F}"/>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CFE80A9C-65B2-46A5-A2F8-FDADE5186C1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D60980DE-8D24-469F-8EE5-48CB6EDF46B7}"/>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59599EFE-6534-44DA-9D6C-A9E31B796A5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EDD6B683-1837-4AB6-903E-F2A2D87A3ECA}"/>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E950F50D-625D-4409-849F-91017AD31705}"/>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51910258-515F-4A1A-976A-CC9EDDA57DA7}"/>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65A5311-56F3-436C-A5A8-FA2846498481}"/>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5D52AC50-9E37-42B6-BA78-F4CBA96C57F5}"/>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C8CBFED0-70F4-44CD-8D41-F03D2E423BFB}"/>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137FEE29-A56A-4917-9B94-FB6441B3ED88}"/>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9A472A43-A986-4751-B5B3-1A3F922C939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15%20&#12304;&#22823;&#20185;&#24066;(&#24066;&#31435;&#22823;&#26354;&#30149;&#38498;)&#12305;03&#35519;&#26619;&#34920;&#65288;R4&#25244;&#26412;&#25913;&#38761;&#35519;&#2661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6%20&#12304;&#22823;&#20185;&#24066;(&#23567;&#27700;&#21147;)&#12305;03&#35519;&#26619;&#34920;&#65288;R4&#25244;&#26412;&#25913;&#38761;&#35519;&#2661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5%20&#12304;&#22823;&#20185;&#24066;(&#22826;&#38525;&#20809;)&#12305;03&#35519;&#26619;&#34920;&#65288;R4&#25244;&#26412;&#25913;&#38761;&#35519;&#2661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4&#12304;&#22823;&#20185;&#24066;(004&#32769;&#20154;&#12487;&#12452;&#12469;&#12540;&#12499;&#12473;)&#12305;03%20&#35519;&#26619;&#3108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3&#12304;&#22823;&#20185;&#24066;(003&#32769;&#20154;&#30701;&#26399;&#20837;&#25152;)&#12305;03%20&#35519;&#26619;&#3108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2&#12304;&#22823;&#20185;&#24066;(002&#32769;&#20154;&#20445;&#20581;&#26045;&#35373;)&#12305;03%20&#35519;&#26619;&#3108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1&#12304;&#22823;&#20185;&#24066;(001&#32769;&#20154;&#31119;&#31049;&#26045;&#35373;)&#12305;03%20&#35519;&#26619;&#3108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14&#12304;&#22823;&#20185;&#24066;(&#36786;&#38598;)&#12305;03%20&#35519;&#26619;&#34920;&#65288;R4&#25244;&#26412;&#25913;&#38761;&#35519;&#2661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13&#12304;&#22823;&#20185;&#24066;(&#29305;&#25490;)&#12305;03%20&#35519;&#26619;&#34920;&#65288;R4&#25244;&#26412;&#25913;&#38761;&#35519;&#266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12&#12304;&#22823;&#20185;&#24066;(&#29305;&#29872;)&#12305;03%20&#35519;&#26619;&#34920;&#65288;R4&#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11&#12304;&#22823;&#20185;&#24066;(&#20844;&#20849;)&#12305;03%20&#35519;&#26619;&#34920;&#65288;R4&#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10&#12304;&#22823;&#20185;&#24066;(&#31777;&#27700;)&#12305;03%20&#35519;&#26619;&#34920;&#65288;R4&#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9&#12304;&#22823;&#20185;&#24066;(&#19978;&#27700;)&#12305;03%20&#35519;&#26619;&#34920;&#65288;R4&#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8&#12304;&#22823;&#20185;&#24066;(&#32034;&#36947;)&#12305;03%20&#35519;&#26619;&#34920;&#65288;R4&#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09010\Desktop\&#25552;&#20986;&#12304;&#22823;&#20185;&#24066;&#12305;03%20&#35519;&#26619;&#31080;&#65288;R4&#25244;&#26412;&#25913;&#38761;&#35519;&#26619;&#65289;\07%20&#12304;&#22823;&#20185;&#24066;(&#23429;&#22320;&#36896;&#25104;)&#12305;03&#35519;&#26619;&#34920;&#65288;R4&#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病院事業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令和元年度後期から令和２年度前期にかけて、入院患者数の減少により、医業収益が減少したため、令和２年度に院内に経営改革プロジェクト会議を立ち上げその中で様々な経営改革案の検討を行った。その結果を盛り込み、短期的には令和５年度までの、長期的には令和１７年度までの目標となる市立大曲病院経営改革基本方針を令和３年３月に策定したが、その中では当病院は採算性の低い精神科の単科病院であるため、民間委託という選択肢は現実的ではなく、診療体制及び新患受付体制の改善や地域連携強化のための組織改革を行いつつ当面現行の経営体制・手法を継続することとなった。令和２年度後半から様々な対策が実を結び医業収益が大幅に回復し、令和３年度も目標値を上回ることができたが、長期的には人口減少等により入院患者層の変化等が考えられるため、今後も病院を取り巻く環境の変化に対応すべく経営改革基本方針の見直しにも柔軟に対応する予定である。</v>
          </cell>
        </row>
      </sheetData>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電気事業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真木関根小水力発電施設の発電事業は、令和元年度から事業開始し令和３年度末に経営戦略を策定したが、経営体制・手法を見直すには日が浅く、更に予算規模も少額である。そして、農業用水路を活用した再生可能エネルギーの普及・啓発のため反復的に発電事業を行うことが目的であることから現行の経営体制・手法で対応可能と考えている。</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電気事業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xml:space="preserve">収益的収支比率は117.6％と黒字となっている。FIT収入割合が100％となっているが、FIT調達期間と包括的施設リース契約期間とが、ともに20年と同じであるため、事業経営上のリスクは低いものと考えられる。現行の経営体制・手法で、健全な事業運営が実施できている。
</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介護サービス事業</v>
          </cell>
          <cell r="W18" t="str">
            <v>老人デイサービスセンター</v>
          </cell>
          <cell r="BD18" t="str">
            <v>●</v>
          </cell>
        </row>
        <row r="20">
          <cell r="F20" t="str">
            <v>老人デイサービス事業特別会計</v>
          </cell>
        </row>
        <row r="49">
          <cell r="AA49" t="str">
            <v xml:space="preserve"> </v>
          </cell>
        </row>
        <row r="50">
          <cell r="R50" t="str">
            <v>●</v>
          </cell>
          <cell r="X50" t="str">
            <v>●</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38">
          <cell r="B138" t="str">
            <v>平成17(2005)年に8市町村が合併し大仙市が出来た際に、人口対比の職員定数が課題として挙げられた。課題解決のために、福祉施設等法人化特別調査委員会を発足し、法人へ移譲、民営化を実施した。</v>
          </cell>
        </row>
        <row r="144">
          <cell r="J144" t="str">
            <v>●</v>
          </cell>
          <cell r="S144" t="str">
            <v>平成</v>
          </cell>
          <cell r="V144">
            <v>28</v>
          </cell>
        </row>
        <row r="145">
          <cell r="J145" t="str">
            <v xml:space="preserve"> </v>
          </cell>
          <cell r="V145">
            <v>4</v>
          </cell>
        </row>
        <row r="146">
          <cell r="V146">
            <v>1</v>
          </cell>
        </row>
        <row r="149">
          <cell r="E149">
            <v>5</v>
          </cell>
        </row>
        <row r="151">
          <cell r="B151" t="str">
            <v>管理運営費</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介護サービス事業</v>
          </cell>
          <cell r="W18" t="str">
            <v>老人短期入所施設</v>
          </cell>
          <cell r="BD18" t="str">
            <v>●</v>
          </cell>
        </row>
        <row r="20">
          <cell r="F20" t="str">
            <v>介護老人福祉施設介護サービス事業特別会計</v>
          </cell>
        </row>
        <row r="49">
          <cell r="AA49" t="str">
            <v xml:space="preserve"> </v>
          </cell>
        </row>
        <row r="50">
          <cell r="R50" t="str">
            <v>●</v>
          </cell>
          <cell r="X50" t="str">
            <v>●</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4">
          <cell r="G74" t="str">
            <v xml:space="preserve"> </v>
          </cell>
          <cell r="V74" t="str">
            <v xml:space="preserve"> </v>
          </cell>
        </row>
        <row r="75">
          <cell r="V75"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38">
          <cell r="B138" t="str">
            <v>平成17(2005)年に8市町村が合併し大仙市が出来た際に、人口対比の職員定数が課題として挙げられた。課題解決のために、福祉施設等法人化特別調査委員会を発足し、市立の介護保険施設４施設を法人へ移譲、民営化を実施した。</v>
          </cell>
        </row>
        <row r="144">
          <cell r="J144" t="str">
            <v>●</v>
          </cell>
          <cell r="S144" t="str">
            <v>平成</v>
          </cell>
          <cell r="V144">
            <v>23</v>
          </cell>
        </row>
        <row r="145">
          <cell r="J145" t="str">
            <v xml:space="preserve"> </v>
          </cell>
          <cell r="V145">
            <v>4</v>
          </cell>
        </row>
        <row r="146">
          <cell r="V146">
            <v>1</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介護サービス事業</v>
          </cell>
          <cell r="W18" t="str">
            <v>介護老人保健施設</v>
          </cell>
          <cell r="BD18" t="str">
            <v>●</v>
          </cell>
        </row>
        <row r="20">
          <cell r="F20" t="str">
            <v>介護老人保健施設介護サービス事業特別会計</v>
          </cell>
        </row>
        <row r="49">
          <cell r="AA49" t="str">
            <v xml:space="preserve"> </v>
          </cell>
        </row>
        <row r="50">
          <cell r="R50" t="str">
            <v>●</v>
          </cell>
          <cell r="X50" t="str">
            <v>●</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38">
          <cell r="B138" t="str">
            <v>平成17(2005)年に8市町村が合併し大仙市が出来た際に、人口対比の職員定数が課題として挙げられた。課題解決のために、福祉施設等法人化特別調査委員会を発足し、市立の介護保険施設２施設を法人へ移譲、民営化を実施した。</v>
          </cell>
        </row>
        <row r="144">
          <cell r="J144" t="str">
            <v>●</v>
          </cell>
          <cell r="S144" t="str">
            <v>平成</v>
          </cell>
          <cell r="V144">
            <v>24</v>
          </cell>
        </row>
        <row r="145">
          <cell r="J145" t="str">
            <v xml:space="preserve"> </v>
          </cell>
          <cell r="V145">
            <v>4</v>
          </cell>
        </row>
        <row r="146">
          <cell r="V146">
            <v>1</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介護サービス事業</v>
          </cell>
          <cell r="W18" t="str">
            <v>指定介護老人福祉施設</v>
          </cell>
          <cell r="BD18" t="str">
            <v>●</v>
          </cell>
        </row>
        <row r="20">
          <cell r="F20" t="str">
            <v>介護老人福祉施設介護サービス事業特別会計</v>
          </cell>
        </row>
        <row r="49">
          <cell r="AA49" t="str">
            <v xml:space="preserve"> </v>
          </cell>
        </row>
        <row r="50">
          <cell r="R50" t="str">
            <v>●</v>
          </cell>
          <cell r="X50" t="str">
            <v>●</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38">
          <cell r="B138" t="str">
            <v>平成17(2005)年に8市町村が合併し大仙市が出来た際に、人口対比の職員定数が課題として挙げられた。課題解決のために、福祉施設等法人化特別調査委員会を発足し、市立の介護保険施設を法人へ移譲、民営化を実施した。</v>
          </cell>
        </row>
        <row r="144">
          <cell r="J144" t="str">
            <v>●</v>
          </cell>
          <cell r="S144" t="str">
            <v>平成</v>
          </cell>
          <cell r="V144">
            <v>23</v>
          </cell>
        </row>
        <row r="145">
          <cell r="J145" t="str">
            <v xml:space="preserve"> </v>
          </cell>
          <cell r="V145">
            <v>4</v>
          </cell>
        </row>
        <row r="146">
          <cell r="V146">
            <v>1</v>
          </cell>
        </row>
        <row r="149">
          <cell r="E149">
            <v>35</v>
          </cell>
        </row>
        <row r="151">
          <cell r="B151" t="str">
            <v>人件費</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下水道事業</v>
          </cell>
          <cell r="W18" t="str">
            <v>農業集落排水施設</v>
          </cell>
          <cell r="BD18" t="str">
            <v>×</v>
          </cell>
        </row>
        <row r="20">
          <cell r="F20" t="str">
            <v>ー</v>
          </cell>
        </row>
        <row r="49">
          <cell r="R49" t="str">
            <v>●</v>
          </cell>
          <cell r="X49" t="str">
            <v>●</v>
          </cell>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t="str">
            <v>　　令和２年度に流域下水道への接続工事を発注し、薬師・払田・福田の３処理場は接続を完了した。令和４年度は神岡東部地域の接続工事を予定している。</v>
          </cell>
        </row>
        <row r="73">
          <cell r="G73" t="str">
            <v xml:space="preserve"> </v>
          </cell>
          <cell r="S73" t="str">
            <v>令和</v>
          </cell>
          <cell r="V73">
            <v>2</v>
          </cell>
        </row>
        <row r="74">
          <cell r="G74" t="str">
            <v>●</v>
          </cell>
          <cell r="V74">
            <v>4</v>
          </cell>
        </row>
        <row r="75">
          <cell r="V75">
            <v>1</v>
          </cell>
        </row>
        <row r="79">
          <cell r="O79" t="str">
            <v xml:space="preserve"> </v>
          </cell>
          <cell r="AG79" t="str">
            <v>●</v>
          </cell>
        </row>
        <row r="80">
          <cell r="O80" t="str">
            <v xml:space="preserve"> </v>
          </cell>
          <cell r="AG80" t="str">
            <v xml:space="preserve"> </v>
          </cell>
        </row>
        <row r="81">
          <cell r="O81" t="str">
            <v xml:space="preserve"> </v>
          </cell>
        </row>
        <row r="82">
          <cell r="O82" t="str">
            <v xml:space="preserve"> </v>
          </cell>
        </row>
        <row r="85">
          <cell r="E85" t="str">
            <v>―</v>
          </cell>
        </row>
        <row r="87">
          <cell r="B87" t="str">
            <v>　現時点では、効果額よりも接続に伴う負担金の支出が上回っている状態である。しかし今後は処理場の維持管理費等が不要になるため、長期的視点では費用の削減が見込まれる。</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下水道事業</v>
          </cell>
          <cell r="W18" t="str">
            <v>特定地域排水処理施設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現在、当市において、特定地域排水処理施設の事業については完了しており、市町村設置型の浄化槽の維持管理を行っている。健全な事業運営が実施できているため現行の経営体制・手法で継続していく予定である。</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下水道事業</v>
          </cell>
          <cell r="W18" t="str">
            <v>特定環境保全公共下水道</v>
          </cell>
          <cell r="BD18" t="str">
            <v>×</v>
          </cell>
        </row>
        <row r="20">
          <cell r="F20" t="str">
            <v>ー</v>
          </cell>
        </row>
        <row r="49">
          <cell r="AA49" t="str">
            <v xml:space="preserve"> </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v>
          </cell>
        </row>
        <row r="329">
          <cell r="N329" t="str">
            <v xml:space="preserve"> </v>
          </cell>
        </row>
        <row r="330">
          <cell r="N330" t="str">
            <v xml:space="preserve"> </v>
          </cell>
        </row>
        <row r="335">
          <cell r="B335" t="str">
            <v>令和</v>
          </cell>
          <cell r="E335">
            <v>5</v>
          </cell>
        </row>
        <row r="336">
          <cell r="E336">
            <v>4</v>
          </cell>
        </row>
        <row r="337">
          <cell r="E337">
            <v>1</v>
          </cell>
        </row>
        <row r="344">
          <cell r="E344" t="str">
            <v>―</v>
          </cell>
        </row>
        <row r="346">
          <cell r="B346" t="str">
            <v>不明</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下水道事業</v>
          </cell>
          <cell r="W18" t="str">
            <v>公共下水道</v>
          </cell>
          <cell r="BD18" t="str">
            <v>×</v>
          </cell>
        </row>
        <row r="20">
          <cell r="F20" t="str">
            <v>ー</v>
          </cell>
        </row>
        <row r="49">
          <cell r="AA49" t="str">
            <v xml:space="preserve"> </v>
          </cell>
        </row>
        <row r="50">
          <cell r="X50" t="str">
            <v xml:space="preserve"> </v>
          </cell>
          <cell r="AD50" t="str">
            <v xml:space="preserve"> </v>
          </cell>
        </row>
        <row r="51">
          <cell r="R51" t="str">
            <v>●</v>
          </cell>
          <cell r="AA51" t="str">
            <v>●</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75">
          <cell r="B275" t="str">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v>
          </cell>
        </row>
        <row r="329">
          <cell r="N329" t="str">
            <v xml:space="preserve"> </v>
          </cell>
        </row>
        <row r="330">
          <cell r="N330" t="str">
            <v xml:space="preserve"> </v>
          </cell>
        </row>
        <row r="335">
          <cell r="B335" t="str">
            <v>令和</v>
          </cell>
          <cell r="E335">
            <v>5</v>
          </cell>
        </row>
        <row r="336">
          <cell r="E336">
            <v>4</v>
          </cell>
        </row>
        <row r="337">
          <cell r="E337">
            <v>1</v>
          </cell>
        </row>
        <row r="344">
          <cell r="E344" t="str">
            <v>－</v>
          </cell>
        </row>
        <row r="346">
          <cell r="B346" t="str">
            <v>不明</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簡易水道事業</v>
          </cell>
          <cell r="W18" t="str">
            <v>―</v>
          </cell>
          <cell r="BD18" t="str">
            <v>×</v>
          </cell>
        </row>
        <row r="20">
          <cell r="F20" t="str">
            <v>ー</v>
          </cell>
        </row>
        <row r="49">
          <cell r="AA49" t="str">
            <v xml:space="preserve"> </v>
          </cell>
        </row>
        <row r="50">
          <cell r="X50" t="str">
            <v xml:space="preserve"> </v>
          </cell>
          <cell r="AD50" t="str">
            <v xml:space="preserve"> </v>
          </cell>
        </row>
        <row r="51">
          <cell r="R51" t="str">
            <v>●</v>
          </cell>
          <cell r="AA51" t="str">
            <v xml:space="preserve"> </v>
          </cell>
          <cell r="AD51" t="str">
            <v>●</v>
          </cell>
        </row>
        <row r="52">
          <cell r="AA52" t="str">
            <v xml:space="preserve"> </v>
          </cell>
          <cell r="AD52" t="str">
            <v xml:space="preserve"> </v>
          </cell>
        </row>
        <row r="53">
          <cell r="R53" t="str">
            <v>●</v>
          </cell>
          <cell r="X53" t="str">
            <v xml:space="preserve"> </v>
          </cell>
          <cell r="AA53" t="str">
            <v xml:space="preserve"> </v>
          </cell>
          <cell r="AD53" t="str">
            <v>●</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54">
          <cell r="B354" t="str">
            <v>令和４年１月１９日に「秋田県水道広域化推進プラン策定に係る説明会（仙北圏域・雄平圏域）」に参加。事務局（県）と各市町村で広域化推進に向けたプラン策定について検討を進めている。本プランの目的は、「効果的と思われる広域化手法を絞り込む」ことである。（本プランの検討は、「広域化ありき」で進めるものではない。）</v>
          </cell>
        </row>
        <row r="360">
          <cell r="B360" t="str">
            <v>これまでに現状や将来見通しを把握し、各市町村と状況を共有している。現在は、分析結果や意見等を基に広域化シミュレーションパターンの設定を検討している。今後は、得られたシミュレーション結果から推進方針を決定していく。</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486">
          <cell r="B486" t="str">
            <v>水道局が抱える課題として、①職員の技術継承、②老朽施設の更新や、適正規模での施設統廃合などが挙げられ、「大仙市水道施設運転管理等包括業務委託」の検討委員会を設置した。</v>
          </cell>
        </row>
        <row r="492">
          <cell r="B492" t="str">
            <v>発注支援業務委託により、現況把握（施設の特徴、修繕履歴、現状の課題等の確認）、事業費の算出、プロポーザル実施支援について、検討・協議を重ねている。今後は先進地視察を実施予定である。包括業務を委託した際に生じる収支ギャップにどのように対応していくかを課題としている。</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水道事業</v>
          </cell>
          <cell r="W18" t="str">
            <v>―</v>
          </cell>
          <cell r="BD18" t="str">
            <v>×</v>
          </cell>
        </row>
        <row r="20">
          <cell r="F20" t="str">
            <v>ー</v>
          </cell>
        </row>
        <row r="49">
          <cell r="AA49" t="str">
            <v xml:space="preserve"> </v>
          </cell>
        </row>
        <row r="50">
          <cell r="X50" t="str">
            <v xml:space="preserve"> </v>
          </cell>
          <cell r="AD50" t="str">
            <v xml:space="preserve"> </v>
          </cell>
        </row>
        <row r="51">
          <cell r="R51" t="str">
            <v>●</v>
          </cell>
          <cell r="AA51" t="str">
            <v xml:space="preserve"> </v>
          </cell>
          <cell r="AD51" t="str">
            <v>●</v>
          </cell>
        </row>
        <row r="52">
          <cell r="AA52" t="str">
            <v xml:space="preserve"> </v>
          </cell>
          <cell r="AD52" t="str">
            <v xml:space="preserve"> </v>
          </cell>
        </row>
        <row r="53">
          <cell r="R53" t="str">
            <v>●</v>
          </cell>
          <cell r="X53" t="str">
            <v xml:space="preserve"> </v>
          </cell>
          <cell r="AA53" t="str">
            <v xml:space="preserve"> </v>
          </cell>
          <cell r="AD53" t="str">
            <v>●</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54">
          <cell r="B354" t="str">
            <v>令和４年１月１９日に「秋田県水道広域化推進プラン策定に係る説明会（仙北圏域・雄平圏域）」に参加。事務局（県）と各市町村で広域化推進に向けたプラン策定について検討を進めている。本プランの目的は、「効果的と思われる広域化手法を絞り込む」ことである。（本プランの検討は、「広域化ありき」で進めるものではない。）</v>
          </cell>
        </row>
        <row r="360">
          <cell r="B360" t="str">
            <v>これまでに現状や将来見通しを把握し、各市町村と状況を共有している。現在は、分析結果や意見等を基に広域化シミュレーションパターンの設定を検討している。今後は、得られたシミュレーション結果から推進方針を決定していく。</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486">
          <cell r="B486" t="str">
            <v>水道局が抱える課題として、①職員の技術継承、②老朽施設の更新や、適正規模での施設統廃合などが挙げられ、「大仙市水道施設運転管理等包括業務委託」の検討委員会を設置した。</v>
          </cell>
        </row>
        <row r="492">
          <cell r="B492" t="str">
            <v>発注支援業務委託により、現況把握（施設の特徴、修繕履歴、現状の課題等の確認）、事業費の算出、プロポーザル実施支援について、検討・協議を重ねている。今後は先進地視察を実施予定である。包括業務を委託した際に生じる収支ギャップにどのように対応していくかを課題としている。</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観光施設事業</v>
          </cell>
          <cell r="W18" t="str">
            <v>索道</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　利用者ニーズに応えるべく、民間ノウハウを活用しより良いサービスの提供を行っている。市との連携により、適正な施設の維持管理及び運営を行っている。</v>
          </cell>
        </row>
        <row r="377">
          <cell r="G377" t="str">
            <v xml:space="preserve"> </v>
          </cell>
          <cell r="U377" t="str">
            <v>平成</v>
          </cell>
          <cell r="X377">
            <v>23</v>
          </cell>
        </row>
        <row r="378">
          <cell r="G378" t="str">
            <v>●</v>
          </cell>
          <cell r="X378">
            <v>12</v>
          </cell>
        </row>
        <row r="379">
          <cell r="X379">
            <v>1</v>
          </cell>
        </row>
        <row r="386">
          <cell r="E386" t="str">
            <v>-</v>
          </cell>
        </row>
        <row r="388">
          <cell r="B388" t="str">
            <v>索道事業については、索道統括安全管理者や索道技術管理者の設置が必要である。当市は３スキー場を保有しており、技術者の確保という面からも指定管理者制度の導入が適している。</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大仙市</v>
          </cell>
        </row>
        <row r="18">
          <cell r="F18" t="str">
            <v>宅地造成事業</v>
          </cell>
          <cell r="W18" t="str">
            <v>その他造成</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本事業は、市外等からの企業を誘致するために団地を整備し、完成後は、原則、原価主義による販売単価で売却するため、収支均衡で歳入・支出とも限定的であり、現行の経営体制・手法で事業運営が実施できる見込みであるため。なお、令和３年度末で第１期は完成した為、令和４年度から売却予定である。
　また、今後も事業者等のニーズを踏まえ造成工事を進める予定としており、財源については原則、事業者等への売却益を充当する予定である。</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827-AE5E-42B8-ADB5-2FB253FA14DB}">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IF(COUNTIF([1]回答表!K16,"*")&gt;0,[1]回答表!K16,"")</f>
        <v>大仙市</v>
      </c>
      <c r="D11" s="8"/>
      <c r="E11" s="8"/>
      <c r="F11" s="8"/>
      <c r="G11" s="8"/>
      <c r="H11" s="8"/>
      <c r="I11" s="8"/>
      <c r="J11" s="8"/>
      <c r="K11" s="8"/>
      <c r="L11" s="8"/>
      <c r="M11" s="8"/>
      <c r="N11" s="8"/>
      <c r="O11" s="8"/>
      <c r="P11" s="8"/>
      <c r="Q11" s="8"/>
      <c r="R11" s="8"/>
      <c r="S11" s="8"/>
      <c r="T11" s="8"/>
      <c r="U11" s="22" t="str">
        <f>IF(COUNTIF([1]回答表!F18,"*")&gt;0,[1]回答表!F18,"")</f>
        <v>病院事業</v>
      </c>
      <c r="V11" s="23"/>
      <c r="W11" s="23"/>
      <c r="X11" s="23"/>
      <c r="Y11" s="23"/>
      <c r="Z11" s="23"/>
      <c r="AA11" s="23"/>
      <c r="AB11" s="23"/>
      <c r="AC11" s="23"/>
      <c r="AD11" s="23"/>
      <c r="AE11" s="23"/>
      <c r="AF11" s="10"/>
      <c r="AG11" s="10"/>
      <c r="AH11" s="10"/>
      <c r="AI11" s="10"/>
      <c r="AJ11" s="10"/>
      <c r="AK11" s="10"/>
      <c r="AL11" s="10"/>
      <c r="AM11" s="10"/>
      <c r="AN11" s="11"/>
      <c r="AO11" s="24" t="str">
        <f>IF(COUNTIF([1]回答表!W18,"*")&gt;0,[1]回答表!W18,"")</f>
        <v>―</v>
      </c>
      <c r="AP11" s="10"/>
      <c r="AQ11" s="10"/>
      <c r="AR11" s="10"/>
      <c r="AS11" s="10"/>
      <c r="AT11" s="10"/>
      <c r="AU11" s="10"/>
      <c r="AV11" s="10"/>
      <c r="AW11" s="10"/>
      <c r="AX11" s="10"/>
      <c r="AY11" s="10"/>
      <c r="AZ11" s="10"/>
      <c r="BA11" s="10"/>
      <c r="BB11" s="10"/>
      <c r="BC11" s="10"/>
      <c r="BD11" s="10"/>
      <c r="BE11" s="10"/>
      <c r="BF11" s="11"/>
      <c r="BG11" s="21" t="str">
        <f>IF(COUNTIF([1]回答表!F20,"*")&gt;0,[1]回答表!F20,"")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IF([1]回答表!R49="●","●","")</f>
        <v/>
      </c>
      <c r="E24" s="80"/>
      <c r="F24" s="80"/>
      <c r="G24" s="80"/>
      <c r="H24" s="80"/>
      <c r="I24" s="80"/>
      <c r="J24" s="81"/>
      <c r="K24" s="79" t="str">
        <f>IF([1]回答表!R50="●","●","")</f>
        <v/>
      </c>
      <c r="L24" s="80"/>
      <c r="M24" s="80"/>
      <c r="N24" s="80"/>
      <c r="O24" s="80"/>
      <c r="P24" s="80"/>
      <c r="Q24" s="81"/>
      <c r="R24" s="79" t="str">
        <f>IF([1]回答表!R51="●","●","")</f>
        <v/>
      </c>
      <c r="S24" s="80"/>
      <c r="T24" s="80"/>
      <c r="U24" s="80"/>
      <c r="V24" s="80"/>
      <c r="W24" s="80"/>
      <c r="X24" s="81"/>
      <c r="Y24" s="79" t="str">
        <f>IF([1]回答表!R52="●","●","")</f>
        <v/>
      </c>
      <c r="Z24" s="80"/>
      <c r="AA24" s="80"/>
      <c r="AB24" s="80"/>
      <c r="AC24" s="80"/>
      <c r="AD24" s="80"/>
      <c r="AE24" s="81"/>
      <c r="AF24" s="79" t="str">
        <f>IF([1]回答表!R53="●","●","")</f>
        <v/>
      </c>
      <c r="AG24" s="80"/>
      <c r="AH24" s="80"/>
      <c r="AI24" s="80"/>
      <c r="AJ24" s="80"/>
      <c r="AK24" s="80"/>
      <c r="AL24" s="81"/>
      <c r="AM24" s="79" t="str">
        <f>IF([1]回答表!R54="●","●","")</f>
        <v/>
      </c>
      <c r="AN24" s="80"/>
      <c r="AO24" s="80"/>
      <c r="AP24" s="80"/>
      <c r="AQ24" s="80"/>
      <c r="AR24" s="80"/>
      <c r="AS24" s="81"/>
      <c r="AT24" s="79" t="str">
        <f>IF([1]回答表!R55="●","●","")</f>
        <v/>
      </c>
      <c r="AU24" s="80"/>
      <c r="AV24" s="80"/>
      <c r="AW24" s="80"/>
      <c r="AX24" s="80"/>
      <c r="AY24" s="80"/>
      <c r="AZ24" s="81"/>
      <c r="BA24" s="68"/>
      <c r="BB24" s="82" t="str">
        <f>IF([1]回答表!R56="●","●","")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IF([1]回答表!X49="●","●","")</f>
        <v/>
      </c>
      <c r="O36" s="131"/>
      <c r="P36" s="131"/>
      <c r="Q36" s="132"/>
      <c r="R36" s="119"/>
      <c r="S36" s="119"/>
      <c r="T36" s="119"/>
      <c r="U36" s="133" t="str">
        <f>IF([1]回答表!X49="●",[1]回答表!B67,IF([1]回答表!AA49="●",[1]回答表!B95,""))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IF([1]回答表!X49="●",[1]回答表!S73,IF([1]回答表!AA49="●",[1]回答表!S101,""))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IF([1]回答表!X49="●",[1]回答表!G73,IF([1]回答表!AA49="●",[1]回答表!G101,""))</f>
        <v/>
      </c>
      <c r="AN38" s="83"/>
      <c r="AO38" s="83"/>
      <c r="AP38" s="83"/>
      <c r="AQ38" s="83"/>
      <c r="AR38" s="83"/>
      <c r="AS38" s="83"/>
      <c r="AT38" s="153"/>
      <c r="AU38" s="82" t="str">
        <f>IF([1]回答表!X49="●",[1]回答表!G74,IF([1]回答表!AA49="●",[1]回答表!G102,""))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IF([1]回答表!X49="●",[1]回答表!V73,IF([1]回答表!AA49="●",[1]回答表!V101,""))</f>
        <v/>
      </c>
      <c r="BG39" s="16"/>
      <c r="BH39" s="16"/>
      <c r="BI39" s="17"/>
      <c r="BJ39" s="150" t="str">
        <f>IF([1]回答表!X49="●",[1]回答表!V74,IF([1]回答表!AA49="●",[1]回答表!V102,""))</f>
        <v/>
      </c>
      <c r="BK39" s="16"/>
      <c r="BL39" s="16"/>
      <c r="BM39" s="17"/>
      <c r="BN39" s="150" t="str">
        <f>IF([1]回答表!X49="●",[1]回答表!V75,IF([1]回答表!AA49="●",[1]回答表!V103,""))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IF([1]回答表!X49="●",[1]回答表!O79,IF([1]回答表!AA49="●",[1]回答表!O107,""))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IF([1]回答表!X49="●",[1]回答表!O80,IF([1]回答表!AA49="●",[1]回答表!O108,""))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IF([1]回答表!X49="●",[1]回答表!O81,IF([1]回答表!AA49="●",[1]回答表!O109,""))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IF([1]回答表!X49="●",[1]回答表!O82,IF([1]回答表!AA49="●",[1]回答表!O110,""))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IF([1]回答表!X49="●",[1]回答表!AG79,IF([1]回答表!AA49="●",[1]回答表!AG107,""))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IF([1]回答表!X49="●",[1]回答表!AG80,IF([1]回答表!AA49="●",[1]回答表!AG108,""))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IF([1]回答表!X49="●",[1]回答表!E85,IF([1]回答表!AA49="●",[1]回答表!E113,""))</f>
        <v/>
      </c>
      <c r="V50" s="182"/>
      <c r="W50" s="182"/>
      <c r="X50" s="182"/>
      <c r="Y50" s="182"/>
      <c r="Z50" s="182"/>
      <c r="AA50" s="182"/>
      <c r="AB50" s="182"/>
      <c r="AC50" s="182"/>
      <c r="AD50" s="182"/>
      <c r="AE50" s="183" t="s">
        <v>33</v>
      </c>
      <c r="AF50" s="183"/>
      <c r="AG50" s="183"/>
      <c r="AH50" s="183"/>
      <c r="AI50" s="183"/>
      <c r="AJ50" s="184"/>
      <c r="AK50" s="136"/>
      <c r="AL50" s="136"/>
      <c r="AM50" s="133" t="str">
        <f>IF([1]回答表!X49="●",[1]回答表!B87,IF([1]回答表!AA49="●",[1]回答表!B115,""))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IF([1]回答表!AD49="●","●","")</f>
        <v/>
      </c>
      <c r="O57" s="131"/>
      <c r="P57" s="131"/>
      <c r="Q57" s="132"/>
      <c r="R57" s="119"/>
      <c r="S57" s="119"/>
      <c r="T57" s="119"/>
      <c r="U57" s="133" t="str">
        <f>IF([1]回答表!AD49="●",[1]回答表!B123,"")</f>
        <v/>
      </c>
      <c r="V57" s="134"/>
      <c r="W57" s="134"/>
      <c r="X57" s="134"/>
      <c r="Y57" s="134"/>
      <c r="Z57" s="134"/>
      <c r="AA57" s="134"/>
      <c r="AB57" s="134"/>
      <c r="AC57" s="134"/>
      <c r="AD57" s="134"/>
      <c r="AE57" s="134"/>
      <c r="AF57" s="134"/>
      <c r="AG57" s="134"/>
      <c r="AH57" s="134"/>
      <c r="AI57" s="134"/>
      <c r="AJ57" s="135"/>
      <c r="AK57" s="189"/>
      <c r="AL57" s="189"/>
      <c r="AM57" s="133" t="str">
        <f>IF([1]回答表!AD49="●",[1]回答表!B128,"")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IF([1]回答表!X50="●","●","")</f>
        <v/>
      </c>
      <c r="O68" s="131"/>
      <c r="P68" s="131"/>
      <c r="Q68" s="132"/>
      <c r="R68" s="119"/>
      <c r="S68" s="119"/>
      <c r="T68" s="119"/>
      <c r="U68" s="133" t="str">
        <f>IF([1]回答表!X50="●",[1]回答表!B138,IF([1]回答表!AA50="●",[1]回答表!B159,""))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IF([1]回答表!X50="●",[1]回答表!S144,IF([1]回答表!AA50="●",[1]回答表!S165,""))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IF([1]回答表!X50="●",[1]回答表!J144,IF([1]回答表!AA50="●",[1]回答表!J165,""))</f>
        <v/>
      </c>
      <c r="AN71" s="83"/>
      <c r="AO71" s="83"/>
      <c r="AP71" s="83"/>
      <c r="AQ71" s="83"/>
      <c r="AR71" s="83"/>
      <c r="AS71" s="83"/>
      <c r="AT71" s="153"/>
      <c r="AU71" s="82" t="str">
        <f>IF([1]回答表!X50="●",[1]回答表!J145,IF([1]回答表!AA50="●",[1]回答表!J166,""))</f>
        <v/>
      </c>
      <c r="AV71" s="83"/>
      <c r="AW71" s="83"/>
      <c r="AX71" s="83"/>
      <c r="AY71" s="83"/>
      <c r="AZ71" s="83"/>
      <c r="BA71" s="83"/>
      <c r="BB71" s="153"/>
      <c r="BC71" s="120"/>
      <c r="BD71" s="109"/>
      <c r="BE71" s="109"/>
      <c r="BF71" s="150" t="str">
        <f>IF([1]回答表!X50="●",[1]回答表!V144,IF([1]回答表!AA50="●",[1]回答表!V165,""))</f>
        <v/>
      </c>
      <c r="BG71" s="151"/>
      <c r="BH71" s="151"/>
      <c r="BI71" s="151"/>
      <c r="BJ71" s="150" t="str">
        <f>IF([1]回答表!X50="●",[1]回答表!V145,IF([1]回答表!AA50="●",[1]回答表!V166,""))</f>
        <v/>
      </c>
      <c r="BK71" s="151"/>
      <c r="BL71" s="151"/>
      <c r="BM71" s="151"/>
      <c r="BN71" s="150" t="str">
        <f>IF([1]回答表!X50="●",[1]回答表!V146,IF([1]回答表!AA50="●",[1]回答表!V167,""))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IF([1]回答表!X50="●",[1]回答表!E149,IF([1]回答表!AA50="●",[1]回答表!E170,""))</f>
        <v/>
      </c>
      <c r="V80" s="182"/>
      <c r="W80" s="182"/>
      <c r="X80" s="182"/>
      <c r="Y80" s="182"/>
      <c r="Z80" s="182"/>
      <c r="AA80" s="182"/>
      <c r="AB80" s="182"/>
      <c r="AC80" s="182"/>
      <c r="AD80" s="182"/>
      <c r="AE80" s="183" t="s">
        <v>33</v>
      </c>
      <c r="AF80" s="183"/>
      <c r="AG80" s="183"/>
      <c r="AH80" s="183"/>
      <c r="AI80" s="183"/>
      <c r="AJ80" s="184"/>
      <c r="AK80" s="136"/>
      <c r="AL80" s="136"/>
      <c r="AM80" s="133" t="str">
        <f>IF([1]回答表!X50="●",[1]回答表!B151,IF([1]回答表!AA50="●",[1]回答表!B172,""))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IF([1]回答表!AD50="●","●","")</f>
        <v/>
      </c>
      <c r="O87" s="131"/>
      <c r="P87" s="131"/>
      <c r="Q87" s="132"/>
      <c r="R87" s="119"/>
      <c r="S87" s="119"/>
      <c r="T87" s="119"/>
      <c r="U87" s="133" t="str">
        <f>IF([1]回答表!AD50="●",[1]回答表!B180,"")</f>
        <v/>
      </c>
      <c r="V87" s="134"/>
      <c r="W87" s="134"/>
      <c r="X87" s="134"/>
      <c r="Y87" s="134"/>
      <c r="Z87" s="134"/>
      <c r="AA87" s="134"/>
      <c r="AB87" s="134"/>
      <c r="AC87" s="134"/>
      <c r="AD87" s="134"/>
      <c r="AE87" s="134"/>
      <c r="AF87" s="134"/>
      <c r="AG87" s="134"/>
      <c r="AH87" s="134"/>
      <c r="AI87" s="134"/>
      <c r="AJ87" s="135"/>
      <c r="AK87" s="189"/>
      <c r="AL87" s="189"/>
      <c r="AM87" s="133" t="str">
        <f>IF([1]回答表!AD50="●",[1]回答表!B186,"")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IF([1]回答表!F18="水道事業",IF([1]回答表!X51="●","●",""),"")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IF([1]回答表!F18="水道事業",IF([1]回答表!X51="●",[1]回答表!B197,IF([1]回答表!AA51="●",[1]回答表!B275,"")),"")</f>
        <v/>
      </c>
      <c r="AN99" s="134"/>
      <c r="AO99" s="134"/>
      <c r="AP99" s="134"/>
      <c r="AQ99" s="134"/>
      <c r="AR99" s="134"/>
      <c r="AS99" s="134"/>
      <c r="AT99" s="134"/>
      <c r="AU99" s="134"/>
      <c r="AV99" s="134"/>
      <c r="AW99" s="134"/>
      <c r="AX99" s="134"/>
      <c r="AY99" s="134"/>
      <c r="AZ99" s="134"/>
      <c r="BA99" s="134"/>
      <c r="BB99" s="134"/>
      <c r="BC99" s="135"/>
      <c r="BD99" s="109"/>
      <c r="BE99" s="109"/>
      <c r="BF99" s="138" t="str">
        <f>IF([1]回答表!F18="水道事業",IF([1]回答表!X51="●",[1]回答表!B256,IF([1]回答表!AA51="●",[1]回答表!B335,"")),"")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IF([1]回答表!F18="水道事業",IF([1]回答表!X51="●",[1]回答表!J205,IF([1]回答表!AA51="●",[1]回答表!J283,"")),"")</f>
        <v/>
      </c>
      <c r="V101" s="83"/>
      <c r="W101" s="83"/>
      <c r="X101" s="83"/>
      <c r="Y101" s="83"/>
      <c r="Z101" s="83"/>
      <c r="AA101" s="83"/>
      <c r="AB101" s="153"/>
      <c r="AC101" s="82" t="str">
        <f>IF([1]回答表!F18="水道事業",IF([1]回答表!X51="●",[1]回答表!J210,IF([1]回答表!AA51="●",[1]回答表!J290,"")),"")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IF([1]回答表!F18="水道事業",IF([1]回答表!X51="●",[1]回答表!E256,IF([1]回答表!AA51="●",[1]回答表!E335,"")),"")</f>
        <v/>
      </c>
      <c r="BG102" s="151"/>
      <c r="BH102" s="151"/>
      <c r="BI102" s="151"/>
      <c r="BJ102" s="150" t="str">
        <f>IF([1]回答表!F18="水道事業",IF([1]回答表!X51="●",[1]回答表!E257,IF([1]回答表!AA51="●",[1]回答表!E336,"")),"")</f>
        <v/>
      </c>
      <c r="BK102" s="151"/>
      <c r="BL102" s="151"/>
      <c r="BM102" s="151"/>
      <c r="BN102" s="150" t="str">
        <f>IF([1]回答表!F18="水道事業",IF([1]回答表!X51="●",[1]回答表!E258,IF([1]回答表!AA51="●",[1]回答表!E337,"")),"")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IF([1]回答表!F18="水道事業",IF([1]回答表!AA51="●","●",""),"")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IF([1]回答表!F18="水道事業",IF([1]回答表!X51="●",[1]回答表!J213,IF([1]回答表!AA51="●",[1]回答表!J293,"")),"")</f>
        <v/>
      </c>
      <c r="V106" s="83"/>
      <c r="W106" s="83"/>
      <c r="X106" s="83"/>
      <c r="Y106" s="83"/>
      <c r="Z106" s="83"/>
      <c r="AA106" s="83"/>
      <c r="AB106" s="153"/>
      <c r="AC106" s="82" t="str">
        <f>IF([1]回答表!F18="水道事業",IF([1]回答表!X51="●",[1]回答表!J217,IF([1]回答表!AA51="●",[1]回答表!J297,"")),"")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IF([1]回答表!F18="水道事業",IF([1]回答表!X51="●",[1]回答表!E265,IF([1]回答表!AA51="●",[1]回答表!E344,"")),"")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IF([1]回答表!F18="水道事業",IF([1]回答表!X51="●",[1]回答表!B267,IF([1]回答表!AA51="●",[1]回答表!B346,"")),"")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IF([1]回答表!F18="水道事業",IF([1]回答表!AD51="●","●",""),"")</f>
        <v/>
      </c>
      <c r="O118" s="131"/>
      <c r="P118" s="131"/>
      <c r="Q118" s="132"/>
      <c r="R118" s="119"/>
      <c r="S118" s="119"/>
      <c r="T118" s="119"/>
      <c r="U118" s="133" t="str">
        <f>IF([1]回答表!F18="水道事業",IF([1]回答表!AD51="●",[1]回答表!B354,""),"")</f>
        <v/>
      </c>
      <c r="V118" s="134"/>
      <c r="W118" s="134"/>
      <c r="X118" s="134"/>
      <c r="Y118" s="134"/>
      <c r="Z118" s="134"/>
      <c r="AA118" s="134"/>
      <c r="AB118" s="134"/>
      <c r="AC118" s="134"/>
      <c r="AD118" s="134"/>
      <c r="AE118" s="134"/>
      <c r="AF118" s="134"/>
      <c r="AG118" s="134"/>
      <c r="AH118" s="134"/>
      <c r="AI118" s="134"/>
      <c r="AJ118" s="135"/>
      <c r="AK118" s="189"/>
      <c r="AL118" s="189"/>
      <c r="AM118" s="133" t="str">
        <f>IF([1]回答表!F18="水道事業",IF([1]回答表!AD51="●",[1]回答表!B360,""),"")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IF([1]回答表!F18="簡易水道事業",IF([1]回答表!X51="●",[1]回答表!B197,IF([1]回答表!AA51="●",[1]回答表!B275,"")),"")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IF([1]回答表!F18="簡易水道事業",IF([1]回答表!X51="●",[1]回答表!B256,IF([1]回答表!AA51="●",[1]回答表!B335,"")),"")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IF([1]回答表!F18="簡易水道事業",IF([1]回答表!X51="●","●",""),"")</f>
        <v/>
      </c>
      <c r="O132" s="131"/>
      <c r="P132" s="131"/>
      <c r="Q132" s="132"/>
      <c r="R132" s="119"/>
      <c r="S132" s="119"/>
      <c r="T132" s="119"/>
      <c r="U132" s="82" t="str">
        <f>IF([1]回答表!F18="簡易水道事業",IF([1]回答表!X51="●",[1]回答表!S224,IF([1]回答表!AA51="●",[1]回答表!S304,"")),"")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IF([1]回答表!F18="簡易水道事業",IF([1]回答表!X51="●",[1]回答表!E256,IF([1]回答表!AA51="●",[1]回答表!E335,"")),"")</f>
        <v/>
      </c>
      <c r="BG133" s="151"/>
      <c r="BH133" s="151"/>
      <c r="BI133" s="151"/>
      <c r="BJ133" s="150" t="str">
        <f>IF([1]回答表!F18="簡易水道事業",IF([1]回答表!X51="●",[1]回答表!E257,IF([1]回答表!AA51="●",[1]回答表!E336,"")),"")</f>
        <v/>
      </c>
      <c r="BK133" s="151"/>
      <c r="BL133" s="151"/>
      <c r="BM133" s="151"/>
      <c r="BN133" s="150" t="str">
        <f>IF([1]回答表!F18="簡易水道事業",IF([1]回答表!X51="●",[1]回答表!E258,IF([1]回答表!AA51="●",[1]回答表!E337,"")),"")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IF([1]回答表!F18="簡易水道事業",IF([1]回答表!X51="●",[1]回答表!S225,IF([1]回答表!AA51="●",[1]回答表!S305,"")),"")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IF([1]回答表!F18="簡易水道事業",IF([1]回答表!AA51="●","●",""),"")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IF([1]回答表!F18="簡易水道事業",IF([1]回答表!X51="●",[1]回答表!S226,IF([1]回答表!AA51="●",[1]回答表!S306,"")),"")</f>
        <v/>
      </c>
      <c r="V142" s="83"/>
      <c r="W142" s="83"/>
      <c r="X142" s="83"/>
      <c r="Y142" s="83"/>
      <c r="Z142" s="83"/>
      <c r="AA142" s="83"/>
      <c r="AB142" s="83"/>
      <c r="AC142" s="83"/>
      <c r="AD142" s="83"/>
      <c r="AE142" s="83"/>
      <c r="AF142" s="83"/>
      <c r="AG142" s="83"/>
      <c r="AH142" s="83"/>
      <c r="AI142" s="83"/>
      <c r="AJ142" s="153"/>
      <c r="AK142" s="68"/>
      <c r="AL142" s="68"/>
      <c r="AM142" s="231" t="str">
        <f>IF([1]回答表!F18="簡易水道事業",IF([1]回答表!X51="●",[1]回答表!Y228,IF([1]回答表!AA51="●",[1]回答表!Y308,"")),"")</f>
        <v/>
      </c>
      <c r="AN142" s="231"/>
      <c r="AO142" s="231"/>
      <c r="AP142" s="231"/>
      <c r="AQ142" s="231"/>
      <c r="AR142" s="231"/>
      <c r="AS142" s="231" t="str">
        <f>IF([1]回答表!F18="簡易水道事業",IF([1]回答表!X51="●",[1]回答表!Y229,IF([1]回答表!AA51="●",[1]回答表!Y309,"")),"")</f>
        <v/>
      </c>
      <c r="AT142" s="231"/>
      <c r="AU142" s="231"/>
      <c r="AV142" s="231"/>
      <c r="AW142" s="231"/>
      <c r="AX142" s="231"/>
      <c r="AY142" s="231" t="str">
        <f>IF([1]回答表!F18="簡易水道事業",IF([1]回答表!X51="●",[1]回答表!Y230,IF([1]回答表!AA51="●",[1]回答表!Y310,"")),"")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IF([1]回答表!F18="簡易水道事業",IF([1]回答表!X51="●",[1]回答表!E265,IF([1]回答表!AA51="●",[1]回答表!E344,"")),"")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IF([1]回答表!F18="簡易水道事業",IF([1]回答表!X51="●",[1]回答表!B267,IF([1]回答表!AA51="●",[1]回答表!B346,"")),"")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IF([1]回答表!F18="簡易水道事業",IF([1]回答表!AD51="●","●",""),"")</f>
        <v/>
      </c>
      <c r="O154" s="131"/>
      <c r="P154" s="131"/>
      <c r="Q154" s="132"/>
      <c r="R154" s="119"/>
      <c r="S154" s="119"/>
      <c r="T154" s="119"/>
      <c r="U154" s="133" t="str">
        <f>IF([1]回答表!F18="簡易水道事業",IF([1]回答表!AD51="●",[1]回答表!B354,""),"")</f>
        <v/>
      </c>
      <c r="V154" s="134"/>
      <c r="W154" s="134"/>
      <c r="X154" s="134"/>
      <c r="Y154" s="134"/>
      <c r="Z154" s="134"/>
      <c r="AA154" s="134"/>
      <c r="AB154" s="134"/>
      <c r="AC154" s="134"/>
      <c r="AD154" s="134"/>
      <c r="AE154" s="134"/>
      <c r="AF154" s="134"/>
      <c r="AG154" s="134"/>
      <c r="AH154" s="134"/>
      <c r="AI154" s="134"/>
      <c r="AJ154" s="135"/>
      <c r="AK154" s="189"/>
      <c r="AL154" s="189"/>
      <c r="AM154" s="133" t="str">
        <f>IF([1]回答表!F18="簡易水道事業",IF([1]回答表!AD51="●",[1]回答表!B360,""),"")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IF([1]回答表!F18="下水道事業",IF([1]回答表!X51="●","●",""),"")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IF([1]回答表!F18="下水道事業",IF([1]回答表!X51="●",[1]回答表!B197,IF([1]回答表!AA51="●",[1]回答表!B275,"")),"")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IF([1]回答表!F18="下水道事業",IF([1]回答表!X51="●",[1]回答表!B256,IF([1]回答表!AA51="●",[1]回答表!B335,"")),"")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IF([1]回答表!F18="下水道事業",IF([1]回答表!X51="●",[1]回答表!N234,IF([1]回答表!AA51="●",[1]回答表!N314,"")),"")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IF([1]回答表!F18="下水道事業",IF([1]回答表!X51="●",[1]回答表!E256,IF([1]回答表!AA51="●",[1]回答表!E335,"")),"")</f>
        <v/>
      </c>
      <c r="BG169" s="151"/>
      <c r="BH169" s="151"/>
      <c r="BI169" s="151"/>
      <c r="BJ169" s="150" t="str">
        <f>IF([1]回答表!F18="下水道事業",IF([1]回答表!X51="●",[1]回答表!E257,IF([1]回答表!AA51="●",[1]回答表!E336,"")),"")</f>
        <v/>
      </c>
      <c r="BK169" s="151"/>
      <c r="BL169" s="151"/>
      <c r="BM169" s="151"/>
      <c r="BN169" s="150" t="str">
        <f>IF([1]回答表!F18="下水道事業",IF([1]回答表!X51="●",[1]回答表!E258,IF([1]回答表!AA51="●",[1]回答表!E337,"")),"")</f>
        <v/>
      </c>
      <c r="BO169" s="151"/>
      <c r="BP169" s="151"/>
      <c r="BQ169" s="152"/>
      <c r="BR169" s="112"/>
      <c r="BX169" s="234" t="str">
        <f>IF([1]回答表!AQ21="下水道事業",IF([1]回答表!BI54="○",[1]回答表!AM200,IF([1]回答表!BL54="○",[1]回答表!AM278,"")),"")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IF([1]回答表!F18="下水道事業",IF([1]回答表!X51="●",[1]回答表!Y236,IF([1]回答表!AA51="●",[1]回答表!Y316,"")),"")</f>
        <v/>
      </c>
      <c r="V174" s="83"/>
      <c r="W174" s="83"/>
      <c r="X174" s="83"/>
      <c r="Y174" s="83"/>
      <c r="Z174" s="83"/>
      <c r="AA174" s="83"/>
      <c r="AB174" s="153"/>
      <c r="AC174" s="82" t="str">
        <f>IF([1]回答表!F18="下水道事業",IF([1]回答表!X51="●",[1]回答表!Y237,IF([1]回答表!AA51="●",[1]回答表!Y317,"")),"")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IF([1]回答表!F18="下水道事業",IF([1]回答表!X51="●",[1]回答表!Y239,IF([1]回答表!AA51="●",[1]回答表!Y319,"")),"")</f>
        <v/>
      </c>
      <c r="V180" s="83"/>
      <c r="W180" s="83"/>
      <c r="X180" s="83"/>
      <c r="Y180" s="83"/>
      <c r="Z180" s="83"/>
      <c r="AA180" s="83"/>
      <c r="AB180" s="153"/>
      <c r="AC180" s="82" t="str">
        <f>IF([1]回答表!F18="下水道事業",IF([1]回答表!X51="●",[1]回答表!Y240,IF([1]回答表!AA51="●",[1]回答表!Y320,"")),"")</f>
        <v/>
      </c>
      <c r="AD180" s="83"/>
      <c r="AE180" s="83"/>
      <c r="AF180" s="83"/>
      <c r="AG180" s="83"/>
      <c r="AH180" s="83"/>
      <c r="AI180" s="83"/>
      <c r="AJ180" s="153"/>
      <c r="AK180" s="82" t="str">
        <f>IF([1]回答表!F18="下水道事業",IF([1]回答表!X51="●",[1]回答表!Y241,IF([1]回答表!AA51="●",[1]回答表!Y321,"")),"")</f>
        <v/>
      </c>
      <c r="AL180" s="83"/>
      <c r="AM180" s="83"/>
      <c r="AN180" s="83"/>
      <c r="AO180" s="83"/>
      <c r="AP180" s="83"/>
      <c r="AQ180" s="83"/>
      <c r="AR180" s="153"/>
      <c r="AS180" s="82" t="str">
        <f>IF([1]回答表!F18="下水道事業",IF([1]回答表!X51="●",[1]回答表!Y242,IF([1]回答表!AA51="●",[1]回答表!Y322,"")),"")</f>
        <v/>
      </c>
      <c r="AT180" s="83"/>
      <c r="AU180" s="83"/>
      <c r="AV180" s="83"/>
      <c r="AW180" s="83"/>
      <c r="AX180" s="83"/>
      <c r="AY180" s="83"/>
      <c r="AZ180" s="153"/>
      <c r="BA180" s="82" t="str">
        <f>IF([1]回答表!F18="下水道事業",IF([1]回答表!X51="●",[1]回答表!Y243,IF([1]回答表!AA51="●",[1]回答表!Y323,"")),"")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IF([1]回答表!F18="下水道事業",IF([1]回答表!AA51="●","●",""),"")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IF([1]回答表!F18="下水道事業",IF([1]回答表!X51="●",[1]回答表!N248,IF([1]回答表!AA51="●",[1]回答表!N328,"")),"")</f>
        <v/>
      </c>
      <c r="V186" s="83"/>
      <c r="W186" s="83"/>
      <c r="X186" s="83"/>
      <c r="Y186" s="83"/>
      <c r="Z186" s="83"/>
      <c r="AA186" s="83"/>
      <c r="AB186" s="153"/>
      <c r="AC186" s="82" t="str">
        <f>IF([1]回答表!F18="下水道事業",IF([1]回答表!X51="●",[1]回答表!N249,IF([1]回答表!AA51="●",[1]回答表!N329,"")),"")</f>
        <v/>
      </c>
      <c r="AD186" s="83"/>
      <c r="AE186" s="83"/>
      <c r="AF186" s="83"/>
      <c r="AG186" s="83"/>
      <c r="AH186" s="83"/>
      <c r="AI186" s="83"/>
      <c r="AJ186" s="153"/>
      <c r="AK186" s="82" t="str">
        <f>IF([1]回答表!F18="下水道事業",IF([1]回答表!X51="●",[1]回答表!N250,IF([1]回答表!AA51="●",[1]回答表!N330,"")),"")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IF([1]回答表!F18="下水道事業",IF([1]回答表!X51="●",[1]回答表!E265,IF([1]回答表!AA51="●",[1]回答表!E344,"")),"")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IF([1]回答表!F18="下水道事業",IF([1]回答表!X51="●",[1]回答表!B267,IF([1]回答表!AA51="●",[1]回答表!B346,"")),"")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IF([1]回答表!F18="下水道事業",IF([1]回答表!AD51="●","●",""),"")</f>
        <v/>
      </c>
      <c r="O198" s="131"/>
      <c r="P198" s="131"/>
      <c r="Q198" s="132"/>
      <c r="R198" s="119"/>
      <c r="S198" s="119"/>
      <c r="T198" s="119"/>
      <c r="U198" s="133" t="str">
        <f>IF([1]回答表!F18="下水道事業",IF([1]回答表!AD51="●",[1]回答表!B354,""),"")</f>
        <v/>
      </c>
      <c r="V198" s="134"/>
      <c r="W198" s="134"/>
      <c r="X198" s="134"/>
      <c r="Y198" s="134"/>
      <c r="Z198" s="134"/>
      <c r="AA198" s="134"/>
      <c r="AB198" s="134"/>
      <c r="AC198" s="134"/>
      <c r="AD198" s="134"/>
      <c r="AE198" s="134"/>
      <c r="AF198" s="134"/>
      <c r="AG198" s="134"/>
      <c r="AH198" s="134"/>
      <c r="AI198" s="134"/>
      <c r="AJ198" s="135"/>
      <c r="AK198" s="189"/>
      <c r="AL198" s="189"/>
      <c r="AM198" s="133" t="str">
        <f>IF([1]回答表!F18="下水道事業",IF([1]回答表!AD51="●",[1]回答表!B360,""),"")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IF([1]回答表!BD18="●",IF([1]回答表!X51="●","●",""),"")</f>
        <v/>
      </c>
      <c r="O210" s="131"/>
      <c r="P210" s="131"/>
      <c r="Q210" s="132"/>
      <c r="R210" s="119"/>
      <c r="S210" s="119"/>
      <c r="T210" s="119"/>
      <c r="U210" s="133" t="str">
        <f>IF([1]回答表!BD18="●",IF([1]回答表!X51="●",[1]回答表!B197,IF([1]回答表!AA51="●",[1]回答表!B275,"")),"")</f>
        <v/>
      </c>
      <c r="V210" s="134"/>
      <c r="W210" s="134"/>
      <c r="X210" s="134"/>
      <c r="Y210" s="134"/>
      <c r="Z210" s="134"/>
      <c r="AA210" s="134"/>
      <c r="AB210" s="134"/>
      <c r="AC210" s="134"/>
      <c r="AD210" s="134"/>
      <c r="AE210" s="134"/>
      <c r="AF210" s="134"/>
      <c r="AG210" s="134"/>
      <c r="AH210" s="134"/>
      <c r="AI210" s="134"/>
      <c r="AJ210" s="135"/>
      <c r="AK210" s="136"/>
      <c r="AL210" s="136"/>
      <c r="AM210" s="138" t="str">
        <f>IF([1]回答表!BD18="●",IF([1]回答表!X51="●",[1]回答表!B256,IF([1]回答表!AA51="●",[1]回答表!B335,"")),"")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IF([1]回答表!BD18="●",IF([1]回答表!X51="●",[1]回答表!E256,IF([1]回答表!AA51="●",[1]回答表!E335,"")),"")</f>
        <v/>
      </c>
      <c r="AN213" s="151"/>
      <c r="AO213" s="151"/>
      <c r="AP213" s="151"/>
      <c r="AQ213" s="150" t="str">
        <f>IF([1]回答表!BD18="●",IF([1]回答表!X51="●",[1]回答表!E257,IF([1]回答表!AA51="●",[1]回答表!E336,"")),"")</f>
        <v/>
      </c>
      <c r="AR213" s="151"/>
      <c r="AS213" s="151"/>
      <c r="AT213" s="151"/>
      <c r="AU213" s="150" t="str">
        <f>IF([1]回答表!BD18="●",IF([1]回答表!X51="●",[1]回答表!E258,IF([1]回答表!AA51="●",[1]回答表!E337,"")),"")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IF([1]回答表!BD18="●",IF([1]回答表!AA51="●","●",""),"")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IF([1]回答表!BD18="●",IF([1]回答表!X51="●",[1]回答表!E265,IF([1]回答表!AA51="●",[1]回答表!E344,"")),"")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IF([1]回答表!BD18="●",IF([1]回答表!X51="●",[1]回答表!B267,IF([1]回答表!AA51="●",[1]回答表!B346,"")),"")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IF([1]回答表!BD18="●",IF([1]回答表!AD51="●","●",""),"")</f>
        <v/>
      </c>
      <c r="O229" s="131"/>
      <c r="P229" s="131"/>
      <c r="Q229" s="132"/>
      <c r="R229" s="119"/>
      <c r="S229" s="119"/>
      <c r="T229" s="119"/>
      <c r="U229" s="133" t="str">
        <f>IF([1]回答表!BD18="●",IF([1]回答表!AD51="●",[1]回答表!B354,""),"")</f>
        <v/>
      </c>
      <c r="V229" s="134"/>
      <c r="W229" s="134"/>
      <c r="X229" s="134"/>
      <c r="Y229" s="134"/>
      <c r="Z229" s="134"/>
      <c r="AA229" s="134"/>
      <c r="AB229" s="134"/>
      <c r="AC229" s="134"/>
      <c r="AD229" s="134"/>
      <c r="AE229" s="134"/>
      <c r="AF229" s="134"/>
      <c r="AG229" s="134"/>
      <c r="AH229" s="134"/>
      <c r="AI229" s="134"/>
      <c r="AJ229" s="135"/>
      <c r="AK229" s="249"/>
      <c r="AL229" s="249"/>
      <c r="AM229" s="133" t="str">
        <f>IF([1]回答表!BD18="●",IF([1]回答表!AD51="●",[1]回答表!B360,""),"")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IF([1]回答表!X52="●","●","")</f>
        <v/>
      </c>
      <c r="O241" s="131"/>
      <c r="P241" s="131"/>
      <c r="Q241" s="132"/>
      <c r="R241" s="119"/>
      <c r="S241" s="119"/>
      <c r="T241" s="119"/>
      <c r="U241" s="133" t="str">
        <f>IF([1]回答表!X52="●",[1]回答表!B371,IF([1]回答表!AA52="●",[1]回答表!B396,""))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IF([1]回答表!X52="●",[1]回答表!U377,IF([1]回答表!AA52="●",[1]回答表!U402,""))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IF([1]回答表!X52="●",[1]回答表!G377,IF([1]回答表!AA52="●",[1]回答表!G402,""))</f>
        <v/>
      </c>
      <c r="AN244" s="83"/>
      <c r="AO244" s="83"/>
      <c r="AP244" s="83"/>
      <c r="AQ244" s="83"/>
      <c r="AR244" s="83"/>
      <c r="AS244" s="83"/>
      <c r="AT244" s="153"/>
      <c r="AU244" s="82" t="str">
        <f>IF([1]回答表!X52="●",[1]回答表!G378,IF([1]回答表!AA52="●",[1]回答表!G403,""))</f>
        <v/>
      </c>
      <c r="AV244" s="83"/>
      <c r="AW244" s="83"/>
      <c r="AX244" s="83"/>
      <c r="AY244" s="83"/>
      <c r="AZ244" s="83"/>
      <c r="BA244" s="83"/>
      <c r="BB244" s="153"/>
      <c r="BC244" s="120"/>
      <c r="BD244" s="109"/>
      <c r="BE244" s="109"/>
      <c r="BF244" s="150" t="str">
        <f>IF([1]回答表!X52="●",[1]回答表!X377,IF([1]回答表!AA52="●",[1]回答表!X402,""))</f>
        <v/>
      </c>
      <c r="BG244" s="151"/>
      <c r="BH244" s="151"/>
      <c r="BI244" s="151"/>
      <c r="BJ244" s="150" t="str">
        <f>IF([1]回答表!X52="●",[1]回答表!X378,IF([1]回答表!AA52="●",[1]回答表!X403,""))</f>
        <v/>
      </c>
      <c r="BK244" s="151"/>
      <c r="BL244" s="151"/>
      <c r="BM244" s="152"/>
      <c r="BN244" s="150" t="str">
        <f>IF([1]回答表!X52="●",[1]回答表!X379,IF([1]回答表!AA52="●",[1]回答表!X404,""))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IF([1]回答表!X52="●",[1]回答表!E386,IF([1]回答表!AA52="●",[1]回答表!E407,""))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IF([1]回答表!X52="●",[1]回答表!B388,IF([1]回答表!AA52="●",[1]回答表!B409,""))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IF([1]回答表!AD52="●","●","")</f>
        <v/>
      </c>
      <c r="O260" s="131"/>
      <c r="P260" s="131"/>
      <c r="Q260" s="132"/>
      <c r="R260" s="119"/>
      <c r="S260" s="119"/>
      <c r="T260" s="119"/>
      <c r="U260" s="133" t="str">
        <f>IF([1]回答表!AD52="●",[1]回答表!B417,"")</f>
        <v/>
      </c>
      <c r="V260" s="134"/>
      <c r="W260" s="134"/>
      <c r="X260" s="134"/>
      <c r="Y260" s="134"/>
      <c r="Z260" s="134"/>
      <c r="AA260" s="134"/>
      <c r="AB260" s="134"/>
      <c r="AC260" s="134"/>
      <c r="AD260" s="134"/>
      <c r="AE260" s="134"/>
      <c r="AF260" s="134"/>
      <c r="AG260" s="134"/>
      <c r="AH260" s="134"/>
      <c r="AI260" s="134"/>
      <c r="AJ260" s="135"/>
      <c r="AK260" s="249"/>
      <c r="AL260" s="249"/>
      <c r="AM260" s="133" t="str">
        <f>IF([1]回答表!AD52="●",[1]回答表!B423,"")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IF([1]回答表!X53="●","●","")</f>
        <v/>
      </c>
      <c r="O272" s="131"/>
      <c r="P272" s="131"/>
      <c r="Q272" s="132"/>
      <c r="R272" s="119"/>
      <c r="S272" s="119"/>
      <c r="T272" s="119"/>
      <c r="U272" s="133" t="str">
        <f>IF([1]回答表!X53="●",[1]回答表!B434,IF([1]回答表!AA53="●",[1]回答表!B465,""))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IF([1]回答表!X53="●",[1]回答表!B440,"")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IF([1]回答表!X53="●",[1]回答表!B446,IF([1]回答表!AA53="●",[1]回答表!B471,""))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IF([1]回答表!X53="●",[1]回答表!E446,IF([1]回答表!AA53="●",[1]回答表!E471,""))</f>
        <v/>
      </c>
      <c r="BG275" s="151"/>
      <c r="BH275" s="151"/>
      <c r="BI275" s="151"/>
      <c r="BJ275" s="150" t="str">
        <f>IF([1]回答表!X53="●",[1]回答表!E447,IF([1]回答表!AA53="●",[1]回答表!E472,""))</f>
        <v/>
      </c>
      <c r="BK275" s="151"/>
      <c r="BL275" s="151"/>
      <c r="BM275" s="152"/>
      <c r="BN275" s="150" t="str">
        <f>IF([1]回答表!X53="●",[1]回答表!E448,IF([1]回答表!AA53="●",[1]回答表!E473,""))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IF([1]回答表!X53="●",[1]回答表!E455,IF([1]回答表!AA53="●",[1]回答表!E476,""))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IF([1]回答表!X53="●",[1]回答表!B457,IF([1]回答表!AA53="●",[1]回答表!B478,""))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IF([1]回答表!AD53="●","●","")</f>
        <v/>
      </c>
      <c r="O291" s="131"/>
      <c r="P291" s="131"/>
      <c r="Q291" s="132"/>
      <c r="R291" s="119"/>
      <c r="S291" s="119"/>
      <c r="T291" s="119"/>
      <c r="U291" s="133" t="str">
        <f>IF([1]回答表!AD53="●",[1]回答表!B486,"")</f>
        <v/>
      </c>
      <c r="V291" s="134"/>
      <c r="W291" s="134"/>
      <c r="X291" s="134"/>
      <c r="Y291" s="134"/>
      <c r="Z291" s="134"/>
      <c r="AA291" s="134"/>
      <c r="AB291" s="134"/>
      <c r="AC291" s="134"/>
      <c r="AD291" s="134"/>
      <c r="AE291" s="134"/>
      <c r="AF291" s="134"/>
      <c r="AG291" s="134"/>
      <c r="AH291" s="134"/>
      <c r="AI291" s="134"/>
      <c r="AJ291" s="135"/>
      <c r="AK291" s="249"/>
      <c r="AL291" s="249"/>
      <c r="AM291" s="133" t="str">
        <f>IF([1]回答表!AD53="●",[1]回答表!B492,"")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IF([1]回答表!X54="●","●","")</f>
        <v/>
      </c>
      <c r="O303" s="131"/>
      <c r="P303" s="131"/>
      <c r="Q303" s="132"/>
      <c r="R303" s="119"/>
      <c r="S303" s="119"/>
      <c r="T303" s="119"/>
      <c r="U303" s="133" t="str">
        <f>IF([1]回答表!X54="●",[1]回答表!B503,IF([1]回答表!AA54="●",[1]回答表!B526,""))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IF([1]回答表!X54="●",[1]回答表!BC510,IF([1]回答表!AA54="●",[1]回答表!BC533,""))</f>
        <v/>
      </c>
      <c r="AR303" s="271"/>
      <c r="AS303" s="271"/>
      <c r="AT303" s="271"/>
      <c r="AU303" s="272" t="s">
        <v>74</v>
      </c>
      <c r="AV303" s="273"/>
      <c r="AW303" s="273"/>
      <c r="AX303" s="274"/>
      <c r="AY303" s="271" t="str">
        <f>IF([1]回答表!X54="●",[1]回答表!BC515,IF([1]回答表!AA54="●",[1]回答表!BC538,""))</f>
        <v/>
      </c>
      <c r="AZ303" s="271"/>
      <c r="BA303" s="271"/>
      <c r="BB303" s="271"/>
      <c r="BC303" s="120"/>
      <c r="BD303" s="109"/>
      <c r="BE303" s="109"/>
      <c r="BF303" s="138" t="str">
        <f>IF([1]回答表!X54="●",[1]回答表!S509,IF([1]回答表!AA54="●",[1]回答表!S532,""))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IF([1]回答表!X54="●",[1]回答表!BC511,IF([1]回答表!AA54="●",[1]回答表!BC534,""))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IF([1]回答表!X54="●",[1]回答表!V509,IF([1]回答表!AA54="●",[1]回答表!V532,""))</f>
        <v/>
      </c>
      <c r="BG306" s="151"/>
      <c r="BH306" s="151"/>
      <c r="BI306" s="151"/>
      <c r="BJ306" s="150" t="str">
        <f>IF([1]回答表!X54="●",[1]回答表!V510,IF([1]回答表!AA54="●",[1]回答表!V533,""))</f>
        <v/>
      </c>
      <c r="BK306" s="151"/>
      <c r="BL306" s="151"/>
      <c r="BM306" s="152"/>
      <c r="BN306" s="150" t="str">
        <f>IF([1]回答表!X54="●",[1]回答表!V511,IF([1]回答表!AA54="●",[1]回答表!V534,""))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IF([1]回答表!X54="●",[1]回答表!BC512,IF([1]回答表!AA54="●",[1]回答表!BC535,""))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IF([1]回答表!X54="●",[1]回答表!BC516,IF([1]回答表!AA54="●",[1]回答表!BC539,""))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IF([1]回答表!X54="●",[1]回答表!BC513,IF([1]回答表!AA54="●",[1]回答表!BC536,""))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IF([1]回答表!X54="●",[1]回答表!BC514,IF([1]回答表!AA54="●",[1]回答表!BC537,""))</f>
        <v/>
      </c>
      <c r="AR311" s="271"/>
      <c r="AS311" s="271"/>
      <c r="AT311" s="271"/>
      <c r="AU311" s="222" t="s">
        <v>80</v>
      </c>
      <c r="AV311" s="223"/>
      <c r="AW311" s="223"/>
      <c r="AX311" s="224"/>
      <c r="AY311" s="281" t="str">
        <f>IF([1]回答表!X54="●",[1]回答表!BC517,IF([1]回答表!AA54="●",[1]回答表!BC540,""))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IF([1]回答表!X54="●",[1]回答表!E516,IF([1]回答表!AA54="●",[1]回答表!E538,""))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IF([1]回答表!X54="●",[1]回答表!B518,IF([1]回答表!AA54="●",[1]回答表!B540,""))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IF([1]回答表!AD54="●","●","")</f>
        <v/>
      </c>
      <c r="O322" s="131"/>
      <c r="P322" s="131"/>
      <c r="Q322" s="132"/>
      <c r="R322" s="119"/>
      <c r="S322" s="119"/>
      <c r="T322" s="119"/>
      <c r="U322" s="133" t="str">
        <f>IF([1]回答表!AD54="●",[1]回答表!B548,"")</f>
        <v/>
      </c>
      <c r="V322" s="134"/>
      <c r="W322" s="134"/>
      <c r="X322" s="134"/>
      <c r="Y322" s="134"/>
      <c r="Z322" s="134"/>
      <c r="AA322" s="134"/>
      <c r="AB322" s="134"/>
      <c r="AC322" s="134"/>
      <c r="AD322" s="134"/>
      <c r="AE322" s="134"/>
      <c r="AF322" s="134"/>
      <c r="AG322" s="134"/>
      <c r="AH322" s="134"/>
      <c r="AI322" s="134"/>
      <c r="AJ322" s="135"/>
      <c r="AK322" s="189"/>
      <c r="AL322" s="189"/>
      <c r="AM322" s="133" t="str">
        <f>IF([1]回答表!AD54="●",[1]回答表!B554,"")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IF([1]回答表!X55="●","●","")</f>
        <v/>
      </c>
      <c r="O333" s="131"/>
      <c r="P333" s="131"/>
      <c r="Q333" s="132"/>
      <c r="R333" s="119"/>
      <c r="S333" s="119"/>
      <c r="T333" s="119"/>
      <c r="U333" s="133" t="str">
        <f>IF([1]回答表!X55="●",[1]回答表!B565,IF([1]回答表!AA55="●",[1]回答表!B590,""))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IF([1]回答表!X55="●",[1]回答表!B575,IF([1]回答表!AA55="●",[1]回答表!B600,""))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IF([1]回答表!X55="●",[1]回答表!G571,IF([1]回答表!AA55="●",[1]回答表!G596,""))</f>
        <v/>
      </c>
      <c r="AN335" s="83"/>
      <c r="AO335" s="83"/>
      <c r="AP335" s="83"/>
      <c r="AQ335" s="83"/>
      <c r="AR335" s="83"/>
      <c r="AS335" s="83"/>
      <c r="AT335" s="153"/>
      <c r="AU335" s="82" t="str">
        <f>IF([1]回答表!X55="●",[1]回答表!G572,IF([1]回答表!AA55="●",[1]回答表!G597,""))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IF([1]回答表!X55="●",[1]回答表!E575,IF([1]回答表!AA55="●",[1]回答表!E600,""))</f>
        <v/>
      </c>
      <c r="BG336" s="151"/>
      <c r="BH336" s="151"/>
      <c r="BI336" s="151"/>
      <c r="BJ336" s="150" t="str">
        <f>IF([1]回答表!X55="●",[1]回答表!E576,IF([1]回答表!AA55="●",[1]回答表!E601,""))</f>
        <v/>
      </c>
      <c r="BK336" s="151"/>
      <c r="BL336" s="151"/>
      <c r="BM336" s="152"/>
      <c r="BN336" s="150" t="str">
        <f>IF([1]回答表!X55="●",[1]回答表!E577,IF([1]回答表!AA55="●",[1]回答表!E602,""))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IF([1]回答表!X55="●",[1]回答表!E580,IF([1]回答表!AA55="●",[1]回答表!E605,""))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IF([1]回答表!X55="●",[1]回答表!B582,IF([1]回答表!AA55="●",[1]回答表!B607,""))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IF([1]回答表!AD55="●","●","")</f>
        <v/>
      </c>
      <c r="O352" s="131"/>
      <c r="P352" s="131"/>
      <c r="Q352" s="132"/>
      <c r="R352" s="119"/>
      <c r="S352" s="119"/>
      <c r="T352" s="119"/>
      <c r="U352" s="133" t="str">
        <f>IF([1]回答表!AD55="●",[1]回答表!B615,"")</f>
        <v/>
      </c>
      <c r="V352" s="134"/>
      <c r="W352" s="134"/>
      <c r="X352" s="134"/>
      <c r="Y352" s="134"/>
      <c r="Z352" s="134"/>
      <c r="AA352" s="134"/>
      <c r="AB352" s="134"/>
      <c r="AC352" s="134"/>
      <c r="AD352" s="134"/>
      <c r="AE352" s="134"/>
      <c r="AF352" s="134"/>
      <c r="AG352" s="134"/>
      <c r="AH352" s="134"/>
      <c r="AI352" s="134"/>
      <c r="AJ352" s="135"/>
      <c r="AK352" s="136"/>
      <c r="AL352" s="136"/>
      <c r="AM352" s="133" t="str">
        <f>IF([1]回答表!AD55="●",[1]回答表!B621,"")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IF([1]回答表!R56="●",[1]回答表!B634,"")</f>
        <v>令和元年度後期から令和２年度前期にかけて、入院患者数の減少により、医業収益が減少したため、令和２年度に院内に経営改革プロジェクト会議を立ち上げその中で様々な経営改革案の検討を行った。その結果を盛り込み、短期的には令和５年度までの、長期的には令和１７年度までの目標となる市立大曲病院経営改革基本方針を令和３年３月に策定したが、その中では当病院は採算性の低い精神科の単科病院であるため、民間委託という選択肢は現実的ではなく、診療体制及び新患受付体制の改善や地域連携強化のための組織改革を行いつつ当面現行の経営体制・手法を継続することとなった。令和２年度後半から様々な対策が実を結び医業収益が大幅に回復し、令和３年度も目標値を上回ることができたが、長期的には人口減少等により入院患者層の変化等が考えられるため、今後も病院を取り巻く環境の変化に対応すべく経営改革基本方針の見直しにも柔軟に対応する予定であ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9" priority="2">
      <formula>$BB$25="○"</formula>
    </cfRule>
  </conditionalFormatting>
  <conditionalFormatting sqref="BD28:BD30">
    <cfRule type="expression" dxfId="28" priority="1">
      <formula>$BB$25="○"</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0E187-B9EC-403C-8E13-06469084923C}">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IF(COUNTIF([10]回答表!K16,"*")&gt;0,[10]回答表!K16,"")</f>
        <v>大仙市</v>
      </c>
      <c r="D11" s="8"/>
      <c r="E11" s="8"/>
      <c r="F11" s="8"/>
      <c r="G11" s="8"/>
      <c r="H11" s="8"/>
      <c r="I11" s="8"/>
      <c r="J11" s="8"/>
      <c r="K11" s="8"/>
      <c r="L11" s="8"/>
      <c r="M11" s="8"/>
      <c r="N11" s="8"/>
      <c r="O11" s="8"/>
      <c r="P11" s="8"/>
      <c r="Q11" s="8"/>
      <c r="R11" s="8"/>
      <c r="S11" s="8"/>
      <c r="T11" s="8"/>
      <c r="U11" s="22" t="str">
        <f>IF(COUNTIF([10]回答表!F18,"*")&gt;0,[10]回答表!F18,"")</f>
        <v>電気事業</v>
      </c>
      <c r="V11" s="23"/>
      <c r="W11" s="23"/>
      <c r="X11" s="23"/>
      <c r="Y11" s="23"/>
      <c r="Z11" s="23"/>
      <c r="AA11" s="23"/>
      <c r="AB11" s="23"/>
      <c r="AC11" s="23"/>
      <c r="AD11" s="23"/>
      <c r="AE11" s="23"/>
      <c r="AF11" s="10"/>
      <c r="AG11" s="10"/>
      <c r="AH11" s="10"/>
      <c r="AI11" s="10"/>
      <c r="AJ11" s="10"/>
      <c r="AK11" s="10"/>
      <c r="AL11" s="10"/>
      <c r="AM11" s="10"/>
      <c r="AN11" s="11"/>
      <c r="AO11" s="24" t="str">
        <f>IF(COUNTIF([10]回答表!W18,"*")&gt;0,[10]回答表!W18,"")</f>
        <v>―</v>
      </c>
      <c r="AP11" s="10"/>
      <c r="AQ11" s="10"/>
      <c r="AR11" s="10"/>
      <c r="AS11" s="10"/>
      <c r="AT11" s="10"/>
      <c r="AU11" s="10"/>
      <c r="AV11" s="10"/>
      <c r="AW11" s="10"/>
      <c r="AX11" s="10"/>
      <c r="AY11" s="10"/>
      <c r="AZ11" s="10"/>
      <c r="BA11" s="10"/>
      <c r="BB11" s="10"/>
      <c r="BC11" s="10"/>
      <c r="BD11" s="10"/>
      <c r="BE11" s="10"/>
      <c r="BF11" s="11"/>
      <c r="BG11" s="21" t="str">
        <f>IF(COUNTIF([10]回答表!F20,"*")&gt;0,[10]回答表!F20,"")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IF([10]回答表!R49="●","●","")</f>
        <v/>
      </c>
      <c r="E24" s="80"/>
      <c r="F24" s="80"/>
      <c r="G24" s="80"/>
      <c r="H24" s="80"/>
      <c r="I24" s="80"/>
      <c r="J24" s="81"/>
      <c r="K24" s="79" t="str">
        <f>IF([10]回答表!R50="●","●","")</f>
        <v/>
      </c>
      <c r="L24" s="80"/>
      <c r="M24" s="80"/>
      <c r="N24" s="80"/>
      <c r="O24" s="80"/>
      <c r="P24" s="80"/>
      <c r="Q24" s="81"/>
      <c r="R24" s="79" t="str">
        <f>IF([10]回答表!R51="●","●","")</f>
        <v/>
      </c>
      <c r="S24" s="80"/>
      <c r="T24" s="80"/>
      <c r="U24" s="80"/>
      <c r="V24" s="80"/>
      <c r="W24" s="80"/>
      <c r="X24" s="81"/>
      <c r="Y24" s="79" t="str">
        <f>IF([10]回答表!R52="●","●","")</f>
        <v/>
      </c>
      <c r="Z24" s="80"/>
      <c r="AA24" s="80"/>
      <c r="AB24" s="80"/>
      <c r="AC24" s="80"/>
      <c r="AD24" s="80"/>
      <c r="AE24" s="81"/>
      <c r="AF24" s="79" t="str">
        <f>IF([10]回答表!R53="●","●","")</f>
        <v/>
      </c>
      <c r="AG24" s="80"/>
      <c r="AH24" s="80"/>
      <c r="AI24" s="80"/>
      <c r="AJ24" s="80"/>
      <c r="AK24" s="80"/>
      <c r="AL24" s="81"/>
      <c r="AM24" s="79" t="str">
        <f>IF([10]回答表!R54="●","●","")</f>
        <v/>
      </c>
      <c r="AN24" s="80"/>
      <c r="AO24" s="80"/>
      <c r="AP24" s="80"/>
      <c r="AQ24" s="80"/>
      <c r="AR24" s="80"/>
      <c r="AS24" s="81"/>
      <c r="AT24" s="79" t="str">
        <f>IF([10]回答表!R55="●","●","")</f>
        <v/>
      </c>
      <c r="AU24" s="80"/>
      <c r="AV24" s="80"/>
      <c r="AW24" s="80"/>
      <c r="AX24" s="80"/>
      <c r="AY24" s="80"/>
      <c r="AZ24" s="81"/>
      <c r="BA24" s="68"/>
      <c r="BB24" s="82" t="str">
        <f>IF([10]回答表!R56="●","●","")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IF([10]回答表!X49="●","●","")</f>
        <v/>
      </c>
      <c r="O36" s="131"/>
      <c r="P36" s="131"/>
      <c r="Q36" s="132"/>
      <c r="R36" s="119"/>
      <c r="S36" s="119"/>
      <c r="T36" s="119"/>
      <c r="U36" s="133" t="str">
        <f>IF([10]回答表!X49="●",[10]回答表!B67,IF([10]回答表!AA49="●",[10]回答表!B95,""))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IF([10]回答表!X49="●",[10]回答表!S73,IF([10]回答表!AA49="●",[10]回答表!S101,""))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IF([10]回答表!X49="●",[10]回答表!G73,IF([10]回答表!AA49="●",[10]回答表!G101,""))</f>
        <v/>
      </c>
      <c r="AN38" s="83"/>
      <c r="AO38" s="83"/>
      <c r="AP38" s="83"/>
      <c r="AQ38" s="83"/>
      <c r="AR38" s="83"/>
      <c r="AS38" s="83"/>
      <c r="AT38" s="153"/>
      <c r="AU38" s="82" t="str">
        <f>IF([10]回答表!X49="●",[10]回答表!G74,IF([10]回答表!AA49="●",[10]回答表!G102,""))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IF([10]回答表!X49="●",[10]回答表!V73,IF([10]回答表!AA49="●",[10]回答表!V101,""))</f>
        <v/>
      </c>
      <c r="BG39" s="16"/>
      <c r="BH39" s="16"/>
      <c r="BI39" s="17"/>
      <c r="BJ39" s="150" t="str">
        <f>IF([10]回答表!X49="●",[10]回答表!V74,IF([10]回答表!AA49="●",[10]回答表!V102,""))</f>
        <v/>
      </c>
      <c r="BK39" s="16"/>
      <c r="BL39" s="16"/>
      <c r="BM39" s="17"/>
      <c r="BN39" s="150" t="str">
        <f>IF([10]回答表!X49="●",[10]回答表!V75,IF([10]回答表!AA49="●",[10]回答表!V103,""))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IF([10]回答表!X49="●",[10]回答表!O79,IF([10]回答表!AA49="●",[10]回答表!O107,""))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IF([10]回答表!X49="●",[10]回答表!O80,IF([10]回答表!AA49="●",[10]回答表!O108,""))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IF([10]回答表!AA49="●","●","")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IF([10]回答表!X49="●",[10]回答表!O81,IF([10]回答表!AA49="●",[10]回答表!O109,""))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IF([10]回答表!X49="●",[10]回答表!O82,IF([10]回答表!AA49="●",[10]回答表!O110,""))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IF([10]回答表!X49="●",[10]回答表!AG79,IF([10]回答表!AA49="●",[10]回答表!AG107,""))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IF([10]回答表!X49="●",[10]回答表!AG80,IF([10]回答表!AA49="●",[10]回答表!AG108,""))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IF([10]回答表!X49="●",[10]回答表!E85,IF([10]回答表!AA49="●",[10]回答表!E113,""))</f>
        <v/>
      </c>
      <c r="V50" s="182"/>
      <c r="W50" s="182"/>
      <c r="X50" s="182"/>
      <c r="Y50" s="182"/>
      <c r="Z50" s="182"/>
      <c r="AA50" s="182"/>
      <c r="AB50" s="182"/>
      <c r="AC50" s="182"/>
      <c r="AD50" s="182"/>
      <c r="AE50" s="183" t="s">
        <v>33</v>
      </c>
      <c r="AF50" s="183"/>
      <c r="AG50" s="183"/>
      <c r="AH50" s="183"/>
      <c r="AI50" s="183"/>
      <c r="AJ50" s="184"/>
      <c r="AK50" s="136"/>
      <c r="AL50" s="136"/>
      <c r="AM50" s="133" t="str">
        <f>IF([10]回答表!X49="●",[10]回答表!B87,IF([10]回答表!AA49="●",[10]回答表!B115,""))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IF([10]回答表!AD49="●","●","")</f>
        <v/>
      </c>
      <c r="O57" s="131"/>
      <c r="P57" s="131"/>
      <c r="Q57" s="132"/>
      <c r="R57" s="119"/>
      <c r="S57" s="119"/>
      <c r="T57" s="119"/>
      <c r="U57" s="133" t="str">
        <f>IF([10]回答表!AD49="●",[10]回答表!B123,"")</f>
        <v/>
      </c>
      <c r="V57" s="134"/>
      <c r="W57" s="134"/>
      <c r="X57" s="134"/>
      <c r="Y57" s="134"/>
      <c r="Z57" s="134"/>
      <c r="AA57" s="134"/>
      <c r="AB57" s="134"/>
      <c r="AC57" s="134"/>
      <c r="AD57" s="134"/>
      <c r="AE57" s="134"/>
      <c r="AF57" s="134"/>
      <c r="AG57" s="134"/>
      <c r="AH57" s="134"/>
      <c r="AI57" s="134"/>
      <c r="AJ57" s="135"/>
      <c r="AK57" s="189"/>
      <c r="AL57" s="189"/>
      <c r="AM57" s="133" t="str">
        <f>IF([10]回答表!AD49="●",[10]回答表!B128,"")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IF([10]回答表!X50="●","●","")</f>
        <v/>
      </c>
      <c r="O68" s="131"/>
      <c r="P68" s="131"/>
      <c r="Q68" s="132"/>
      <c r="R68" s="119"/>
      <c r="S68" s="119"/>
      <c r="T68" s="119"/>
      <c r="U68" s="133" t="str">
        <f>IF([10]回答表!X50="●",[10]回答表!B138,IF([10]回答表!AA50="●",[10]回答表!B159,""))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IF([10]回答表!X50="●",[10]回答表!S144,IF([10]回答表!AA50="●",[10]回答表!S165,""))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IF([10]回答表!X50="●",[10]回答表!J144,IF([10]回答表!AA50="●",[10]回答表!J165,""))</f>
        <v/>
      </c>
      <c r="AN71" s="83"/>
      <c r="AO71" s="83"/>
      <c r="AP71" s="83"/>
      <c r="AQ71" s="83"/>
      <c r="AR71" s="83"/>
      <c r="AS71" s="83"/>
      <c r="AT71" s="153"/>
      <c r="AU71" s="82" t="str">
        <f>IF([10]回答表!X50="●",[10]回答表!J145,IF([10]回答表!AA50="●",[10]回答表!J166,""))</f>
        <v/>
      </c>
      <c r="AV71" s="83"/>
      <c r="AW71" s="83"/>
      <c r="AX71" s="83"/>
      <c r="AY71" s="83"/>
      <c r="AZ71" s="83"/>
      <c r="BA71" s="83"/>
      <c r="BB71" s="153"/>
      <c r="BC71" s="120"/>
      <c r="BD71" s="109"/>
      <c r="BE71" s="109"/>
      <c r="BF71" s="150" t="str">
        <f>IF([10]回答表!X50="●",[10]回答表!V144,IF([10]回答表!AA50="●",[10]回答表!V165,""))</f>
        <v/>
      </c>
      <c r="BG71" s="151"/>
      <c r="BH71" s="151"/>
      <c r="BI71" s="151"/>
      <c r="BJ71" s="150" t="str">
        <f>IF([10]回答表!X50="●",[10]回答表!V145,IF([10]回答表!AA50="●",[10]回答表!V166,""))</f>
        <v/>
      </c>
      <c r="BK71" s="151"/>
      <c r="BL71" s="151"/>
      <c r="BM71" s="151"/>
      <c r="BN71" s="150" t="str">
        <f>IF([10]回答表!X50="●",[10]回答表!V146,IF([10]回答表!AA50="●",[10]回答表!V167,""))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IF([10]回答表!AA50="●","●","")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IF([10]回答表!X50="●",[10]回答表!E149,IF([10]回答表!AA50="●",[10]回答表!E170,""))</f>
        <v/>
      </c>
      <c r="V80" s="182"/>
      <c r="W80" s="182"/>
      <c r="X80" s="182"/>
      <c r="Y80" s="182"/>
      <c r="Z80" s="182"/>
      <c r="AA80" s="182"/>
      <c r="AB80" s="182"/>
      <c r="AC80" s="182"/>
      <c r="AD80" s="182"/>
      <c r="AE80" s="183" t="s">
        <v>33</v>
      </c>
      <c r="AF80" s="183"/>
      <c r="AG80" s="183"/>
      <c r="AH80" s="183"/>
      <c r="AI80" s="183"/>
      <c r="AJ80" s="184"/>
      <c r="AK80" s="136"/>
      <c r="AL80" s="136"/>
      <c r="AM80" s="133" t="str">
        <f>IF([10]回答表!X50="●",[10]回答表!B151,IF([10]回答表!AA50="●",[10]回答表!B172,""))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IF([10]回答表!AD50="●","●","")</f>
        <v/>
      </c>
      <c r="O87" s="131"/>
      <c r="P87" s="131"/>
      <c r="Q87" s="132"/>
      <c r="R87" s="119"/>
      <c r="S87" s="119"/>
      <c r="T87" s="119"/>
      <c r="U87" s="133" t="str">
        <f>IF([10]回答表!AD50="●",[10]回答表!B180,"")</f>
        <v/>
      </c>
      <c r="V87" s="134"/>
      <c r="W87" s="134"/>
      <c r="X87" s="134"/>
      <c r="Y87" s="134"/>
      <c r="Z87" s="134"/>
      <c r="AA87" s="134"/>
      <c r="AB87" s="134"/>
      <c r="AC87" s="134"/>
      <c r="AD87" s="134"/>
      <c r="AE87" s="134"/>
      <c r="AF87" s="134"/>
      <c r="AG87" s="134"/>
      <c r="AH87" s="134"/>
      <c r="AI87" s="134"/>
      <c r="AJ87" s="135"/>
      <c r="AK87" s="189"/>
      <c r="AL87" s="189"/>
      <c r="AM87" s="133" t="str">
        <f>IF([10]回答表!AD50="●",[10]回答表!B186,"")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IF([10]回答表!F18="水道事業",IF([10]回答表!X51="●","●",""),"")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IF([10]回答表!F18="水道事業",IF([10]回答表!X51="●",[10]回答表!B197,IF([10]回答表!AA51="●",[10]回答表!B275,"")),"")</f>
        <v/>
      </c>
      <c r="AN99" s="134"/>
      <c r="AO99" s="134"/>
      <c r="AP99" s="134"/>
      <c r="AQ99" s="134"/>
      <c r="AR99" s="134"/>
      <c r="AS99" s="134"/>
      <c r="AT99" s="134"/>
      <c r="AU99" s="134"/>
      <c r="AV99" s="134"/>
      <c r="AW99" s="134"/>
      <c r="AX99" s="134"/>
      <c r="AY99" s="134"/>
      <c r="AZ99" s="134"/>
      <c r="BA99" s="134"/>
      <c r="BB99" s="134"/>
      <c r="BC99" s="135"/>
      <c r="BD99" s="109"/>
      <c r="BE99" s="109"/>
      <c r="BF99" s="138" t="str">
        <f>IF([10]回答表!F18="水道事業",IF([10]回答表!X51="●",[10]回答表!B256,IF([10]回答表!AA51="●",[10]回答表!B335,"")),"")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IF([10]回答表!F18="水道事業",IF([10]回答表!X51="●",[10]回答表!J205,IF([10]回答表!AA51="●",[10]回答表!J283,"")),"")</f>
        <v/>
      </c>
      <c r="V101" s="83"/>
      <c r="W101" s="83"/>
      <c r="X101" s="83"/>
      <c r="Y101" s="83"/>
      <c r="Z101" s="83"/>
      <c r="AA101" s="83"/>
      <c r="AB101" s="153"/>
      <c r="AC101" s="82" t="str">
        <f>IF([10]回答表!F18="水道事業",IF([10]回答表!X51="●",[10]回答表!J210,IF([10]回答表!AA51="●",[10]回答表!J290,"")),"")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IF([10]回答表!F18="水道事業",IF([10]回答表!X51="●",[10]回答表!E256,IF([10]回答表!AA51="●",[10]回答表!E335,"")),"")</f>
        <v/>
      </c>
      <c r="BG102" s="151"/>
      <c r="BH102" s="151"/>
      <c r="BI102" s="151"/>
      <c r="BJ102" s="150" t="str">
        <f>IF([10]回答表!F18="水道事業",IF([10]回答表!X51="●",[10]回答表!E257,IF([10]回答表!AA51="●",[10]回答表!E336,"")),"")</f>
        <v/>
      </c>
      <c r="BK102" s="151"/>
      <c r="BL102" s="151"/>
      <c r="BM102" s="151"/>
      <c r="BN102" s="150" t="str">
        <f>IF([10]回答表!F18="水道事業",IF([10]回答表!X51="●",[10]回答表!E258,IF([10]回答表!AA51="●",[10]回答表!E337,"")),"")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IF([10]回答表!F18="水道事業",IF([10]回答表!AA51="●","●",""),"")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IF([10]回答表!F18="水道事業",IF([10]回答表!X51="●",[10]回答表!J213,IF([10]回答表!AA51="●",[10]回答表!J293,"")),"")</f>
        <v/>
      </c>
      <c r="V106" s="83"/>
      <c r="W106" s="83"/>
      <c r="X106" s="83"/>
      <c r="Y106" s="83"/>
      <c r="Z106" s="83"/>
      <c r="AA106" s="83"/>
      <c r="AB106" s="153"/>
      <c r="AC106" s="82" t="str">
        <f>IF([10]回答表!F18="水道事業",IF([10]回答表!X51="●",[10]回答表!J217,IF([10]回答表!AA51="●",[10]回答表!J297,"")),"")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IF([10]回答表!F18="水道事業",IF([10]回答表!X51="●",[10]回答表!E265,IF([10]回答表!AA51="●",[10]回答表!E344,"")),"")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IF([10]回答表!F18="水道事業",IF([10]回答表!X51="●",[10]回答表!B267,IF([10]回答表!AA51="●",[10]回答表!B346,"")),"")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IF([10]回答表!F18="水道事業",IF([10]回答表!AD51="●","●",""),"")</f>
        <v/>
      </c>
      <c r="O118" s="131"/>
      <c r="P118" s="131"/>
      <c r="Q118" s="132"/>
      <c r="R118" s="119"/>
      <c r="S118" s="119"/>
      <c r="T118" s="119"/>
      <c r="U118" s="133" t="str">
        <f>IF([10]回答表!F18="水道事業",IF([10]回答表!AD51="●",[10]回答表!B354,""),"")</f>
        <v/>
      </c>
      <c r="V118" s="134"/>
      <c r="W118" s="134"/>
      <c r="X118" s="134"/>
      <c r="Y118" s="134"/>
      <c r="Z118" s="134"/>
      <c r="AA118" s="134"/>
      <c r="AB118" s="134"/>
      <c r="AC118" s="134"/>
      <c r="AD118" s="134"/>
      <c r="AE118" s="134"/>
      <c r="AF118" s="134"/>
      <c r="AG118" s="134"/>
      <c r="AH118" s="134"/>
      <c r="AI118" s="134"/>
      <c r="AJ118" s="135"/>
      <c r="AK118" s="189"/>
      <c r="AL118" s="189"/>
      <c r="AM118" s="133" t="str">
        <f>IF([10]回答表!F18="水道事業",IF([10]回答表!AD51="●",[10]回答表!B360,""),"")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IF([10]回答表!F18="簡易水道事業",IF([10]回答表!X51="●",[10]回答表!B197,IF([10]回答表!AA51="●",[10]回答表!B275,"")),"")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IF([10]回答表!F18="簡易水道事業",IF([10]回答表!X51="●",[10]回答表!B256,IF([10]回答表!AA51="●",[10]回答表!B335,"")),"")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IF([10]回答表!F18="簡易水道事業",IF([10]回答表!X51="●","●",""),"")</f>
        <v/>
      </c>
      <c r="O132" s="131"/>
      <c r="P132" s="131"/>
      <c r="Q132" s="132"/>
      <c r="R132" s="119"/>
      <c r="S132" s="119"/>
      <c r="T132" s="119"/>
      <c r="U132" s="82" t="str">
        <f>IF([10]回答表!F18="簡易水道事業",IF([10]回答表!X51="●",[10]回答表!S224,IF([10]回答表!AA51="●",[10]回答表!S304,"")),"")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IF([10]回答表!F18="簡易水道事業",IF([10]回答表!X51="●",[10]回答表!E256,IF([10]回答表!AA51="●",[10]回答表!E335,"")),"")</f>
        <v/>
      </c>
      <c r="BG133" s="151"/>
      <c r="BH133" s="151"/>
      <c r="BI133" s="151"/>
      <c r="BJ133" s="150" t="str">
        <f>IF([10]回答表!F18="簡易水道事業",IF([10]回答表!X51="●",[10]回答表!E257,IF([10]回答表!AA51="●",[10]回答表!E336,"")),"")</f>
        <v/>
      </c>
      <c r="BK133" s="151"/>
      <c r="BL133" s="151"/>
      <c r="BM133" s="151"/>
      <c r="BN133" s="150" t="str">
        <f>IF([10]回答表!F18="簡易水道事業",IF([10]回答表!X51="●",[10]回答表!E258,IF([10]回答表!AA51="●",[10]回答表!E337,"")),"")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IF([10]回答表!F18="簡易水道事業",IF([10]回答表!X51="●",[10]回答表!S225,IF([10]回答表!AA51="●",[10]回答表!S305,"")),"")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IF([10]回答表!F18="簡易水道事業",IF([10]回答表!AA51="●","●",""),"")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IF([10]回答表!F18="簡易水道事業",IF([10]回答表!X51="●",[10]回答表!S226,IF([10]回答表!AA51="●",[10]回答表!S306,"")),"")</f>
        <v/>
      </c>
      <c r="V142" s="83"/>
      <c r="W142" s="83"/>
      <c r="X142" s="83"/>
      <c r="Y142" s="83"/>
      <c r="Z142" s="83"/>
      <c r="AA142" s="83"/>
      <c r="AB142" s="83"/>
      <c r="AC142" s="83"/>
      <c r="AD142" s="83"/>
      <c r="AE142" s="83"/>
      <c r="AF142" s="83"/>
      <c r="AG142" s="83"/>
      <c r="AH142" s="83"/>
      <c r="AI142" s="83"/>
      <c r="AJ142" s="153"/>
      <c r="AK142" s="68"/>
      <c r="AL142" s="68"/>
      <c r="AM142" s="231" t="str">
        <f>IF([10]回答表!F18="簡易水道事業",IF([10]回答表!X51="●",[10]回答表!Y228,IF([10]回答表!AA51="●",[10]回答表!Y308,"")),"")</f>
        <v/>
      </c>
      <c r="AN142" s="231"/>
      <c r="AO142" s="231"/>
      <c r="AP142" s="231"/>
      <c r="AQ142" s="231"/>
      <c r="AR142" s="231"/>
      <c r="AS142" s="231" t="str">
        <f>IF([10]回答表!F18="簡易水道事業",IF([10]回答表!X51="●",[10]回答表!Y229,IF([10]回答表!AA51="●",[10]回答表!Y309,"")),"")</f>
        <v/>
      </c>
      <c r="AT142" s="231"/>
      <c r="AU142" s="231"/>
      <c r="AV142" s="231"/>
      <c r="AW142" s="231"/>
      <c r="AX142" s="231"/>
      <c r="AY142" s="231" t="str">
        <f>IF([10]回答表!F18="簡易水道事業",IF([10]回答表!X51="●",[10]回答表!Y230,IF([10]回答表!AA51="●",[10]回答表!Y310,"")),"")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IF([10]回答表!F18="簡易水道事業",IF([10]回答表!X51="●",[10]回答表!E265,IF([10]回答表!AA51="●",[10]回答表!E344,"")),"")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IF([10]回答表!F18="簡易水道事業",IF([10]回答表!X51="●",[10]回答表!B267,IF([10]回答表!AA51="●",[10]回答表!B346,"")),"")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IF([10]回答表!F18="簡易水道事業",IF([10]回答表!AD51="●","●",""),"")</f>
        <v/>
      </c>
      <c r="O154" s="131"/>
      <c r="P154" s="131"/>
      <c r="Q154" s="132"/>
      <c r="R154" s="119"/>
      <c r="S154" s="119"/>
      <c r="T154" s="119"/>
      <c r="U154" s="133" t="str">
        <f>IF([10]回答表!F18="簡易水道事業",IF([10]回答表!AD51="●",[10]回答表!B354,""),"")</f>
        <v/>
      </c>
      <c r="V154" s="134"/>
      <c r="W154" s="134"/>
      <c r="X154" s="134"/>
      <c r="Y154" s="134"/>
      <c r="Z154" s="134"/>
      <c r="AA154" s="134"/>
      <c r="AB154" s="134"/>
      <c r="AC154" s="134"/>
      <c r="AD154" s="134"/>
      <c r="AE154" s="134"/>
      <c r="AF154" s="134"/>
      <c r="AG154" s="134"/>
      <c r="AH154" s="134"/>
      <c r="AI154" s="134"/>
      <c r="AJ154" s="135"/>
      <c r="AK154" s="189"/>
      <c r="AL154" s="189"/>
      <c r="AM154" s="133" t="str">
        <f>IF([10]回答表!F18="簡易水道事業",IF([10]回答表!AD51="●",[10]回答表!B360,""),"")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IF([10]回答表!F18="下水道事業",IF([10]回答表!X51="●","●",""),"")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IF([10]回答表!F18="下水道事業",IF([10]回答表!X51="●",[10]回答表!B197,IF([10]回答表!AA51="●",[10]回答表!B275,"")),"")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IF([10]回答表!F18="下水道事業",IF([10]回答表!X51="●",[10]回答表!B256,IF([10]回答表!AA51="●",[10]回答表!B335,"")),"")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IF([10]回答表!F18="下水道事業",IF([10]回答表!X51="●",[10]回答表!N234,IF([10]回答表!AA51="●",[10]回答表!N314,"")),"")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IF([10]回答表!F18="下水道事業",IF([10]回答表!X51="●",[10]回答表!E256,IF([10]回答表!AA51="●",[10]回答表!E335,"")),"")</f>
        <v/>
      </c>
      <c r="BG169" s="151"/>
      <c r="BH169" s="151"/>
      <c r="BI169" s="151"/>
      <c r="BJ169" s="150" t="str">
        <f>IF([10]回答表!F18="下水道事業",IF([10]回答表!X51="●",[10]回答表!E257,IF([10]回答表!AA51="●",[10]回答表!E336,"")),"")</f>
        <v/>
      </c>
      <c r="BK169" s="151"/>
      <c r="BL169" s="151"/>
      <c r="BM169" s="151"/>
      <c r="BN169" s="150" t="str">
        <f>IF([10]回答表!F18="下水道事業",IF([10]回答表!X51="●",[10]回答表!E258,IF([10]回答表!AA51="●",[10]回答表!E337,"")),"")</f>
        <v/>
      </c>
      <c r="BO169" s="151"/>
      <c r="BP169" s="151"/>
      <c r="BQ169" s="152"/>
      <c r="BR169" s="112"/>
      <c r="BX169" s="234" t="str">
        <f>IF([10]回答表!AQ21="下水道事業",IF([10]回答表!BI54="○",[10]回答表!AM200,IF([10]回答表!BL54="○",[10]回答表!AM278,"")),"")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IF([10]回答表!F18="下水道事業",IF([10]回答表!X51="●",[10]回答表!Y236,IF([10]回答表!AA51="●",[10]回答表!Y316,"")),"")</f>
        <v/>
      </c>
      <c r="V174" s="83"/>
      <c r="W174" s="83"/>
      <c r="X174" s="83"/>
      <c r="Y174" s="83"/>
      <c r="Z174" s="83"/>
      <c r="AA174" s="83"/>
      <c r="AB174" s="153"/>
      <c r="AC174" s="82" t="str">
        <f>IF([10]回答表!F18="下水道事業",IF([10]回答表!X51="●",[10]回答表!Y237,IF([10]回答表!AA51="●",[10]回答表!Y317,"")),"")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IF([10]回答表!F18="下水道事業",IF([10]回答表!X51="●",[10]回答表!Y239,IF([10]回答表!AA51="●",[10]回答表!Y319,"")),"")</f>
        <v/>
      </c>
      <c r="V180" s="83"/>
      <c r="W180" s="83"/>
      <c r="X180" s="83"/>
      <c r="Y180" s="83"/>
      <c r="Z180" s="83"/>
      <c r="AA180" s="83"/>
      <c r="AB180" s="153"/>
      <c r="AC180" s="82" t="str">
        <f>IF([10]回答表!F18="下水道事業",IF([10]回答表!X51="●",[10]回答表!Y240,IF([10]回答表!AA51="●",[10]回答表!Y320,"")),"")</f>
        <v/>
      </c>
      <c r="AD180" s="83"/>
      <c r="AE180" s="83"/>
      <c r="AF180" s="83"/>
      <c r="AG180" s="83"/>
      <c r="AH180" s="83"/>
      <c r="AI180" s="83"/>
      <c r="AJ180" s="153"/>
      <c r="AK180" s="82" t="str">
        <f>IF([10]回答表!F18="下水道事業",IF([10]回答表!X51="●",[10]回答表!Y241,IF([10]回答表!AA51="●",[10]回答表!Y321,"")),"")</f>
        <v/>
      </c>
      <c r="AL180" s="83"/>
      <c r="AM180" s="83"/>
      <c r="AN180" s="83"/>
      <c r="AO180" s="83"/>
      <c r="AP180" s="83"/>
      <c r="AQ180" s="83"/>
      <c r="AR180" s="153"/>
      <c r="AS180" s="82" t="str">
        <f>IF([10]回答表!F18="下水道事業",IF([10]回答表!X51="●",[10]回答表!Y242,IF([10]回答表!AA51="●",[10]回答表!Y322,"")),"")</f>
        <v/>
      </c>
      <c r="AT180" s="83"/>
      <c r="AU180" s="83"/>
      <c r="AV180" s="83"/>
      <c r="AW180" s="83"/>
      <c r="AX180" s="83"/>
      <c r="AY180" s="83"/>
      <c r="AZ180" s="153"/>
      <c r="BA180" s="82" t="str">
        <f>IF([10]回答表!F18="下水道事業",IF([10]回答表!X51="●",[10]回答表!Y243,IF([10]回答表!AA51="●",[10]回答表!Y323,"")),"")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IF([10]回答表!F18="下水道事業",IF([10]回答表!AA51="●","●",""),"")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IF([10]回答表!F18="下水道事業",IF([10]回答表!X51="●",[10]回答表!N248,IF([10]回答表!AA51="●",[10]回答表!N328,"")),"")</f>
        <v/>
      </c>
      <c r="V186" s="83"/>
      <c r="W186" s="83"/>
      <c r="X186" s="83"/>
      <c r="Y186" s="83"/>
      <c r="Z186" s="83"/>
      <c r="AA186" s="83"/>
      <c r="AB186" s="153"/>
      <c r="AC186" s="82" t="str">
        <f>IF([10]回答表!F18="下水道事業",IF([10]回答表!X51="●",[10]回答表!N249,IF([10]回答表!AA51="●",[10]回答表!N329,"")),"")</f>
        <v/>
      </c>
      <c r="AD186" s="83"/>
      <c r="AE186" s="83"/>
      <c r="AF186" s="83"/>
      <c r="AG186" s="83"/>
      <c r="AH186" s="83"/>
      <c r="AI186" s="83"/>
      <c r="AJ186" s="153"/>
      <c r="AK186" s="82" t="str">
        <f>IF([10]回答表!F18="下水道事業",IF([10]回答表!X51="●",[10]回答表!N250,IF([10]回答表!AA51="●",[10]回答表!N330,"")),"")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IF([10]回答表!F18="下水道事業",IF([10]回答表!X51="●",[10]回答表!E265,IF([10]回答表!AA51="●",[10]回答表!E344,"")),"")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IF([10]回答表!F18="下水道事業",IF([10]回答表!X51="●",[10]回答表!B267,IF([10]回答表!AA51="●",[10]回答表!B346,"")),"")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IF([10]回答表!F18="下水道事業",IF([10]回答表!AD51="●","●",""),"")</f>
        <v/>
      </c>
      <c r="O198" s="131"/>
      <c r="P198" s="131"/>
      <c r="Q198" s="132"/>
      <c r="R198" s="119"/>
      <c r="S198" s="119"/>
      <c r="T198" s="119"/>
      <c r="U198" s="133" t="str">
        <f>IF([10]回答表!F18="下水道事業",IF([10]回答表!AD51="●",[10]回答表!B354,""),"")</f>
        <v/>
      </c>
      <c r="V198" s="134"/>
      <c r="W198" s="134"/>
      <c r="X198" s="134"/>
      <c r="Y198" s="134"/>
      <c r="Z198" s="134"/>
      <c r="AA198" s="134"/>
      <c r="AB198" s="134"/>
      <c r="AC198" s="134"/>
      <c r="AD198" s="134"/>
      <c r="AE198" s="134"/>
      <c r="AF198" s="134"/>
      <c r="AG198" s="134"/>
      <c r="AH198" s="134"/>
      <c r="AI198" s="134"/>
      <c r="AJ198" s="135"/>
      <c r="AK198" s="189"/>
      <c r="AL198" s="189"/>
      <c r="AM198" s="133" t="str">
        <f>IF([10]回答表!F18="下水道事業",IF([10]回答表!AD51="●",[10]回答表!B360,""),"")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IF([10]回答表!BD18="●",IF([10]回答表!X51="●","●",""),"")</f>
        <v/>
      </c>
      <c r="O210" s="131"/>
      <c r="P210" s="131"/>
      <c r="Q210" s="132"/>
      <c r="R210" s="119"/>
      <c r="S210" s="119"/>
      <c r="T210" s="119"/>
      <c r="U210" s="133" t="str">
        <f>IF([10]回答表!BD18="●",IF([10]回答表!X51="●",[10]回答表!B197,IF([10]回答表!AA51="●",[10]回答表!B275,"")),"")</f>
        <v/>
      </c>
      <c r="V210" s="134"/>
      <c r="W210" s="134"/>
      <c r="X210" s="134"/>
      <c r="Y210" s="134"/>
      <c r="Z210" s="134"/>
      <c r="AA210" s="134"/>
      <c r="AB210" s="134"/>
      <c r="AC210" s="134"/>
      <c r="AD210" s="134"/>
      <c r="AE210" s="134"/>
      <c r="AF210" s="134"/>
      <c r="AG210" s="134"/>
      <c r="AH210" s="134"/>
      <c r="AI210" s="134"/>
      <c r="AJ210" s="135"/>
      <c r="AK210" s="136"/>
      <c r="AL210" s="136"/>
      <c r="AM210" s="138" t="str">
        <f>IF([10]回答表!BD18="●",IF([10]回答表!X51="●",[10]回答表!B256,IF([10]回答表!AA51="●",[10]回答表!B335,"")),"")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IF([10]回答表!BD18="●",IF([10]回答表!X51="●",[10]回答表!E256,IF([10]回答表!AA51="●",[10]回答表!E335,"")),"")</f>
        <v/>
      </c>
      <c r="AN213" s="151"/>
      <c r="AO213" s="151"/>
      <c r="AP213" s="151"/>
      <c r="AQ213" s="150" t="str">
        <f>IF([10]回答表!BD18="●",IF([10]回答表!X51="●",[10]回答表!E257,IF([10]回答表!AA51="●",[10]回答表!E336,"")),"")</f>
        <v/>
      </c>
      <c r="AR213" s="151"/>
      <c r="AS213" s="151"/>
      <c r="AT213" s="151"/>
      <c r="AU213" s="150" t="str">
        <f>IF([10]回答表!BD18="●",IF([10]回答表!X51="●",[10]回答表!E258,IF([10]回答表!AA51="●",[10]回答表!E337,"")),"")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IF([10]回答表!BD18="●",IF([10]回答表!AA51="●","●",""),"")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IF([10]回答表!BD18="●",IF([10]回答表!X51="●",[10]回答表!E265,IF([10]回答表!AA51="●",[10]回答表!E344,"")),"")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IF([10]回答表!BD18="●",IF([10]回答表!X51="●",[10]回答表!B267,IF([10]回答表!AA51="●",[10]回答表!B346,"")),"")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IF([10]回答表!BD18="●",IF([10]回答表!AD51="●","●",""),"")</f>
        <v/>
      </c>
      <c r="O229" s="131"/>
      <c r="P229" s="131"/>
      <c r="Q229" s="132"/>
      <c r="R229" s="119"/>
      <c r="S229" s="119"/>
      <c r="T229" s="119"/>
      <c r="U229" s="133" t="str">
        <f>IF([10]回答表!BD18="●",IF([10]回答表!AD51="●",[10]回答表!B354,""),"")</f>
        <v/>
      </c>
      <c r="V229" s="134"/>
      <c r="W229" s="134"/>
      <c r="X229" s="134"/>
      <c r="Y229" s="134"/>
      <c r="Z229" s="134"/>
      <c r="AA229" s="134"/>
      <c r="AB229" s="134"/>
      <c r="AC229" s="134"/>
      <c r="AD229" s="134"/>
      <c r="AE229" s="134"/>
      <c r="AF229" s="134"/>
      <c r="AG229" s="134"/>
      <c r="AH229" s="134"/>
      <c r="AI229" s="134"/>
      <c r="AJ229" s="135"/>
      <c r="AK229" s="249"/>
      <c r="AL229" s="249"/>
      <c r="AM229" s="133" t="str">
        <f>IF([10]回答表!BD18="●",IF([10]回答表!AD51="●",[10]回答表!B360,""),"")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IF([10]回答表!X52="●","●","")</f>
        <v/>
      </c>
      <c r="O241" s="131"/>
      <c r="P241" s="131"/>
      <c r="Q241" s="132"/>
      <c r="R241" s="119"/>
      <c r="S241" s="119"/>
      <c r="T241" s="119"/>
      <c r="U241" s="133" t="str">
        <f>IF([10]回答表!X52="●",[10]回答表!B371,IF([10]回答表!AA52="●",[10]回答表!B396,""))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IF([10]回答表!X52="●",[10]回答表!U377,IF([10]回答表!AA52="●",[10]回答表!U402,""))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IF([10]回答表!X52="●",[10]回答表!G377,IF([10]回答表!AA52="●",[10]回答表!G402,""))</f>
        <v/>
      </c>
      <c r="AN244" s="83"/>
      <c r="AO244" s="83"/>
      <c r="AP244" s="83"/>
      <c r="AQ244" s="83"/>
      <c r="AR244" s="83"/>
      <c r="AS244" s="83"/>
      <c r="AT244" s="153"/>
      <c r="AU244" s="82" t="str">
        <f>IF([10]回答表!X52="●",[10]回答表!G378,IF([10]回答表!AA52="●",[10]回答表!G403,""))</f>
        <v/>
      </c>
      <c r="AV244" s="83"/>
      <c r="AW244" s="83"/>
      <c r="AX244" s="83"/>
      <c r="AY244" s="83"/>
      <c r="AZ244" s="83"/>
      <c r="BA244" s="83"/>
      <c r="BB244" s="153"/>
      <c r="BC244" s="120"/>
      <c r="BD244" s="109"/>
      <c r="BE244" s="109"/>
      <c r="BF244" s="150" t="str">
        <f>IF([10]回答表!X52="●",[10]回答表!X377,IF([10]回答表!AA52="●",[10]回答表!X402,""))</f>
        <v/>
      </c>
      <c r="BG244" s="151"/>
      <c r="BH244" s="151"/>
      <c r="BI244" s="151"/>
      <c r="BJ244" s="150" t="str">
        <f>IF([10]回答表!X52="●",[10]回答表!X378,IF([10]回答表!AA52="●",[10]回答表!X403,""))</f>
        <v/>
      </c>
      <c r="BK244" s="151"/>
      <c r="BL244" s="151"/>
      <c r="BM244" s="152"/>
      <c r="BN244" s="150" t="str">
        <f>IF([10]回答表!X52="●",[10]回答表!X379,IF([10]回答表!AA52="●",[10]回答表!X404,""))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IF([10]回答表!AA52="●","●","")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IF([10]回答表!X52="●",[10]回答表!E386,IF([10]回答表!AA52="●",[10]回答表!E407,""))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IF([10]回答表!X52="●",[10]回答表!B388,IF([10]回答表!AA52="●",[10]回答表!B409,""))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IF([10]回答表!AD52="●","●","")</f>
        <v/>
      </c>
      <c r="O260" s="131"/>
      <c r="P260" s="131"/>
      <c r="Q260" s="132"/>
      <c r="R260" s="119"/>
      <c r="S260" s="119"/>
      <c r="T260" s="119"/>
      <c r="U260" s="133" t="str">
        <f>IF([10]回答表!AD52="●",[10]回答表!B417,"")</f>
        <v/>
      </c>
      <c r="V260" s="134"/>
      <c r="W260" s="134"/>
      <c r="X260" s="134"/>
      <c r="Y260" s="134"/>
      <c r="Z260" s="134"/>
      <c r="AA260" s="134"/>
      <c r="AB260" s="134"/>
      <c r="AC260" s="134"/>
      <c r="AD260" s="134"/>
      <c r="AE260" s="134"/>
      <c r="AF260" s="134"/>
      <c r="AG260" s="134"/>
      <c r="AH260" s="134"/>
      <c r="AI260" s="134"/>
      <c r="AJ260" s="135"/>
      <c r="AK260" s="249"/>
      <c r="AL260" s="249"/>
      <c r="AM260" s="133" t="str">
        <f>IF([10]回答表!AD52="●",[10]回答表!B423,"")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IF([10]回答表!X53="●","●","")</f>
        <v/>
      </c>
      <c r="O272" s="131"/>
      <c r="P272" s="131"/>
      <c r="Q272" s="132"/>
      <c r="R272" s="119"/>
      <c r="S272" s="119"/>
      <c r="T272" s="119"/>
      <c r="U272" s="133" t="str">
        <f>IF([10]回答表!X53="●",[10]回答表!B434,IF([10]回答表!AA53="●",[10]回答表!B465,""))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IF([10]回答表!X53="●",[10]回答表!B440,"")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IF([10]回答表!X53="●",[10]回答表!B446,IF([10]回答表!AA53="●",[10]回答表!B471,""))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IF([10]回答表!X53="●",[10]回答表!E446,IF([10]回答表!AA53="●",[10]回答表!E471,""))</f>
        <v/>
      </c>
      <c r="BG275" s="151"/>
      <c r="BH275" s="151"/>
      <c r="BI275" s="151"/>
      <c r="BJ275" s="150" t="str">
        <f>IF([10]回答表!X53="●",[10]回答表!E447,IF([10]回答表!AA53="●",[10]回答表!E472,""))</f>
        <v/>
      </c>
      <c r="BK275" s="151"/>
      <c r="BL275" s="151"/>
      <c r="BM275" s="152"/>
      <c r="BN275" s="150" t="str">
        <f>IF([10]回答表!X53="●",[10]回答表!E448,IF([10]回答表!AA53="●",[10]回答表!E473,""))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IF([10]回答表!AA53="●","●","")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IF([10]回答表!X53="●",[10]回答表!E455,IF([10]回答表!AA53="●",[10]回答表!E476,""))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IF([10]回答表!X53="●",[10]回答表!B457,IF([10]回答表!AA53="●",[10]回答表!B478,""))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IF([10]回答表!AD53="●","●","")</f>
        <v/>
      </c>
      <c r="O291" s="131"/>
      <c r="P291" s="131"/>
      <c r="Q291" s="132"/>
      <c r="R291" s="119"/>
      <c r="S291" s="119"/>
      <c r="T291" s="119"/>
      <c r="U291" s="133" t="str">
        <f>IF([10]回答表!AD53="●",[10]回答表!B486,"")</f>
        <v/>
      </c>
      <c r="V291" s="134"/>
      <c r="W291" s="134"/>
      <c r="X291" s="134"/>
      <c r="Y291" s="134"/>
      <c r="Z291" s="134"/>
      <c r="AA291" s="134"/>
      <c r="AB291" s="134"/>
      <c r="AC291" s="134"/>
      <c r="AD291" s="134"/>
      <c r="AE291" s="134"/>
      <c r="AF291" s="134"/>
      <c r="AG291" s="134"/>
      <c r="AH291" s="134"/>
      <c r="AI291" s="134"/>
      <c r="AJ291" s="135"/>
      <c r="AK291" s="249"/>
      <c r="AL291" s="249"/>
      <c r="AM291" s="133" t="str">
        <f>IF([10]回答表!AD53="●",[10]回答表!B492,"")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IF([10]回答表!X54="●","●","")</f>
        <v/>
      </c>
      <c r="O303" s="131"/>
      <c r="P303" s="131"/>
      <c r="Q303" s="132"/>
      <c r="R303" s="119"/>
      <c r="S303" s="119"/>
      <c r="T303" s="119"/>
      <c r="U303" s="133" t="str">
        <f>IF([10]回答表!X54="●",[10]回答表!B503,IF([10]回答表!AA54="●",[10]回答表!B526,""))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IF([10]回答表!X54="●",[10]回答表!BC510,IF([10]回答表!AA54="●",[10]回答表!BC533,""))</f>
        <v/>
      </c>
      <c r="AR303" s="271"/>
      <c r="AS303" s="271"/>
      <c r="AT303" s="271"/>
      <c r="AU303" s="272" t="s">
        <v>74</v>
      </c>
      <c r="AV303" s="273"/>
      <c r="AW303" s="273"/>
      <c r="AX303" s="274"/>
      <c r="AY303" s="271" t="str">
        <f>IF([10]回答表!X54="●",[10]回答表!BC515,IF([10]回答表!AA54="●",[10]回答表!BC538,""))</f>
        <v/>
      </c>
      <c r="AZ303" s="271"/>
      <c r="BA303" s="271"/>
      <c r="BB303" s="271"/>
      <c r="BC303" s="120"/>
      <c r="BD303" s="109"/>
      <c r="BE303" s="109"/>
      <c r="BF303" s="138" t="str">
        <f>IF([10]回答表!X54="●",[10]回答表!S509,IF([10]回答表!AA54="●",[10]回答表!S532,""))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IF([10]回答表!X54="●",[10]回答表!BC511,IF([10]回答表!AA54="●",[10]回答表!BC534,""))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IF([10]回答表!X54="●",[10]回答表!V509,IF([10]回答表!AA54="●",[10]回答表!V532,""))</f>
        <v/>
      </c>
      <c r="BG306" s="151"/>
      <c r="BH306" s="151"/>
      <c r="BI306" s="151"/>
      <c r="BJ306" s="150" t="str">
        <f>IF([10]回答表!X54="●",[10]回答表!V510,IF([10]回答表!AA54="●",[10]回答表!V533,""))</f>
        <v/>
      </c>
      <c r="BK306" s="151"/>
      <c r="BL306" s="151"/>
      <c r="BM306" s="152"/>
      <c r="BN306" s="150" t="str">
        <f>IF([10]回答表!X54="●",[10]回答表!V511,IF([10]回答表!AA54="●",[10]回答表!V534,""))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IF([10]回答表!X54="●",[10]回答表!BC512,IF([10]回答表!AA54="●",[10]回答表!BC535,""))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IF([10]回答表!X54="●",[10]回答表!BC516,IF([10]回答表!AA54="●",[10]回答表!BC539,""))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IF([10]回答表!AA54="●","●","")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IF([10]回答表!X54="●",[10]回答表!BC513,IF([10]回答表!AA54="●",[10]回答表!BC536,""))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IF([10]回答表!X54="●",[10]回答表!BC514,IF([10]回答表!AA54="●",[10]回答表!BC537,""))</f>
        <v/>
      </c>
      <c r="AR311" s="271"/>
      <c r="AS311" s="271"/>
      <c r="AT311" s="271"/>
      <c r="AU311" s="222" t="s">
        <v>80</v>
      </c>
      <c r="AV311" s="223"/>
      <c r="AW311" s="223"/>
      <c r="AX311" s="224"/>
      <c r="AY311" s="281" t="str">
        <f>IF([10]回答表!X54="●",[10]回答表!BC517,IF([10]回答表!AA54="●",[10]回答表!BC540,""))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IF([10]回答表!X54="●",[10]回答表!E516,IF([10]回答表!AA54="●",[10]回答表!E538,""))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IF([10]回答表!X54="●",[10]回答表!B518,IF([10]回答表!AA54="●",[10]回答表!B540,""))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IF([10]回答表!AD54="●","●","")</f>
        <v/>
      </c>
      <c r="O322" s="131"/>
      <c r="P322" s="131"/>
      <c r="Q322" s="132"/>
      <c r="R322" s="119"/>
      <c r="S322" s="119"/>
      <c r="T322" s="119"/>
      <c r="U322" s="133" t="str">
        <f>IF([10]回答表!AD54="●",[10]回答表!B548,"")</f>
        <v/>
      </c>
      <c r="V322" s="134"/>
      <c r="W322" s="134"/>
      <c r="X322" s="134"/>
      <c r="Y322" s="134"/>
      <c r="Z322" s="134"/>
      <c r="AA322" s="134"/>
      <c r="AB322" s="134"/>
      <c r="AC322" s="134"/>
      <c r="AD322" s="134"/>
      <c r="AE322" s="134"/>
      <c r="AF322" s="134"/>
      <c r="AG322" s="134"/>
      <c r="AH322" s="134"/>
      <c r="AI322" s="134"/>
      <c r="AJ322" s="135"/>
      <c r="AK322" s="189"/>
      <c r="AL322" s="189"/>
      <c r="AM322" s="133" t="str">
        <f>IF([10]回答表!AD54="●",[10]回答表!B554,"")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IF([10]回答表!X55="●","●","")</f>
        <v/>
      </c>
      <c r="O333" s="131"/>
      <c r="P333" s="131"/>
      <c r="Q333" s="132"/>
      <c r="R333" s="119"/>
      <c r="S333" s="119"/>
      <c r="T333" s="119"/>
      <c r="U333" s="133" t="str">
        <f>IF([10]回答表!X55="●",[10]回答表!B565,IF([10]回答表!AA55="●",[10]回答表!B590,""))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IF([10]回答表!X55="●",[10]回答表!B575,IF([10]回答表!AA55="●",[10]回答表!B600,""))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IF([10]回答表!X55="●",[10]回答表!G571,IF([10]回答表!AA55="●",[10]回答表!G596,""))</f>
        <v/>
      </c>
      <c r="AN335" s="83"/>
      <c r="AO335" s="83"/>
      <c r="AP335" s="83"/>
      <c r="AQ335" s="83"/>
      <c r="AR335" s="83"/>
      <c r="AS335" s="83"/>
      <c r="AT335" s="153"/>
      <c r="AU335" s="82" t="str">
        <f>IF([10]回答表!X55="●",[10]回答表!G572,IF([10]回答表!AA55="●",[10]回答表!G597,""))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IF([10]回答表!X55="●",[10]回答表!E575,IF([10]回答表!AA55="●",[10]回答表!E600,""))</f>
        <v/>
      </c>
      <c r="BG336" s="151"/>
      <c r="BH336" s="151"/>
      <c r="BI336" s="151"/>
      <c r="BJ336" s="150" t="str">
        <f>IF([10]回答表!X55="●",[10]回答表!E576,IF([10]回答表!AA55="●",[10]回答表!E601,""))</f>
        <v/>
      </c>
      <c r="BK336" s="151"/>
      <c r="BL336" s="151"/>
      <c r="BM336" s="152"/>
      <c r="BN336" s="150" t="str">
        <f>IF([10]回答表!X55="●",[10]回答表!E577,IF([10]回答表!AA55="●",[10]回答表!E602,""))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IF([10]回答表!AA55="●","●","")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IF([10]回答表!X55="●",[10]回答表!E580,IF([10]回答表!AA55="●",[10]回答表!E605,""))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IF([10]回答表!X55="●",[10]回答表!B582,IF([10]回答表!AA55="●",[10]回答表!B607,""))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IF([10]回答表!AD55="●","●","")</f>
        <v/>
      </c>
      <c r="O352" s="131"/>
      <c r="P352" s="131"/>
      <c r="Q352" s="132"/>
      <c r="R352" s="119"/>
      <c r="S352" s="119"/>
      <c r="T352" s="119"/>
      <c r="U352" s="133" t="str">
        <f>IF([10]回答表!AD55="●",[10]回答表!B615,"")</f>
        <v/>
      </c>
      <c r="V352" s="134"/>
      <c r="W352" s="134"/>
      <c r="X352" s="134"/>
      <c r="Y352" s="134"/>
      <c r="Z352" s="134"/>
      <c r="AA352" s="134"/>
      <c r="AB352" s="134"/>
      <c r="AC352" s="134"/>
      <c r="AD352" s="134"/>
      <c r="AE352" s="134"/>
      <c r="AF352" s="134"/>
      <c r="AG352" s="134"/>
      <c r="AH352" s="134"/>
      <c r="AI352" s="134"/>
      <c r="AJ352" s="135"/>
      <c r="AK352" s="136"/>
      <c r="AL352" s="136"/>
      <c r="AM352" s="133" t="str">
        <f>IF([10]回答表!AD55="●",[10]回答表!B621,"")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IF([10]回答表!R56="●",[10]回答表!B634,"")</f>
        <v>　真木関根小水力発電施設の発電事業は、令和元年度から事業開始し令和３年度末に経営戦略を策定したが、経営体制・手法を見直すには日が浅く、更に予算規模も少額である。そして、農業用水路を活用した再生可能エネルギーの普及・啓発のため反復的に発電事業を行うことが目的であることから現行の経営体制・手法で対応可能と考えてい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2000-CF8C-48ED-9670-0594B0831AA5}">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IF(COUNTIF([11]回答表!K16,"*")&gt;0,[11]回答表!K16,"")</f>
        <v>大仙市</v>
      </c>
      <c r="D11" s="8"/>
      <c r="E11" s="8"/>
      <c r="F11" s="8"/>
      <c r="G11" s="8"/>
      <c r="H11" s="8"/>
      <c r="I11" s="8"/>
      <c r="J11" s="8"/>
      <c r="K11" s="8"/>
      <c r="L11" s="8"/>
      <c r="M11" s="8"/>
      <c r="N11" s="8"/>
      <c r="O11" s="8"/>
      <c r="P11" s="8"/>
      <c r="Q11" s="8"/>
      <c r="R11" s="8"/>
      <c r="S11" s="8"/>
      <c r="T11" s="8"/>
      <c r="U11" s="22" t="str">
        <f>IF(COUNTIF([11]回答表!F18,"*")&gt;0,[11]回答表!F18,"")</f>
        <v>電気事業</v>
      </c>
      <c r="V11" s="23"/>
      <c r="W11" s="23"/>
      <c r="X11" s="23"/>
      <c r="Y11" s="23"/>
      <c r="Z11" s="23"/>
      <c r="AA11" s="23"/>
      <c r="AB11" s="23"/>
      <c r="AC11" s="23"/>
      <c r="AD11" s="23"/>
      <c r="AE11" s="23"/>
      <c r="AF11" s="10"/>
      <c r="AG11" s="10"/>
      <c r="AH11" s="10"/>
      <c r="AI11" s="10"/>
      <c r="AJ11" s="10"/>
      <c r="AK11" s="10"/>
      <c r="AL11" s="10"/>
      <c r="AM11" s="10"/>
      <c r="AN11" s="11"/>
      <c r="AO11" s="24" t="str">
        <f>IF(COUNTIF([11]回答表!W18,"*")&gt;0,[11]回答表!W18,"")</f>
        <v>―</v>
      </c>
      <c r="AP11" s="10"/>
      <c r="AQ11" s="10"/>
      <c r="AR11" s="10"/>
      <c r="AS11" s="10"/>
      <c r="AT11" s="10"/>
      <c r="AU11" s="10"/>
      <c r="AV11" s="10"/>
      <c r="AW11" s="10"/>
      <c r="AX11" s="10"/>
      <c r="AY11" s="10"/>
      <c r="AZ11" s="10"/>
      <c r="BA11" s="10"/>
      <c r="BB11" s="10"/>
      <c r="BC11" s="10"/>
      <c r="BD11" s="10"/>
      <c r="BE11" s="10"/>
      <c r="BF11" s="11"/>
      <c r="BG11" s="21" t="str">
        <f>IF(COUNTIF([11]回答表!F20,"*")&gt;0,[11]回答表!F20,"")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IF([11]回答表!R49="●","●","")</f>
        <v/>
      </c>
      <c r="E24" s="80"/>
      <c r="F24" s="80"/>
      <c r="G24" s="80"/>
      <c r="H24" s="80"/>
      <c r="I24" s="80"/>
      <c r="J24" s="81"/>
      <c r="K24" s="79" t="str">
        <f>IF([11]回答表!R50="●","●","")</f>
        <v/>
      </c>
      <c r="L24" s="80"/>
      <c r="M24" s="80"/>
      <c r="N24" s="80"/>
      <c r="O24" s="80"/>
      <c r="P24" s="80"/>
      <c r="Q24" s="81"/>
      <c r="R24" s="79" t="str">
        <f>IF([11]回答表!R51="●","●","")</f>
        <v/>
      </c>
      <c r="S24" s="80"/>
      <c r="T24" s="80"/>
      <c r="U24" s="80"/>
      <c r="V24" s="80"/>
      <c r="W24" s="80"/>
      <c r="X24" s="81"/>
      <c r="Y24" s="79" t="str">
        <f>IF([11]回答表!R52="●","●","")</f>
        <v/>
      </c>
      <c r="Z24" s="80"/>
      <c r="AA24" s="80"/>
      <c r="AB24" s="80"/>
      <c r="AC24" s="80"/>
      <c r="AD24" s="80"/>
      <c r="AE24" s="81"/>
      <c r="AF24" s="79" t="str">
        <f>IF([11]回答表!R53="●","●","")</f>
        <v/>
      </c>
      <c r="AG24" s="80"/>
      <c r="AH24" s="80"/>
      <c r="AI24" s="80"/>
      <c r="AJ24" s="80"/>
      <c r="AK24" s="80"/>
      <c r="AL24" s="81"/>
      <c r="AM24" s="79" t="str">
        <f>IF([11]回答表!R54="●","●","")</f>
        <v/>
      </c>
      <c r="AN24" s="80"/>
      <c r="AO24" s="80"/>
      <c r="AP24" s="80"/>
      <c r="AQ24" s="80"/>
      <c r="AR24" s="80"/>
      <c r="AS24" s="81"/>
      <c r="AT24" s="79" t="str">
        <f>IF([11]回答表!R55="●","●","")</f>
        <v/>
      </c>
      <c r="AU24" s="80"/>
      <c r="AV24" s="80"/>
      <c r="AW24" s="80"/>
      <c r="AX24" s="80"/>
      <c r="AY24" s="80"/>
      <c r="AZ24" s="81"/>
      <c r="BA24" s="68"/>
      <c r="BB24" s="82" t="str">
        <f>IF([11]回答表!R56="●","●","")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IF([11]回答表!X49="●","●","")</f>
        <v/>
      </c>
      <c r="O36" s="131"/>
      <c r="P36" s="131"/>
      <c r="Q36" s="132"/>
      <c r="R36" s="119"/>
      <c r="S36" s="119"/>
      <c r="T36" s="119"/>
      <c r="U36" s="133" t="str">
        <f>IF([11]回答表!X49="●",[11]回答表!B67,IF([11]回答表!AA49="●",[11]回答表!B95,""))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IF([11]回答表!X49="●",[11]回答表!S73,IF([11]回答表!AA49="●",[11]回答表!S101,""))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IF([11]回答表!X49="●",[11]回答表!G73,IF([11]回答表!AA49="●",[11]回答表!G101,""))</f>
        <v/>
      </c>
      <c r="AN38" s="83"/>
      <c r="AO38" s="83"/>
      <c r="AP38" s="83"/>
      <c r="AQ38" s="83"/>
      <c r="AR38" s="83"/>
      <c r="AS38" s="83"/>
      <c r="AT38" s="153"/>
      <c r="AU38" s="82" t="str">
        <f>IF([11]回答表!X49="●",[11]回答表!G74,IF([11]回答表!AA49="●",[11]回答表!G102,""))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IF([11]回答表!X49="●",[11]回答表!V73,IF([11]回答表!AA49="●",[11]回答表!V101,""))</f>
        <v/>
      </c>
      <c r="BG39" s="16"/>
      <c r="BH39" s="16"/>
      <c r="BI39" s="17"/>
      <c r="BJ39" s="150" t="str">
        <f>IF([11]回答表!X49="●",[11]回答表!V74,IF([11]回答表!AA49="●",[11]回答表!V102,""))</f>
        <v/>
      </c>
      <c r="BK39" s="16"/>
      <c r="BL39" s="16"/>
      <c r="BM39" s="17"/>
      <c r="BN39" s="150" t="str">
        <f>IF([11]回答表!X49="●",[11]回答表!V75,IF([11]回答表!AA49="●",[11]回答表!V103,""))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IF([11]回答表!X49="●",[11]回答表!O79,IF([11]回答表!AA49="●",[11]回答表!O107,""))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IF([11]回答表!X49="●",[11]回答表!O80,IF([11]回答表!AA49="●",[11]回答表!O108,""))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IF([11]回答表!X49="●",[11]回答表!O81,IF([11]回答表!AA49="●",[11]回答表!O109,""))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IF([11]回答表!X49="●",[11]回答表!O82,IF([11]回答表!AA49="●",[11]回答表!O110,""))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IF([11]回答表!X49="●",[11]回答表!AG79,IF([11]回答表!AA49="●",[11]回答表!AG107,""))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IF([11]回答表!X49="●",[11]回答表!AG80,IF([11]回答表!AA49="●",[11]回答表!AG108,""))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IF([11]回答表!X49="●",[11]回答表!E85,IF([11]回答表!AA49="●",[11]回答表!E113,""))</f>
        <v/>
      </c>
      <c r="V50" s="182"/>
      <c r="W50" s="182"/>
      <c r="X50" s="182"/>
      <c r="Y50" s="182"/>
      <c r="Z50" s="182"/>
      <c r="AA50" s="182"/>
      <c r="AB50" s="182"/>
      <c r="AC50" s="182"/>
      <c r="AD50" s="182"/>
      <c r="AE50" s="183" t="s">
        <v>33</v>
      </c>
      <c r="AF50" s="183"/>
      <c r="AG50" s="183"/>
      <c r="AH50" s="183"/>
      <c r="AI50" s="183"/>
      <c r="AJ50" s="184"/>
      <c r="AK50" s="136"/>
      <c r="AL50" s="136"/>
      <c r="AM50" s="133" t="str">
        <f>IF([11]回答表!X49="●",[11]回答表!B87,IF([11]回答表!AA49="●",[11]回答表!B115,""))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IF([11]回答表!AD49="●","●","")</f>
        <v/>
      </c>
      <c r="O57" s="131"/>
      <c r="P57" s="131"/>
      <c r="Q57" s="132"/>
      <c r="R57" s="119"/>
      <c r="S57" s="119"/>
      <c r="T57" s="119"/>
      <c r="U57" s="133" t="str">
        <f>IF([11]回答表!AD49="●",[11]回答表!B123,"")</f>
        <v/>
      </c>
      <c r="V57" s="134"/>
      <c r="W57" s="134"/>
      <c r="X57" s="134"/>
      <c r="Y57" s="134"/>
      <c r="Z57" s="134"/>
      <c r="AA57" s="134"/>
      <c r="AB57" s="134"/>
      <c r="AC57" s="134"/>
      <c r="AD57" s="134"/>
      <c r="AE57" s="134"/>
      <c r="AF57" s="134"/>
      <c r="AG57" s="134"/>
      <c r="AH57" s="134"/>
      <c r="AI57" s="134"/>
      <c r="AJ57" s="135"/>
      <c r="AK57" s="189"/>
      <c r="AL57" s="189"/>
      <c r="AM57" s="133" t="str">
        <f>IF([11]回答表!AD49="●",[11]回答表!B128,"")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IF([11]回答表!X50="●","●","")</f>
        <v/>
      </c>
      <c r="O68" s="131"/>
      <c r="P68" s="131"/>
      <c r="Q68" s="132"/>
      <c r="R68" s="119"/>
      <c r="S68" s="119"/>
      <c r="T68" s="119"/>
      <c r="U68" s="133" t="str">
        <f>IF([11]回答表!X50="●",[11]回答表!B138,IF([11]回答表!AA50="●",[11]回答表!B159,""))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IF([11]回答表!X50="●",[11]回答表!S144,IF([11]回答表!AA50="●",[11]回答表!S165,""))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IF([11]回答表!X50="●",[11]回答表!J144,IF([11]回答表!AA50="●",[11]回答表!J165,""))</f>
        <v/>
      </c>
      <c r="AN71" s="83"/>
      <c r="AO71" s="83"/>
      <c r="AP71" s="83"/>
      <c r="AQ71" s="83"/>
      <c r="AR71" s="83"/>
      <c r="AS71" s="83"/>
      <c r="AT71" s="153"/>
      <c r="AU71" s="82" t="str">
        <f>IF([11]回答表!X50="●",[11]回答表!J145,IF([11]回答表!AA50="●",[11]回答表!J166,""))</f>
        <v/>
      </c>
      <c r="AV71" s="83"/>
      <c r="AW71" s="83"/>
      <c r="AX71" s="83"/>
      <c r="AY71" s="83"/>
      <c r="AZ71" s="83"/>
      <c r="BA71" s="83"/>
      <c r="BB71" s="153"/>
      <c r="BC71" s="120"/>
      <c r="BD71" s="109"/>
      <c r="BE71" s="109"/>
      <c r="BF71" s="150" t="str">
        <f>IF([11]回答表!X50="●",[11]回答表!V144,IF([11]回答表!AA50="●",[11]回答表!V165,""))</f>
        <v/>
      </c>
      <c r="BG71" s="151"/>
      <c r="BH71" s="151"/>
      <c r="BI71" s="151"/>
      <c r="BJ71" s="150" t="str">
        <f>IF([11]回答表!X50="●",[11]回答表!V145,IF([11]回答表!AA50="●",[11]回答表!V166,""))</f>
        <v/>
      </c>
      <c r="BK71" s="151"/>
      <c r="BL71" s="151"/>
      <c r="BM71" s="151"/>
      <c r="BN71" s="150" t="str">
        <f>IF([11]回答表!X50="●",[11]回答表!V146,IF([11]回答表!AA50="●",[11]回答表!V167,""))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IF([11]回答表!X50="●",[11]回答表!E149,IF([11]回答表!AA50="●",[11]回答表!E170,""))</f>
        <v/>
      </c>
      <c r="V80" s="182"/>
      <c r="W80" s="182"/>
      <c r="X80" s="182"/>
      <c r="Y80" s="182"/>
      <c r="Z80" s="182"/>
      <c r="AA80" s="182"/>
      <c r="AB80" s="182"/>
      <c r="AC80" s="182"/>
      <c r="AD80" s="182"/>
      <c r="AE80" s="183" t="s">
        <v>33</v>
      </c>
      <c r="AF80" s="183"/>
      <c r="AG80" s="183"/>
      <c r="AH80" s="183"/>
      <c r="AI80" s="183"/>
      <c r="AJ80" s="184"/>
      <c r="AK80" s="136"/>
      <c r="AL80" s="136"/>
      <c r="AM80" s="133" t="str">
        <f>IF([11]回答表!X50="●",[11]回答表!B151,IF([11]回答表!AA50="●",[11]回答表!B172,""))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IF([11]回答表!AD50="●","●","")</f>
        <v/>
      </c>
      <c r="O87" s="131"/>
      <c r="P87" s="131"/>
      <c r="Q87" s="132"/>
      <c r="R87" s="119"/>
      <c r="S87" s="119"/>
      <c r="T87" s="119"/>
      <c r="U87" s="133" t="str">
        <f>IF([11]回答表!AD50="●",[11]回答表!B180,"")</f>
        <v/>
      </c>
      <c r="V87" s="134"/>
      <c r="W87" s="134"/>
      <c r="X87" s="134"/>
      <c r="Y87" s="134"/>
      <c r="Z87" s="134"/>
      <c r="AA87" s="134"/>
      <c r="AB87" s="134"/>
      <c r="AC87" s="134"/>
      <c r="AD87" s="134"/>
      <c r="AE87" s="134"/>
      <c r="AF87" s="134"/>
      <c r="AG87" s="134"/>
      <c r="AH87" s="134"/>
      <c r="AI87" s="134"/>
      <c r="AJ87" s="135"/>
      <c r="AK87" s="189"/>
      <c r="AL87" s="189"/>
      <c r="AM87" s="133" t="str">
        <f>IF([11]回答表!AD50="●",[11]回答表!B186,"")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IF([11]回答表!F18="水道事業",IF([11]回答表!X51="●","●",""),"")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IF([11]回答表!F18="水道事業",IF([11]回答表!X51="●",[11]回答表!B197,IF([11]回答表!AA51="●",[11]回答表!B275,"")),"")</f>
        <v/>
      </c>
      <c r="AN99" s="134"/>
      <c r="AO99" s="134"/>
      <c r="AP99" s="134"/>
      <c r="AQ99" s="134"/>
      <c r="AR99" s="134"/>
      <c r="AS99" s="134"/>
      <c r="AT99" s="134"/>
      <c r="AU99" s="134"/>
      <c r="AV99" s="134"/>
      <c r="AW99" s="134"/>
      <c r="AX99" s="134"/>
      <c r="AY99" s="134"/>
      <c r="AZ99" s="134"/>
      <c r="BA99" s="134"/>
      <c r="BB99" s="134"/>
      <c r="BC99" s="135"/>
      <c r="BD99" s="109"/>
      <c r="BE99" s="109"/>
      <c r="BF99" s="138" t="str">
        <f>IF([11]回答表!F18="水道事業",IF([11]回答表!X51="●",[11]回答表!B256,IF([11]回答表!AA51="●",[11]回答表!B335,"")),"")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IF([11]回答表!F18="水道事業",IF([11]回答表!X51="●",[11]回答表!J205,IF([11]回答表!AA51="●",[11]回答表!J283,"")),"")</f>
        <v/>
      </c>
      <c r="V101" s="83"/>
      <c r="W101" s="83"/>
      <c r="X101" s="83"/>
      <c r="Y101" s="83"/>
      <c r="Z101" s="83"/>
      <c r="AA101" s="83"/>
      <c r="AB101" s="153"/>
      <c r="AC101" s="82" t="str">
        <f>IF([11]回答表!F18="水道事業",IF([11]回答表!X51="●",[11]回答表!J210,IF([11]回答表!AA51="●",[11]回答表!J290,"")),"")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IF([11]回答表!F18="水道事業",IF([11]回答表!X51="●",[11]回答表!E256,IF([11]回答表!AA51="●",[11]回答表!E335,"")),"")</f>
        <v/>
      </c>
      <c r="BG102" s="151"/>
      <c r="BH102" s="151"/>
      <c r="BI102" s="151"/>
      <c r="BJ102" s="150" t="str">
        <f>IF([11]回答表!F18="水道事業",IF([11]回答表!X51="●",[11]回答表!E257,IF([11]回答表!AA51="●",[11]回答表!E336,"")),"")</f>
        <v/>
      </c>
      <c r="BK102" s="151"/>
      <c r="BL102" s="151"/>
      <c r="BM102" s="151"/>
      <c r="BN102" s="150" t="str">
        <f>IF([11]回答表!F18="水道事業",IF([11]回答表!X51="●",[11]回答表!E258,IF([11]回答表!AA51="●",[11]回答表!E337,"")),"")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IF([11]回答表!F18="水道事業",IF([11]回答表!AA51="●","●",""),"")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IF([11]回答表!F18="水道事業",IF([11]回答表!X51="●",[11]回答表!J213,IF([11]回答表!AA51="●",[11]回答表!J293,"")),"")</f>
        <v/>
      </c>
      <c r="V106" s="83"/>
      <c r="W106" s="83"/>
      <c r="X106" s="83"/>
      <c r="Y106" s="83"/>
      <c r="Z106" s="83"/>
      <c r="AA106" s="83"/>
      <c r="AB106" s="153"/>
      <c r="AC106" s="82" t="str">
        <f>IF([11]回答表!F18="水道事業",IF([11]回答表!X51="●",[11]回答表!J217,IF([11]回答表!AA51="●",[11]回答表!J297,"")),"")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IF([11]回答表!F18="水道事業",IF([11]回答表!X51="●",[11]回答表!E265,IF([11]回答表!AA51="●",[11]回答表!E344,"")),"")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IF([11]回答表!F18="水道事業",IF([11]回答表!X51="●",[11]回答表!B267,IF([11]回答表!AA51="●",[11]回答表!B346,"")),"")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IF([11]回答表!F18="水道事業",IF([11]回答表!AD51="●","●",""),"")</f>
        <v/>
      </c>
      <c r="O118" s="131"/>
      <c r="P118" s="131"/>
      <c r="Q118" s="132"/>
      <c r="R118" s="119"/>
      <c r="S118" s="119"/>
      <c r="T118" s="119"/>
      <c r="U118" s="133" t="str">
        <f>IF([11]回答表!F18="水道事業",IF([11]回答表!AD51="●",[11]回答表!B354,""),"")</f>
        <v/>
      </c>
      <c r="V118" s="134"/>
      <c r="W118" s="134"/>
      <c r="X118" s="134"/>
      <c r="Y118" s="134"/>
      <c r="Z118" s="134"/>
      <c r="AA118" s="134"/>
      <c r="AB118" s="134"/>
      <c r="AC118" s="134"/>
      <c r="AD118" s="134"/>
      <c r="AE118" s="134"/>
      <c r="AF118" s="134"/>
      <c r="AG118" s="134"/>
      <c r="AH118" s="134"/>
      <c r="AI118" s="134"/>
      <c r="AJ118" s="135"/>
      <c r="AK118" s="189"/>
      <c r="AL118" s="189"/>
      <c r="AM118" s="133" t="str">
        <f>IF([11]回答表!F18="水道事業",IF([11]回答表!AD51="●",[11]回答表!B360,""),"")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IF([11]回答表!F18="簡易水道事業",IF([11]回答表!X51="●",[11]回答表!B197,IF([11]回答表!AA51="●",[11]回答表!B275,"")),"")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IF([11]回答表!F18="簡易水道事業",IF([11]回答表!X51="●",[11]回答表!B256,IF([11]回答表!AA51="●",[11]回答表!B335,"")),"")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IF([11]回答表!F18="簡易水道事業",IF([11]回答表!X51="●","●",""),"")</f>
        <v/>
      </c>
      <c r="O132" s="131"/>
      <c r="P132" s="131"/>
      <c r="Q132" s="132"/>
      <c r="R132" s="119"/>
      <c r="S132" s="119"/>
      <c r="T132" s="119"/>
      <c r="U132" s="82" t="str">
        <f>IF([11]回答表!F18="簡易水道事業",IF([11]回答表!X51="●",[11]回答表!S224,IF([11]回答表!AA51="●",[11]回答表!S304,"")),"")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IF([11]回答表!F18="簡易水道事業",IF([11]回答表!X51="●",[11]回答表!E256,IF([11]回答表!AA51="●",[11]回答表!E335,"")),"")</f>
        <v/>
      </c>
      <c r="BG133" s="151"/>
      <c r="BH133" s="151"/>
      <c r="BI133" s="151"/>
      <c r="BJ133" s="150" t="str">
        <f>IF([11]回答表!F18="簡易水道事業",IF([11]回答表!X51="●",[11]回答表!E257,IF([11]回答表!AA51="●",[11]回答表!E336,"")),"")</f>
        <v/>
      </c>
      <c r="BK133" s="151"/>
      <c r="BL133" s="151"/>
      <c r="BM133" s="151"/>
      <c r="BN133" s="150" t="str">
        <f>IF([11]回答表!F18="簡易水道事業",IF([11]回答表!X51="●",[11]回答表!E258,IF([11]回答表!AA51="●",[11]回答表!E337,"")),"")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IF([11]回答表!F18="簡易水道事業",IF([11]回答表!X51="●",[11]回答表!S225,IF([11]回答表!AA51="●",[11]回答表!S305,"")),"")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IF([11]回答表!F18="簡易水道事業",IF([11]回答表!AA51="●","●",""),"")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IF([11]回答表!F18="簡易水道事業",IF([11]回答表!X51="●",[11]回答表!S226,IF([11]回答表!AA51="●",[11]回答表!S306,"")),"")</f>
        <v/>
      </c>
      <c r="V142" s="83"/>
      <c r="W142" s="83"/>
      <c r="X142" s="83"/>
      <c r="Y142" s="83"/>
      <c r="Z142" s="83"/>
      <c r="AA142" s="83"/>
      <c r="AB142" s="83"/>
      <c r="AC142" s="83"/>
      <c r="AD142" s="83"/>
      <c r="AE142" s="83"/>
      <c r="AF142" s="83"/>
      <c r="AG142" s="83"/>
      <c r="AH142" s="83"/>
      <c r="AI142" s="83"/>
      <c r="AJ142" s="153"/>
      <c r="AK142" s="68"/>
      <c r="AL142" s="68"/>
      <c r="AM142" s="231" t="str">
        <f>IF([11]回答表!F18="簡易水道事業",IF([11]回答表!X51="●",[11]回答表!Y228,IF([11]回答表!AA51="●",[11]回答表!Y308,"")),"")</f>
        <v/>
      </c>
      <c r="AN142" s="231"/>
      <c r="AO142" s="231"/>
      <c r="AP142" s="231"/>
      <c r="AQ142" s="231"/>
      <c r="AR142" s="231"/>
      <c r="AS142" s="231" t="str">
        <f>IF([11]回答表!F18="簡易水道事業",IF([11]回答表!X51="●",[11]回答表!Y229,IF([11]回答表!AA51="●",[11]回答表!Y309,"")),"")</f>
        <v/>
      </c>
      <c r="AT142" s="231"/>
      <c r="AU142" s="231"/>
      <c r="AV142" s="231"/>
      <c r="AW142" s="231"/>
      <c r="AX142" s="231"/>
      <c r="AY142" s="231" t="str">
        <f>IF([11]回答表!F18="簡易水道事業",IF([11]回答表!X51="●",[11]回答表!Y230,IF([11]回答表!AA51="●",[11]回答表!Y310,"")),"")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IF([11]回答表!F18="簡易水道事業",IF([11]回答表!X51="●",[11]回答表!E265,IF([11]回答表!AA51="●",[11]回答表!E344,"")),"")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IF([11]回答表!F18="簡易水道事業",IF([11]回答表!X51="●",[11]回答表!B267,IF([11]回答表!AA51="●",[11]回答表!B346,"")),"")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IF([11]回答表!F18="簡易水道事業",IF([11]回答表!AD51="●","●",""),"")</f>
        <v/>
      </c>
      <c r="O154" s="131"/>
      <c r="P154" s="131"/>
      <c r="Q154" s="132"/>
      <c r="R154" s="119"/>
      <c r="S154" s="119"/>
      <c r="T154" s="119"/>
      <c r="U154" s="133" t="str">
        <f>IF([11]回答表!F18="簡易水道事業",IF([11]回答表!AD51="●",[11]回答表!B354,""),"")</f>
        <v/>
      </c>
      <c r="V154" s="134"/>
      <c r="W154" s="134"/>
      <c r="X154" s="134"/>
      <c r="Y154" s="134"/>
      <c r="Z154" s="134"/>
      <c r="AA154" s="134"/>
      <c r="AB154" s="134"/>
      <c r="AC154" s="134"/>
      <c r="AD154" s="134"/>
      <c r="AE154" s="134"/>
      <c r="AF154" s="134"/>
      <c r="AG154" s="134"/>
      <c r="AH154" s="134"/>
      <c r="AI154" s="134"/>
      <c r="AJ154" s="135"/>
      <c r="AK154" s="189"/>
      <c r="AL154" s="189"/>
      <c r="AM154" s="133" t="str">
        <f>IF([11]回答表!F18="簡易水道事業",IF([11]回答表!AD51="●",[11]回答表!B360,""),"")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IF([11]回答表!F18="下水道事業",IF([11]回答表!X51="●","●",""),"")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IF([11]回答表!F18="下水道事業",IF([11]回答表!X51="●",[11]回答表!B197,IF([11]回答表!AA51="●",[11]回答表!B275,"")),"")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IF([11]回答表!F18="下水道事業",IF([11]回答表!X51="●",[11]回答表!B256,IF([11]回答表!AA51="●",[11]回答表!B335,"")),"")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IF([11]回答表!F18="下水道事業",IF([11]回答表!X51="●",[11]回答表!N234,IF([11]回答表!AA51="●",[11]回答表!N314,"")),"")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IF([11]回答表!F18="下水道事業",IF([11]回答表!X51="●",[11]回答表!E256,IF([11]回答表!AA51="●",[11]回答表!E335,"")),"")</f>
        <v/>
      </c>
      <c r="BG169" s="151"/>
      <c r="BH169" s="151"/>
      <c r="BI169" s="151"/>
      <c r="BJ169" s="150" t="str">
        <f>IF([11]回答表!F18="下水道事業",IF([11]回答表!X51="●",[11]回答表!E257,IF([11]回答表!AA51="●",[11]回答表!E336,"")),"")</f>
        <v/>
      </c>
      <c r="BK169" s="151"/>
      <c r="BL169" s="151"/>
      <c r="BM169" s="151"/>
      <c r="BN169" s="150" t="str">
        <f>IF([11]回答表!F18="下水道事業",IF([11]回答表!X51="●",[11]回答表!E258,IF([11]回答表!AA51="●",[11]回答表!E337,"")),"")</f>
        <v/>
      </c>
      <c r="BO169" s="151"/>
      <c r="BP169" s="151"/>
      <c r="BQ169" s="152"/>
      <c r="BR169" s="112"/>
      <c r="BX169" s="234" t="str">
        <f>IF([11]回答表!AQ21="下水道事業",IF([11]回答表!BI54="○",[11]回答表!AM200,IF([11]回答表!BL54="○",[11]回答表!AM278,"")),"")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IF([11]回答表!F18="下水道事業",IF([11]回答表!X51="●",[11]回答表!Y236,IF([11]回答表!AA51="●",[11]回答表!Y316,"")),"")</f>
        <v/>
      </c>
      <c r="V174" s="83"/>
      <c r="W174" s="83"/>
      <c r="X174" s="83"/>
      <c r="Y174" s="83"/>
      <c r="Z174" s="83"/>
      <c r="AA174" s="83"/>
      <c r="AB174" s="153"/>
      <c r="AC174" s="82" t="str">
        <f>IF([11]回答表!F18="下水道事業",IF([11]回答表!X51="●",[11]回答表!Y237,IF([11]回答表!AA51="●",[11]回答表!Y317,"")),"")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IF([11]回答表!F18="下水道事業",IF([11]回答表!X51="●",[11]回答表!Y239,IF([11]回答表!AA51="●",[11]回答表!Y319,"")),"")</f>
        <v/>
      </c>
      <c r="V180" s="83"/>
      <c r="W180" s="83"/>
      <c r="X180" s="83"/>
      <c r="Y180" s="83"/>
      <c r="Z180" s="83"/>
      <c r="AA180" s="83"/>
      <c r="AB180" s="153"/>
      <c r="AC180" s="82" t="str">
        <f>IF([11]回答表!F18="下水道事業",IF([11]回答表!X51="●",[11]回答表!Y240,IF([11]回答表!AA51="●",[11]回答表!Y320,"")),"")</f>
        <v/>
      </c>
      <c r="AD180" s="83"/>
      <c r="AE180" s="83"/>
      <c r="AF180" s="83"/>
      <c r="AG180" s="83"/>
      <c r="AH180" s="83"/>
      <c r="AI180" s="83"/>
      <c r="AJ180" s="153"/>
      <c r="AK180" s="82" t="str">
        <f>IF([11]回答表!F18="下水道事業",IF([11]回答表!X51="●",[11]回答表!Y241,IF([11]回答表!AA51="●",[11]回答表!Y321,"")),"")</f>
        <v/>
      </c>
      <c r="AL180" s="83"/>
      <c r="AM180" s="83"/>
      <c r="AN180" s="83"/>
      <c r="AO180" s="83"/>
      <c r="AP180" s="83"/>
      <c r="AQ180" s="83"/>
      <c r="AR180" s="153"/>
      <c r="AS180" s="82" t="str">
        <f>IF([11]回答表!F18="下水道事業",IF([11]回答表!X51="●",[11]回答表!Y242,IF([11]回答表!AA51="●",[11]回答表!Y322,"")),"")</f>
        <v/>
      </c>
      <c r="AT180" s="83"/>
      <c r="AU180" s="83"/>
      <c r="AV180" s="83"/>
      <c r="AW180" s="83"/>
      <c r="AX180" s="83"/>
      <c r="AY180" s="83"/>
      <c r="AZ180" s="153"/>
      <c r="BA180" s="82" t="str">
        <f>IF([11]回答表!F18="下水道事業",IF([11]回答表!X51="●",[11]回答表!Y243,IF([11]回答表!AA51="●",[11]回答表!Y323,"")),"")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IF([11]回答表!F18="下水道事業",IF([11]回答表!AA51="●","●",""),"")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IF([11]回答表!F18="下水道事業",IF([11]回答表!X51="●",[11]回答表!N248,IF([11]回答表!AA51="●",[11]回答表!N328,"")),"")</f>
        <v/>
      </c>
      <c r="V186" s="83"/>
      <c r="W186" s="83"/>
      <c r="X186" s="83"/>
      <c r="Y186" s="83"/>
      <c r="Z186" s="83"/>
      <c r="AA186" s="83"/>
      <c r="AB186" s="153"/>
      <c r="AC186" s="82" t="str">
        <f>IF([11]回答表!F18="下水道事業",IF([11]回答表!X51="●",[11]回答表!N249,IF([11]回答表!AA51="●",[11]回答表!N329,"")),"")</f>
        <v/>
      </c>
      <c r="AD186" s="83"/>
      <c r="AE186" s="83"/>
      <c r="AF186" s="83"/>
      <c r="AG186" s="83"/>
      <c r="AH186" s="83"/>
      <c r="AI186" s="83"/>
      <c r="AJ186" s="153"/>
      <c r="AK186" s="82" t="str">
        <f>IF([11]回答表!F18="下水道事業",IF([11]回答表!X51="●",[11]回答表!N250,IF([11]回答表!AA51="●",[11]回答表!N330,"")),"")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IF([11]回答表!F18="下水道事業",IF([11]回答表!X51="●",[11]回答表!E265,IF([11]回答表!AA51="●",[11]回答表!E344,"")),"")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IF([11]回答表!F18="下水道事業",IF([11]回答表!X51="●",[11]回答表!B267,IF([11]回答表!AA51="●",[11]回答表!B346,"")),"")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IF([11]回答表!F18="下水道事業",IF([11]回答表!AD51="●","●",""),"")</f>
        <v/>
      </c>
      <c r="O198" s="131"/>
      <c r="P198" s="131"/>
      <c r="Q198" s="132"/>
      <c r="R198" s="119"/>
      <c r="S198" s="119"/>
      <c r="T198" s="119"/>
      <c r="U198" s="133" t="str">
        <f>IF([11]回答表!F18="下水道事業",IF([11]回答表!AD51="●",[11]回答表!B354,""),"")</f>
        <v/>
      </c>
      <c r="V198" s="134"/>
      <c r="W198" s="134"/>
      <c r="X198" s="134"/>
      <c r="Y198" s="134"/>
      <c r="Z198" s="134"/>
      <c r="AA198" s="134"/>
      <c r="AB198" s="134"/>
      <c r="AC198" s="134"/>
      <c r="AD198" s="134"/>
      <c r="AE198" s="134"/>
      <c r="AF198" s="134"/>
      <c r="AG198" s="134"/>
      <c r="AH198" s="134"/>
      <c r="AI198" s="134"/>
      <c r="AJ198" s="135"/>
      <c r="AK198" s="189"/>
      <c r="AL198" s="189"/>
      <c r="AM198" s="133" t="str">
        <f>IF([11]回答表!F18="下水道事業",IF([11]回答表!AD51="●",[11]回答表!B360,""),"")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IF([11]回答表!BD18="●",IF([11]回答表!X51="●","●",""),"")</f>
        <v/>
      </c>
      <c r="O210" s="131"/>
      <c r="P210" s="131"/>
      <c r="Q210" s="132"/>
      <c r="R210" s="119"/>
      <c r="S210" s="119"/>
      <c r="T210" s="119"/>
      <c r="U210" s="133" t="str">
        <f>IF([11]回答表!BD18="●",IF([11]回答表!X51="●",[11]回答表!B197,IF([11]回答表!AA51="●",[11]回答表!B275,"")),"")</f>
        <v/>
      </c>
      <c r="V210" s="134"/>
      <c r="W210" s="134"/>
      <c r="X210" s="134"/>
      <c r="Y210" s="134"/>
      <c r="Z210" s="134"/>
      <c r="AA210" s="134"/>
      <c r="AB210" s="134"/>
      <c r="AC210" s="134"/>
      <c r="AD210" s="134"/>
      <c r="AE210" s="134"/>
      <c r="AF210" s="134"/>
      <c r="AG210" s="134"/>
      <c r="AH210" s="134"/>
      <c r="AI210" s="134"/>
      <c r="AJ210" s="135"/>
      <c r="AK210" s="136"/>
      <c r="AL210" s="136"/>
      <c r="AM210" s="138" t="str">
        <f>IF([11]回答表!BD18="●",IF([11]回答表!X51="●",[11]回答表!B256,IF([11]回答表!AA51="●",[11]回答表!B335,"")),"")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IF([11]回答表!BD18="●",IF([11]回答表!X51="●",[11]回答表!E256,IF([11]回答表!AA51="●",[11]回答表!E335,"")),"")</f>
        <v/>
      </c>
      <c r="AN213" s="151"/>
      <c r="AO213" s="151"/>
      <c r="AP213" s="151"/>
      <c r="AQ213" s="150" t="str">
        <f>IF([11]回答表!BD18="●",IF([11]回答表!X51="●",[11]回答表!E257,IF([11]回答表!AA51="●",[11]回答表!E336,"")),"")</f>
        <v/>
      </c>
      <c r="AR213" s="151"/>
      <c r="AS213" s="151"/>
      <c r="AT213" s="151"/>
      <c r="AU213" s="150" t="str">
        <f>IF([11]回答表!BD18="●",IF([11]回答表!X51="●",[11]回答表!E258,IF([11]回答表!AA51="●",[11]回答表!E337,"")),"")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IF([11]回答表!BD18="●",IF([11]回答表!AA51="●","●",""),"")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IF([11]回答表!BD18="●",IF([11]回答表!X51="●",[11]回答表!E265,IF([11]回答表!AA51="●",[11]回答表!E344,"")),"")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IF([11]回答表!BD18="●",IF([11]回答表!X51="●",[11]回答表!B267,IF([11]回答表!AA51="●",[11]回答表!B346,"")),"")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IF([11]回答表!BD18="●",IF([11]回答表!AD51="●","●",""),"")</f>
        <v/>
      </c>
      <c r="O229" s="131"/>
      <c r="P229" s="131"/>
      <c r="Q229" s="132"/>
      <c r="R229" s="119"/>
      <c r="S229" s="119"/>
      <c r="T229" s="119"/>
      <c r="U229" s="133" t="str">
        <f>IF([11]回答表!BD18="●",IF([11]回答表!AD51="●",[11]回答表!B354,""),"")</f>
        <v/>
      </c>
      <c r="V229" s="134"/>
      <c r="W229" s="134"/>
      <c r="X229" s="134"/>
      <c r="Y229" s="134"/>
      <c r="Z229" s="134"/>
      <c r="AA229" s="134"/>
      <c r="AB229" s="134"/>
      <c r="AC229" s="134"/>
      <c r="AD229" s="134"/>
      <c r="AE229" s="134"/>
      <c r="AF229" s="134"/>
      <c r="AG229" s="134"/>
      <c r="AH229" s="134"/>
      <c r="AI229" s="134"/>
      <c r="AJ229" s="135"/>
      <c r="AK229" s="249"/>
      <c r="AL229" s="249"/>
      <c r="AM229" s="133" t="str">
        <f>IF([11]回答表!BD18="●",IF([11]回答表!AD51="●",[11]回答表!B360,""),"")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IF([11]回答表!X52="●","●","")</f>
        <v/>
      </c>
      <c r="O241" s="131"/>
      <c r="P241" s="131"/>
      <c r="Q241" s="132"/>
      <c r="R241" s="119"/>
      <c r="S241" s="119"/>
      <c r="T241" s="119"/>
      <c r="U241" s="133" t="str">
        <f>IF([11]回答表!X52="●",[11]回答表!B371,IF([11]回答表!AA52="●",[11]回答表!B396,""))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IF([11]回答表!X52="●",[11]回答表!U377,IF([11]回答表!AA52="●",[11]回答表!U402,""))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IF([11]回答表!X52="●",[11]回答表!G377,IF([11]回答表!AA52="●",[11]回答表!G402,""))</f>
        <v/>
      </c>
      <c r="AN244" s="83"/>
      <c r="AO244" s="83"/>
      <c r="AP244" s="83"/>
      <c r="AQ244" s="83"/>
      <c r="AR244" s="83"/>
      <c r="AS244" s="83"/>
      <c r="AT244" s="153"/>
      <c r="AU244" s="82" t="str">
        <f>IF([11]回答表!X52="●",[11]回答表!G378,IF([11]回答表!AA52="●",[11]回答表!G403,""))</f>
        <v/>
      </c>
      <c r="AV244" s="83"/>
      <c r="AW244" s="83"/>
      <c r="AX244" s="83"/>
      <c r="AY244" s="83"/>
      <c r="AZ244" s="83"/>
      <c r="BA244" s="83"/>
      <c r="BB244" s="153"/>
      <c r="BC244" s="120"/>
      <c r="BD244" s="109"/>
      <c r="BE244" s="109"/>
      <c r="BF244" s="150" t="str">
        <f>IF([11]回答表!X52="●",[11]回答表!X377,IF([11]回答表!AA52="●",[11]回答表!X402,""))</f>
        <v/>
      </c>
      <c r="BG244" s="151"/>
      <c r="BH244" s="151"/>
      <c r="BI244" s="151"/>
      <c r="BJ244" s="150" t="str">
        <f>IF([11]回答表!X52="●",[11]回答表!X378,IF([11]回答表!AA52="●",[11]回答表!X403,""))</f>
        <v/>
      </c>
      <c r="BK244" s="151"/>
      <c r="BL244" s="151"/>
      <c r="BM244" s="152"/>
      <c r="BN244" s="150" t="str">
        <f>IF([11]回答表!X52="●",[11]回答表!X379,IF([11]回答表!AA52="●",[11]回答表!X404,""))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IF([11]回答表!X52="●",[11]回答表!E386,IF([11]回答表!AA52="●",[11]回答表!E407,""))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IF([11]回答表!X52="●",[11]回答表!B388,IF([11]回答表!AA52="●",[11]回答表!B409,""))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IF([11]回答表!AD52="●","●","")</f>
        <v/>
      </c>
      <c r="O260" s="131"/>
      <c r="P260" s="131"/>
      <c r="Q260" s="132"/>
      <c r="R260" s="119"/>
      <c r="S260" s="119"/>
      <c r="T260" s="119"/>
      <c r="U260" s="133" t="str">
        <f>IF([11]回答表!AD52="●",[11]回答表!B417,"")</f>
        <v/>
      </c>
      <c r="V260" s="134"/>
      <c r="W260" s="134"/>
      <c r="X260" s="134"/>
      <c r="Y260" s="134"/>
      <c r="Z260" s="134"/>
      <c r="AA260" s="134"/>
      <c r="AB260" s="134"/>
      <c r="AC260" s="134"/>
      <c r="AD260" s="134"/>
      <c r="AE260" s="134"/>
      <c r="AF260" s="134"/>
      <c r="AG260" s="134"/>
      <c r="AH260" s="134"/>
      <c r="AI260" s="134"/>
      <c r="AJ260" s="135"/>
      <c r="AK260" s="249"/>
      <c r="AL260" s="249"/>
      <c r="AM260" s="133" t="str">
        <f>IF([11]回答表!AD52="●",[11]回答表!B423,"")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IF([11]回答表!X53="●","●","")</f>
        <v/>
      </c>
      <c r="O272" s="131"/>
      <c r="P272" s="131"/>
      <c r="Q272" s="132"/>
      <c r="R272" s="119"/>
      <c r="S272" s="119"/>
      <c r="T272" s="119"/>
      <c r="U272" s="133" t="str">
        <f>IF([11]回答表!X53="●",[11]回答表!B434,IF([11]回答表!AA53="●",[11]回答表!B465,""))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IF([11]回答表!X53="●",[11]回答表!B440,"")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IF([11]回答表!X53="●",[11]回答表!B446,IF([11]回答表!AA53="●",[11]回答表!B471,""))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IF([11]回答表!X53="●",[11]回答表!E446,IF([11]回答表!AA53="●",[11]回答表!E471,""))</f>
        <v/>
      </c>
      <c r="BG275" s="151"/>
      <c r="BH275" s="151"/>
      <c r="BI275" s="151"/>
      <c r="BJ275" s="150" t="str">
        <f>IF([11]回答表!X53="●",[11]回答表!E447,IF([11]回答表!AA53="●",[11]回答表!E472,""))</f>
        <v/>
      </c>
      <c r="BK275" s="151"/>
      <c r="BL275" s="151"/>
      <c r="BM275" s="152"/>
      <c r="BN275" s="150" t="str">
        <f>IF([11]回答表!X53="●",[11]回答表!E448,IF([11]回答表!AA53="●",[11]回答表!E473,""))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IF([11]回答表!X53="●",[11]回答表!E455,IF([11]回答表!AA53="●",[11]回答表!E476,""))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IF([11]回答表!X53="●",[11]回答表!B457,IF([11]回答表!AA53="●",[11]回答表!B478,""))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IF([11]回答表!AD53="●","●","")</f>
        <v/>
      </c>
      <c r="O291" s="131"/>
      <c r="P291" s="131"/>
      <c r="Q291" s="132"/>
      <c r="R291" s="119"/>
      <c r="S291" s="119"/>
      <c r="T291" s="119"/>
      <c r="U291" s="133" t="str">
        <f>IF([11]回答表!AD53="●",[11]回答表!B486,"")</f>
        <v/>
      </c>
      <c r="V291" s="134"/>
      <c r="W291" s="134"/>
      <c r="X291" s="134"/>
      <c r="Y291" s="134"/>
      <c r="Z291" s="134"/>
      <c r="AA291" s="134"/>
      <c r="AB291" s="134"/>
      <c r="AC291" s="134"/>
      <c r="AD291" s="134"/>
      <c r="AE291" s="134"/>
      <c r="AF291" s="134"/>
      <c r="AG291" s="134"/>
      <c r="AH291" s="134"/>
      <c r="AI291" s="134"/>
      <c r="AJ291" s="135"/>
      <c r="AK291" s="249"/>
      <c r="AL291" s="249"/>
      <c r="AM291" s="133" t="str">
        <f>IF([11]回答表!AD53="●",[11]回答表!B492,"")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IF([11]回答表!X54="●","●","")</f>
        <v/>
      </c>
      <c r="O303" s="131"/>
      <c r="P303" s="131"/>
      <c r="Q303" s="132"/>
      <c r="R303" s="119"/>
      <c r="S303" s="119"/>
      <c r="T303" s="119"/>
      <c r="U303" s="133" t="str">
        <f>IF([11]回答表!X54="●",[11]回答表!B503,IF([11]回答表!AA54="●",[11]回答表!B526,""))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IF([11]回答表!X54="●",[11]回答表!BC510,IF([11]回答表!AA54="●",[11]回答表!BC533,""))</f>
        <v/>
      </c>
      <c r="AR303" s="271"/>
      <c r="AS303" s="271"/>
      <c r="AT303" s="271"/>
      <c r="AU303" s="272" t="s">
        <v>74</v>
      </c>
      <c r="AV303" s="273"/>
      <c r="AW303" s="273"/>
      <c r="AX303" s="274"/>
      <c r="AY303" s="271" t="str">
        <f>IF([11]回答表!X54="●",[11]回答表!BC515,IF([11]回答表!AA54="●",[11]回答表!BC538,""))</f>
        <v/>
      </c>
      <c r="AZ303" s="271"/>
      <c r="BA303" s="271"/>
      <c r="BB303" s="271"/>
      <c r="BC303" s="120"/>
      <c r="BD303" s="109"/>
      <c r="BE303" s="109"/>
      <c r="BF303" s="138" t="str">
        <f>IF([11]回答表!X54="●",[11]回答表!S509,IF([11]回答表!AA54="●",[11]回答表!S532,""))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IF([11]回答表!X54="●",[11]回答表!BC511,IF([11]回答表!AA54="●",[11]回答表!BC534,""))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IF([11]回答表!X54="●",[11]回答表!V509,IF([11]回答表!AA54="●",[11]回答表!V532,""))</f>
        <v/>
      </c>
      <c r="BG306" s="151"/>
      <c r="BH306" s="151"/>
      <c r="BI306" s="151"/>
      <c r="BJ306" s="150" t="str">
        <f>IF([11]回答表!X54="●",[11]回答表!V510,IF([11]回答表!AA54="●",[11]回答表!V533,""))</f>
        <v/>
      </c>
      <c r="BK306" s="151"/>
      <c r="BL306" s="151"/>
      <c r="BM306" s="152"/>
      <c r="BN306" s="150" t="str">
        <f>IF([11]回答表!X54="●",[11]回答表!V511,IF([11]回答表!AA54="●",[11]回答表!V534,""))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IF([11]回答表!X54="●",[11]回答表!BC512,IF([11]回答表!AA54="●",[11]回答表!BC535,""))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IF([11]回答表!X54="●",[11]回答表!BC516,IF([11]回答表!AA54="●",[11]回答表!BC539,""))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IF([11]回答表!X54="●",[11]回答表!BC513,IF([11]回答表!AA54="●",[11]回答表!BC536,""))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IF([11]回答表!X54="●",[11]回答表!BC514,IF([11]回答表!AA54="●",[11]回答表!BC537,""))</f>
        <v/>
      </c>
      <c r="AR311" s="271"/>
      <c r="AS311" s="271"/>
      <c r="AT311" s="271"/>
      <c r="AU311" s="222" t="s">
        <v>80</v>
      </c>
      <c r="AV311" s="223"/>
      <c r="AW311" s="223"/>
      <c r="AX311" s="224"/>
      <c r="AY311" s="281" t="str">
        <f>IF([11]回答表!X54="●",[11]回答表!BC517,IF([11]回答表!AA54="●",[11]回答表!BC540,""))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IF([11]回答表!X54="●",[11]回答表!E516,IF([11]回答表!AA54="●",[11]回答表!E538,""))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IF([11]回答表!X54="●",[11]回答表!B518,IF([11]回答表!AA54="●",[11]回答表!B540,""))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IF([11]回答表!AD54="●","●","")</f>
        <v/>
      </c>
      <c r="O322" s="131"/>
      <c r="P322" s="131"/>
      <c r="Q322" s="132"/>
      <c r="R322" s="119"/>
      <c r="S322" s="119"/>
      <c r="T322" s="119"/>
      <c r="U322" s="133" t="str">
        <f>IF([11]回答表!AD54="●",[11]回答表!B548,"")</f>
        <v/>
      </c>
      <c r="V322" s="134"/>
      <c r="W322" s="134"/>
      <c r="X322" s="134"/>
      <c r="Y322" s="134"/>
      <c r="Z322" s="134"/>
      <c r="AA322" s="134"/>
      <c r="AB322" s="134"/>
      <c r="AC322" s="134"/>
      <c r="AD322" s="134"/>
      <c r="AE322" s="134"/>
      <c r="AF322" s="134"/>
      <c r="AG322" s="134"/>
      <c r="AH322" s="134"/>
      <c r="AI322" s="134"/>
      <c r="AJ322" s="135"/>
      <c r="AK322" s="189"/>
      <c r="AL322" s="189"/>
      <c r="AM322" s="133" t="str">
        <f>IF([11]回答表!AD54="●",[11]回答表!B554,"")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IF([11]回答表!X55="●","●","")</f>
        <v/>
      </c>
      <c r="O333" s="131"/>
      <c r="P333" s="131"/>
      <c r="Q333" s="132"/>
      <c r="R333" s="119"/>
      <c r="S333" s="119"/>
      <c r="T333" s="119"/>
      <c r="U333" s="133" t="str">
        <f>IF([11]回答表!X55="●",[11]回答表!B565,IF([11]回答表!AA55="●",[11]回答表!B590,""))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IF([11]回答表!X55="●",[11]回答表!B575,IF([11]回答表!AA55="●",[11]回答表!B600,""))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IF([11]回答表!X55="●",[11]回答表!G571,IF([11]回答表!AA55="●",[11]回答表!G596,""))</f>
        <v/>
      </c>
      <c r="AN335" s="83"/>
      <c r="AO335" s="83"/>
      <c r="AP335" s="83"/>
      <c r="AQ335" s="83"/>
      <c r="AR335" s="83"/>
      <c r="AS335" s="83"/>
      <c r="AT335" s="153"/>
      <c r="AU335" s="82" t="str">
        <f>IF([11]回答表!X55="●",[11]回答表!G572,IF([11]回答表!AA55="●",[11]回答表!G597,""))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IF([11]回答表!X55="●",[11]回答表!E575,IF([11]回答表!AA55="●",[11]回答表!E600,""))</f>
        <v/>
      </c>
      <c r="BG336" s="151"/>
      <c r="BH336" s="151"/>
      <c r="BI336" s="151"/>
      <c r="BJ336" s="150" t="str">
        <f>IF([11]回答表!X55="●",[11]回答表!E576,IF([11]回答表!AA55="●",[11]回答表!E601,""))</f>
        <v/>
      </c>
      <c r="BK336" s="151"/>
      <c r="BL336" s="151"/>
      <c r="BM336" s="152"/>
      <c r="BN336" s="150" t="str">
        <f>IF([11]回答表!X55="●",[11]回答表!E577,IF([11]回答表!AA55="●",[11]回答表!E602,""))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IF([11]回答表!X55="●",[11]回答表!E580,IF([11]回答表!AA55="●",[11]回答表!E605,""))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IF([11]回答表!X55="●",[11]回答表!B582,IF([11]回答表!AA55="●",[11]回答表!B607,""))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IF([11]回答表!AD55="●","●","")</f>
        <v/>
      </c>
      <c r="O352" s="131"/>
      <c r="P352" s="131"/>
      <c r="Q352" s="132"/>
      <c r="R352" s="119"/>
      <c r="S352" s="119"/>
      <c r="T352" s="119"/>
      <c r="U352" s="133" t="str">
        <f>IF([11]回答表!AD55="●",[11]回答表!B615,"")</f>
        <v/>
      </c>
      <c r="V352" s="134"/>
      <c r="W352" s="134"/>
      <c r="X352" s="134"/>
      <c r="Y352" s="134"/>
      <c r="Z352" s="134"/>
      <c r="AA352" s="134"/>
      <c r="AB352" s="134"/>
      <c r="AC352" s="134"/>
      <c r="AD352" s="134"/>
      <c r="AE352" s="134"/>
      <c r="AF352" s="134"/>
      <c r="AG352" s="134"/>
      <c r="AH352" s="134"/>
      <c r="AI352" s="134"/>
      <c r="AJ352" s="135"/>
      <c r="AK352" s="136"/>
      <c r="AL352" s="136"/>
      <c r="AM352" s="133" t="str">
        <f>IF([11]回答表!AD55="●",[11]回答表!B621,"")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IF([11]回答表!R56="●",[11]回答表!B634,"")</f>
        <v xml:space="preserve">収益的収支比率は117.6％と黒字となっている。FIT収入割合が100％となっているが、FIT調達期間と包括的施設リース契約期間とが、ともに20年と同じであるため、事業経営上のリスクは低いものと考えられる。現行の経営体制・手法で、健全な事業運営が実施できている。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AF2F-B1F6-4128-AD4A-CBB8F9120AEA}">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IF(COUNTIF([12]回答表!K16,"*")&gt;0,[12]回答表!K16,"")</f>
        <v>大仙市</v>
      </c>
      <c r="D11" s="8"/>
      <c r="E11" s="8"/>
      <c r="F11" s="8"/>
      <c r="G11" s="8"/>
      <c r="H11" s="8"/>
      <c r="I11" s="8"/>
      <c r="J11" s="8"/>
      <c r="K11" s="8"/>
      <c r="L11" s="8"/>
      <c r="M11" s="8"/>
      <c r="N11" s="8"/>
      <c r="O11" s="8"/>
      <c r="P11" s="8"/>
      <c r="Q11" s="8"/>
      <c r="R11" s="8"/>
      <c r="S11" s="8"/>
      <c r="T11" s="8"/>
      <c r="U11" s="22" t="str">
        <f>IF(COUNTIF([12]回答表!F18,"*")&gt;0,[12]回答表!F18,"")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IF(COUNTIF([12]回答表!W18,"*")&gt;0,[12]回答表!W18,"")</f>
        <v>老人デイサービスセンター</v>
      </c>
      <c r="AP11" s="10"/>
      <c r="AQ11" s="10"/>
      <c r="AR11" s="10"/>
      <c r="AS11" s="10"/>
      <c r="AT11" s="10"/>
      <c r="AU11" s="10"/>
      <c r="AV11" s="10"/>
      <c r="AW11" s="10"/>
      <c r="AX11" s="10"/>
      <c r="AY11" s="10"/>
      <c r="AZ11" s="10"/>
      <c r="BA11" s="10"/>
      <c r="BB11" s="10"/>
      <c r="BC11" s="10"/>
      <c r="BD11" s="10"/>
      <c r="BE11" s="10"/>
      <c r="BF11" s="11"/>
      <c r="BG11" s="21" t="str">
        <f>IF(COUNTIF([12]回答表!F20,"*")&gt;0,[12]回答表!F20,"")</f>
        <v>老人デイサービス事業特別会計</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IF([12]回答表!R49="●","●","")</f>
        <v/>
      </c>
      <c r="E24" s="80"/>
      <c r="F24" s="80"/>
      <c r="G24" s="80"/>
      <c r="H24" s="80"/>
      <c r="I24" s="80"/>
      <c r="J24" s="81"/>
      <c r="K24" s="79" t="str">
        <f>IF([12]回答表!R50="●","●","")</f>
        <v>●</v>
      </c>
      <c r="L24" s="80"/>
      <c r="M24" s="80"/>
      <c r="N24" s="80"/>
      <c r="O24" s="80"/>
      <c r="P24" s="80"/>
      <c r="Q24" s="81"/>
      <c r="R24" s="79" t="str">
        <f>IF([12]回答表!R51="●","●","")</f>
        <v/>
      </c>
      <c r="S24" s="80"/>
      <c r="T24" s="80"/>
      <c r="U24" s="80"/>
      <c r="V24" s="80"/>
      <c r="W24" s="80"/>
      <c r="X24" s="81"/>
      <c r="Y24" s="79" t="str">
        <f>IF([12]回答表!R52="●","●","")</f>
        <v/>
      </c>
      <c r="Z24" s="80"/>
      <c r="AA24" s="80"/>
      <c r="AB24" s="80"/>
      <c r="AC24" s="80"/>
      <c r="AD24" s="80"/>
      <c r="AE24" s="81"/>
      <c r="AF24" s="79" t="str">
        <f>IF([12]回答表!R53="●","●","")</f>
        <v/>
      </c>
      <c r="AG24" s="80"/>
      <c r="AH24" s="80"/>
      <c r="AI24" s="80"/>
      <c r="AJ24" s="80"/>
      <c r="AK24" s="80"/>
      <c r="AL24" s="81"/>
      <c r="AM24" s="79" t="str">
        <f>IF([12]回答表!R54="●","●","")</f>
        <v/>
      </c>
      <c r="AN24" s="80"/>
      <c r="AO24" s="80"/>
      <c r="AP24" s="80"/>
      <c r="AQ24" s="80"/>
      <c r="AR24" s="80"/>
      <c r="AS24" s="81"/>
      <c r="AT24" s="79" t="str">
        <f>IF([12]回答表!R55="●","●","")</f>
        <v/>
      </c>
      <c r="AU24" s="80"/>
      <c r="AV24" s="80"/>
      <c r="AW24" s="80"/>
      <c r="AX24" s="80"/>
      <c r="AY24" s="80"/>
      <c r="AZ24" s="81"/>
      <c r="BA24" s="68"/>
      <c r="BB24" s="82" t="str">
        <f>IF([12]回答表!R56="●","●","")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IF([12]回答表!X49="●","●","")</f>
        <v/>
      </c>
      <c r="O36" s="131"/>
      <c r="P36" s="131"/>
      <c r="Q36" s="132"/>
      <c r="R36" s="119"/>
      <c r="S36" s="119"/>
      <c r="T36" s="119"/>
      <c r="U36" s="133" t="str">
        <f>IF([12]回答表!X49="●",[12]回答表!B67,IF([12]回答表!AA49="●",[12]回答表!B95,""))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IF([12]回答表!X49="●",[12]回答表!S73,IF([12]回答表!AA49="●",[12]回答表!S101,""))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IF([12]回答表!X49="●",[12]回答表!G73,IF([12]回答表!AA49="●",[12]回答表!G101,""))</f>
        <v/>
      </c>
      <c r="AN38" s="83"/>
      <c r="AO38" s="83"/>
      <c r="AP38" s="83"/>
      <c r="AQ38" s="83"/>
      <c r="AR38" s="83"/>
      <c r="AS38" s="83"/>
      <c r="AT38" s="153"/>
      <c r="AU38" s="82" t="str">
        <f>IF([12]回答表!X49="●",[12]回答表!G74,IF([12]回答表!AA49="●",[12]回答表!G102,""))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IF([12]回答表!X49="●",[12]回答表!V73,IF([12]回答表!AA49="●",[12]回答表!V101,""))</f>
        <v/>
      </c>
      <c r="BG39" s="16"/>
      <c r="BH39" s="16"/>
      <c r="BI39" s="17"/>
      <c r="BJ39" s="150" t="str">
        <f>IF([12]回答表!X49="●",[12]回答表!V74,IF([12]回答表!AA49="●",[12]回答表!V102,""))</f>
        <v/>
      </c>
      <c r="BK39" s="16"/>
      <c r="BL39" s="16"/>
      <c r="BM39" s="17"/>
      <c r="BN39" s="150" t="str">
        <f>IF([12]回答表!X49="●",[12]回答表!V75,IF([12]回答表!AA49="●",[12]回答表!V103,""))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IF([12]回答表!X49="●",[12]回答表!O79,IF([12]回答表!AA49="●",[12]回答表!O107,""))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IF([12]回答表!X49="●",[12]回答表!O80,IF([12]回答表!AA49="●",[12]回答表!O108,""))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IF([12]回答表!X49="●",[12]回答表!O81,IF([12]回答表!AA49="●",[12]回答表!O109,""))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IF([12]回答表!X49="●",[12]回答表!O82,IF([12]回答表!AA49="●",[12]回答表!O110,""))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IF([12]回答表!X49="●",[12]回答表!AG79,IF([12]回答表!AA49="●",[12]回答表!AG107,""))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IF([12]回答表!X49="●",[12]回答表!AG80,IF([12]回答表!AA49="●",[12]回答表!AG108,""))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IF([12]回答表!X49="●",[12]回答表!E85,IF([12]回答表!AA49="●",[12]回答表!E113,""))</f>
        <v/>
      </c>
      <c r="V50" s="182"/>
      <c r="W50" s="182"/>
      <c r="X50" s="182"/>
      <c r="Y50" s="182"/>
      <c r="Z50" s="182"/>
      <c r="AA50" s="182"/>
      <c r="AB50" s="182"/>
      <c r="AC50" s="182"/>
      <c r="AD50" s="182"/>
      <c r="AE50" s="183" t="s">
        <v>33</v>
      </c>
      <c r="AF50" s="183"/>
      <c r="AG50" s="183"/>
      <c r="AH50" s="183"/>
      <c r="AI50" s="183"/>
      <c r="AJ50" s="184"/>
      <c r="AK50" s="136"/>
      <c r="AL50" s="136"/>
      <c r="AM50" s="133" t="str">
        <f>IF([12]回答表!X49="●",[12]回答表!B87,IF([12]回答表!AA49="●",[12]回答表!B115,""))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IF([12]回答表!AD49="●","●","")</f>
        <v/>
      </c>
      <c r="O57" s="131"/>
      <c r="P57" s="131"/>
      <c r="Q57" s="132"/>
      <c r="R57" s="119"/>
      <c r="S57" s="119"/>
      <c r="T57" s="119"/>
      <c r="U57" s="133" t="str">
        <f>IF([12]回答表!AD49="●",[12]回答表!B123,"")</f>
        <v/>
      </c>
      <c r="V57" s="134"/>
      <c r="W57" s="134"/>
      <c r="X57" s="134"/>
      <c r="Y57" s="134"/>
      <c r="Z57" s="134"/>
      <c r="AA57" s="134"/>
      <c r="AB57" s="134"/>
      <c r="AC57" s="134"/>
      <c r="AD57" s="134"/>
      <c r="AE57" s="134"/>
      <c r="AF57" s="134"/>
      <c r="AG57" s="134"/>
      <c r="AH57" s="134"/>
      <c r="AI57" s="134"/>
      <c r="AJ57" s="135"/>
      <c r="AK57" s="189"/>
      <c r="AL57" s="189"/>
      <c r="AM57" s="133" t="str">
        <f>IF([12]回答表!AD49="●",[12]回答表!B128,"")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IF([12]回答表!X50="●","●","")</f>
        <v>●</v>
      </c>
      <c r="O68" s="131"/>
      <c r="P68" s="131"/>
      <c r="Q68" s="132"/>
      <c r="R68" s="119"/>
      <c r="S68" s="119"/>
      <c r="T68" s="119"/>
      <c r="U68" s="133" t="str">
        <f>IF([12]回答表!X50="●",[12]回答表!B138,IF([12]回答表!AA50="●",[12]回答表!B159,""))</f>
        <v>平成17(2005)年に8市町村が合併し大仙市が出来た際に、人口対比の職員定数が課題として挙げられた。課題解決のために、福祉施設等法人化特別調査委員会を発足し、法人へ移譲、民営化を実施した。</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IF([12]回答表!X50="●",[12]回答表!S144,IF([12]回答表!AA50="●",[12]回答表!S165,""))</f>
        <v>平成</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IF([12]回答表!X50="●",[12]回答表!J144,IF([12]回答表!AA50="●",[12]回答表!J165,""))</f>
        <v>●</v>
      </c>
      <c r="AN71" s="83"/>
      <c r="AO71" s="83"/>
      <c r="AP71" s="83"/>
      <c r="AQ71" s="83"/>
      <c r="AR71" s="83"/>
      <c r="AS71" s="83"/>
      <c r="AT71" s="153"/>
      <c r="AU71" s="82" t="str">
        <f>IF([12]回答表!X50="●",[12]回答表!J145,IF([12]回答表!AA50="●",[12]回答表!J166,""))</f>
        <v xml:space="preserve"> </v>
      </c>
      <c r="AV71" s="83"/>
      <c r="AW71" s="83"/>
      <c r="AX71" s="83"/>
      <c r="AY71" s="83"/>
      <c r="AZ71" s="83"/>
      <c r="BA71" s="83"/>
      <c r="BB71" s="153"/>
      <c r="BC71" s="120"/>
      <c r="BD71" s="109"/>
      <c r="BE71" s="109"/>
      <c r="BF71" s="150">
        <f>IF([12]回答表!X50="●",[12]回答表!V144,IF([12]回答表!AA50="●",[12]回答表!V165,""))</f>
        <v>28</v>
      </c>
      <c r="BG71" s="151"/>
      <c r="BH71" s="151"/>
      <c r="BI71" s="151"/>
      <c r="BJ71" s="150">
        <f>IF([12]回答表!X50="●",[12]回答表!V145,IF([12]回答表!AA50="●",[12]回答表!V166,""))</f>
        <v>4</v>
      </c>
      <c r="BK71" s="151"/>
      <c r="BL71" s="151"/>
      <c r="BM71" s="151"/>
      <c r="BN71" s="150">
        <f>IF([12]回答表!X50="●",[12]回答表!V146,IF([12]回答表!AA50="●",[12]回答表!V167,""))</f>
        <v>1</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f>IF([12]回答表!X50="●",[12]回答表!E149,IF([12]回答表!AA50="●",[12]回答表!E170,""))</f>
        <v>5</v>
      </c>
      <c r="V80" s="182"/>
      <c r="W80" s="182"/>
      <c r="X80" s="182"/>
      <c r="Y80" s="182"/>
      <c r="Z80" s="182"/>
      <c r="AA80" s="182"/>
      <c r="AB80" s="182"/>
      <c r="AC80" s="182"/>
      <c r="AD80" s="182"/>
      <c r="AE80" s="183" t="s">
        <v>33</v>
      </c>
      <c r="AF80" s="183"/>
      <c r="AG80" s="183"/>
      <c r="AH80" s="183"/>
      <c r="AI80" s="183"/>
      <c r="AJ80" s="184"/>
      <c r="AK80" s="136"/>
      <c r="AL80" s="136"/>
      <c r="AM80" s="133" t="str">
        <f>IF([12]回答表!X50="●",[12]回答表!B151,IF([12]回答表!AA50="●",[12]回答表!B172,""))</f>
        <v>管理運営費</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IF([12]回答表!AD50="●","●","")</f>
        <v/>
      </c>
      <c r="O87" s="131"/>
      <c r="P87" s="131"/>
      <c r="Q87" s="132"/>
      <c r="R87" s="119"/>
      <c r="S87" s="119"/>
      <c r="T87" s="119"/>
      <c r="U87" s="133" t="str">
        <f>IF([12]回答表!AD50="●",[12]回答表!B180,"")</f>
        <v/>
      </c>
      <c r="V87" s="134"/>
      <c r="W87" s="134"/>
      <c r="X87" s="134"/>
      <c r="Y87" s="134"/>
      <c r="Z87" s="134"/>
      <c r="AA87" s="134"/>
      <c r="AB87" s="134"/>
      <c r="AC87" s="134"/>
      <c r="AD87" s="134"/>
      <c r="AE87" s="134"/>
      <c r="AF87" s="134"/>
      <c r="AG87" s="134"/>
      <c r="AH87" s="134"/>
      <c r="AI87" s="134"/>
      <c r="AJ87" s="135"/>
      <c r="AK87" s="189"/>
      <c r="AL87" s="189"/>
      <c r="AM87" s="133" t="str">
        <f>IF([12]回答表!AD50="●",[12]回答表!B186,"")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IF([12]回答表!F18="水道事業",IF([12]回答表!X51="●","●",""),"")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IF([12]回答表!F18="水道事業",IF([12]回答表!X51="●",[12]回答表!B197,IF([12]回答表!AA51="●",[12]回答表!B275,"")),"")</f>
        <v/>
      </c>
      <c r="AN99" s="134"/>
      <c r="AO99" s="134"/>
      <c r="AP99" s="134"/>
      <c r="AQ99" s="134"/>
      <c r="AR99" s="134"/>
      <c r="AS99" s="134"/>
      <c r="AT99" s="134"/>
      <c r="AU99" s="134"/>
      <c r="AV99" s="134"/>
      <c r="AW99" s="134"/>
      <c r="AX99" s="134"/>
      <c r="AY99" s="134"/>
      <c r="AZ99" s="134"/>
      <c r="BA99" s="134"/>
      <c r="BB99" s="134"/>
      <c r="BC99" s="135"/>
      <c r="BD99" s="109"/>
      <c r="BE99" s="109"/>
      <c r="BF99" s="138" t="str">
        <f>IF([12]回答表!F18="水道事業",IF([12]回答表!X51="●",[12]回答表!B256,IF([12]回答表!AA51="●",[12]回答表!B335,"")),"")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IF([12]回答表!F18="水道事業",IF([12]回答表!X51="●",[12]回答表!J205,IF([12]回答表!AA51="●",[12]回答表!J283,"")),"")</f>
        <v/>
      </c>
      <c r="V101" s="83"/>
      <c r="W101" s="83"/>
      <c r="X101" s="83"/>
      <c r="Y101" s="83"/>
      <c r="Z101" s="83"/>
      <c r="AA101" s="83"/>
      <c r="AB101" s="153"/>
      <c r="AC101" s="82" t="str">
        <f>IF([12]回答表!F18="水道事業",IF([12]回答表!X51="●",[12]回答表!J210,IF([12]回答表!AA51="●",[12]回答表!J290,"")),"")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IF([12]回答表!F18="水道事業",IF([12]回答表!X51="●",[12]回答表!E256,IF([12]回答表!AA51="●",[12]回答表!E335,"")),"")</f>
        <v/>
      </c>
      <c r="BG102" s="151"/>
      <c r="BH102" s="151"/>
      <c r="BI102" s="151"/>
      <c r="BJ102" s="150" t="str">
        <f>IF([12]回答表!F18="水道事業",IF([12]回答表!X51="●",[12]回答表!E257,IF([12]回答表!AA51="●",[12]回答表!E336,"")),"")</f>
        <v/>
      </c>
      <c r="BK102" s="151"/>
      <c r="BL102" s="151"/>
      <c r="BM102" s="151"/>
      <c r="BN102" s="150" t="str">
        <f>IF([12]回答表!F18="水道事業",IF([12]回答表!X51="●",[12]回答表!E258,IF([12]回答表!AA51="●",[12]回答表!E337,"")),"")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IF([12]回答表!F18="水道事業",IF([12]回答表!AA51="●","●",""),"")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IF([12]回答表!F18="水道事業",IF([12]回答表!X51="●",[12]回答表!J213,IF([12]回答表!AA51="●",[12]回答表!J293,"")),"")</f>
        <v/>
      </c>
      <c r="V106" s="83"/>
      <c r="W106" s="83"/>
      <c r="X106" s="83"/>
      <c r="Y106" s="83"/>
      <c r="Z106" s="83"/>
      <c r="AA106" s="83"/>
      <c r="AB106" s="153"/>
      <c r="AC106" s="82" t="str">
        <f>IF([12]回答表!F18="水道事業",IF([12]回答表!X51="●",[12]回答表!J217,IF([12]回答表!AA51="●",[12]回答表!J297,"")),"")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IF([12]回答表!F18="水道事業",IF([12]回答表!X51="●",[12]回答表!E265,IF([12]回答表!AA51="●",[12]回答表!E344,"")),"")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IF([12]回答表!F18="水道事業",IF([12]回答表!X51="●",[12]回答表!B267,IF([12]回答表!AA51="●",[12]回答表!B346,"")),"")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IF([12]回答表!F18="水道事業",IF([12]回答表!AD51="●","●",""),"")</f>
        <v/>
      </c>
      <c r="O118" s="131"/>
      <c r="P118" s="131"/>
      <c r="Q118" s="132"/>
      <c r="R118" s="119"/>
      <c r="S118" s="119"/>
      <c r="T118" s="119"/>
      <c r="U118" s="133" t="str">
        <f>IF([12]回答表!F18="水道事業",IF([12]回答表!AD51="●",[12]回答表!B354,""),"")</f>
        <v/>
      </c>
      <c r="V118" s="134"/>
      <c r="W118" s="134"/>
      <c r="X118" s="134"/>
      <c r="Y118" s="134"/>
      <c r="Z118" s="134"/>
      <c r="AA118" s="134"/>
      <c r="AB118" s="134"/>
      <c r="AC118" s="134"/>
      <c r="AD118" s="134"/>
      <c r="AE118" s="134"/>
      <c r="AF118" s="134"/>
      <c r="AG118" s="134"/>
      <c r="AH118" s="134"/>
      <c r="AI118" s="134"/>
      <c r="AJ118" s="135"/>
      <c r="AK118" s="189"/>
      <c r="AL118" s="189"/>
      <c r="AM118" s="133" t="str">
        <f>IF([12]回答表!F18="水道事業",IF([12]回答表!AD51="●",[12]回答表!B360,""),"")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IF([12]回答表!F18="簡易水道事業",IF([12]回答表!X51="●",[12]回答表!B197,IF([12]回答表!AA51="●",[12]回答表!B275,"")),"")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IF([12]回答表!F18="簡易水道事業",IF([12]回答表!X51="●",[12]回答表!B256,IF([12]回答表!AA51="●",[12]回答表!B335,"")),"")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IF([12]回答表!F18="簡易水道事業",IF([12]回答表!X51="●","●",""),"")</f>
        <v/>
      </c>
      <c r="O132" s="131"/>
      <c r="P132" s="131"/>
      <c r="Q132" s="132"/>
      <c r="R132" s="119"/>
      <c r="S132" s="119"/>
      <c r="T132" s="119"/>
      <c r="U132" s="82" t="str">
        <f>IF([12]回答表!F18="簡易水道事業",IF([12]回答表!X51="●",[12]回答表!S224,IF([12]回答表!AA51="●",[12]回答表!S304,"")),"")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IF([12]回答表!F18="簡易水道事業",IF([12]回答表!X51="●",[12]回答表!E256,IF([12]回答表!AA51="●",[12]回答表!E335,"")),"")</f>
        <v/>
      </c>
      <c r="BG133" s="151"/>
      <c r="BH133" s="151"/>
      <c r="BI133" s="151"/>
      <c r="BJ133" s="150" t="str">
        <f>IF([12]回答表!F18="簡易水道事業",IF([12]回答表!X51="●",[12]回答表!E257,IF([12]回答表!AA51="●",[12]回答表!E336,"")),"")</f>
        <v/>
      </c>
      <c r="BK133" s="151"/>
      <c r="BL133" s="151"/>
      <c r="BM133" s="151"/>
      <c r="BN133" s="150" t="str">
        <f>IF([12]回答表!F18="簡易水道事業",IF([12]回答表!X51="●",[12]回答表!E258,IF([12]回答表!AA51="●",[12]回答表!E337,"")),"")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IF([12]回答表!F18="簡易水道事業",IF([12]回答表!X51="●",[12]回答表!S225,IF([12]回答表!AA51="●",[12]回答表!S305,"")),"")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IF([12]回答表!F18="簡易水道事業",IF([12]回答表!AA51="●","●",""),"")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IF([12]回答表!F18="簡易水道事業",IF([12]回答表!X51="●",[12]回答表!S226,IF([12]回答表!AA51="●",[12]回答表!S306,"")),"")</f>
        <v/>
      </c>
      <c r="V142" s="83"/>
      <c r="W142" s="83"/>
      <c r="X142" s="83"/>
      <c r="Y142" s="83"/>
      <c r="Z142" s="83"/>
      <c r="AA142" s="83"/>
      <c r="AB142" s="83"/>
      <c r="AC142" s="83"/>
      <c r="AD142" s="83"/>
      <c r="AE142" s="83"/>
      <c r="AF142" s="83"/>
      <c r="AG142" s="83"/>
      <c r="AH142" s="83"/>
      <c r="AI142" s="83"/>
      <c r="AJ142" s="153"/>
      <c r="AK142" s="68"/>
      <c r="AL142" s="68"/>
      <c r="AM142" s="231" t="str">
        <f>IF([12]回答表!F18="簡易水道事業",IF([12]回答表!X51="●",[12]回答表!Y228,IF([12]回答表!AA51="●",[12]回答表!Y308,"")),"")</f>
        <v/>
      </c>
      <c r="AN142" s="231"/>
      <c r="AO142" s="231"/>
      <c r="AP142" s="231"/>
      <c r="AQ142" s="231"/>
      <c r="AR142" s="231"/>
      <c r="AS142" s="231" t="str">
        <f>IF([12]回答表!F18="簡易水道事業",IF([12]回答表!X51="●",[12]回答表!Y229,IF([12]回答表!AA51="●",[12]回答表!Y309,"")),"")</f>
        <v/>
      </c>
      <c r="AT142" s="231"/>
      <c r="AU142" s="231"/>
      <c r="AV142" s="231"/>
      <c r="AW142" s="231"/>
      <c r="AX142" s="231"/>
      <c r="AY142" s="231" t="str">
        <f>IF([12]回答表!F18="簡易水道事業",IF([12]回答表!X51="●",[12]回答表!Y230,IF([12]回答表!AA51="●",[12]回答表!Y310,"")),"")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IF([12]回答表!F18="簡易水道事業",IF([12]回答表!X51="●",[12]回答表!E265,IF([12]回答表!AA51="●",[12]回答表!E344,"")),"")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IF([12]回答表!F18="簡易水道事業",IF([12]回答表!X51="●",[12]回答表!B267,IF([12]回答表!AA51="●",[12]回答表!B346,"")),"")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IF([12]回答表!F18="簡易水道事業",IF([12]回答表!AD51="●","●",""),"")</f>
        <v/>
      </c>
      <c r="O154" s="131"/>
      <c r="P154" s="131"/>
      <c r="Q154" s="132"/>
      <c r="R154" s="119"/>
      <c r="S154" s="119"/>
      <c r="T154" s="119"/>
      <c r="U154" s="133" t="str">
        <f>IF([12]回答表!F18="簡易水道事業",IF([12]回答表!AD51="●",[12]回答表!B354,""),"")</f>
        <v/>
      </c>
      <c r="V154" s="134"/>
      <c r="W154" s="134"/>
      <c r="X154" s="134"/>
      <c r="Y154" s="134"/>
      <c r="Z154" s="134"/>
      <c r="AA154" s="134"/>
      <c r="AB154" s="134"/>
      <c r="AC154" s="134"/>
      <c r="AD154" s="134"/>
      <c r="AE154" s="134"/>
      <c r="AF154" s="134"/>
      <c r="AG154" s="134"/>
      <c r="AH154" s="134"/>
      <c r="AI154" s="134"/>
      <c r="AJ154" s="135"/>
      <c r="AK154" s="189"/>
      <c r="AL154" s="189"/>
      <c r="AM154" s="133" t="str">
        <f>IF([12]回答表!F18="簡易水道事業",IF([12]回答表!AD51="●",[12]回答表!B360,""),"")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IF([12]回答表!F18="下水道事業",IF([12]回答表!X51="●","●",""),"")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IF([12]回答表!F18="下水道事業",IF([12]回答表!X51="●",[12]回答表!B197,IF([12]回答表!AA51="●",[12]回答表!B275,"")),"")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IF([12]回答表!F18="下水道事業",IF([12]回答表!X51="●",[12]回答表!B256,IF([12]回答表!AA51="●",[12]回答表!B335,"")),"")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IF([12]回答表!F18="下水道事業",IF([12]回答表!X51="●",[12]回答表!N234,IF([12]回答表!AA51="●",[12]回答表!N314,"")),"")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IF([12]回答表!F18="下水道事業",IF([12]回答表!X51="●",[12]回答表!E256,IF([12]回答表!AA51="●",[12]回答表!E335,"")),"")</f>
        <v/>
      </c>
      <c r="BG169" s="151"/>
      <c r="BH169" s="151"/>
      <c r="BI169" s="151"/>
      <c r="BJ169" s="150" t="str">
        <f>IF([12]回答表!F18="下水道事業",IF([12]回答表!X51="●",[12]回答表!E257,IF([12]回答表!AA51="●",[12]回答表!E336,"")),"")</f>
        <v/>
      </c>
      <c r="BK169" s="151"/>
      <c r="BL169" s="151"/>
      <c r="BM169" s="151"/>
      <c r="BN169" s="150" t="str">
        <f>IF([12]回答表!F18="下水道事業",IF([12]回答表!X51="●",[12]回答表!E258,IF([12]回答表!AA51="●",[12]回答表!E337,"")),"")</f>
        <v/>
      </c>
      <c r="BO169" s="151"/>
      <c r="BP169" s="151"/>
      <c r="BQ169" s="152"/>
      <c r="BR169" s="112"/>
      <c r="BX169" s="234" t="str">
        <f>IF([12]回答表!AQ21="下水道事業",IF([12]回答表!BI54="○",[12]回答表!AM200,IF([12]回答表!BL54="○",[12]回答表!AM278,"")),"")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IF([12]回答表!F18="下水道事業",IF([12]回答表!X51="●",[12]回答表!Y236,IF([12]回答表!AA51="●",[12]回答表!Y316,"")),"")</f>
        <v/>
      </c>
      <c r="V174" s="83"/>
      <c r="W174" s="83"/>
      <c r="X174" s="83"/>
      <c r="Y174" s="83"/>
      <c r="Z174" s="83"/>
      <c r="AA174" s="83"/>
      <c r="AB174" s="153"/>
      <c r="AC174" s="82" t="str">
        <f>IF([12]回答表!F18="下水道事業",IF([12]回答表!X51="●",[12]回答表!Y237,IF([12]回答表!AA51="●",[12]回答表!Y317,"")),"")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IF([12]回答表!F18="下水道事業",IF([12]回答表!X51="●",[12]回答表!Y239,IF([12]回答表!AA51="●",[12]回答表!Y319,"")),"")</f>
        <v/>
      </c>
      <c r="V180" s="83"/>
      <c r="W180" s="83"/>
      <c r="X180" s="83"/>
      <c r="Y180" s="83"/>
      <c r="Z180" s="83"/>
      <c r="AA180" s="83"/>
      <c r="AB180" s="153"/>
      <c r="AC180" s="82" t="str">
        <f>IF([12]回答表!F18="下水道事業",IF([12]回答表!X51="●",[12]回答表!Y240,IF([12]回答表!AA51="●",[12]回答表!Y320,"")),"")</f>
        <v/>
      </c>
      <c r="AD180" s="83"/>
      <c r="AE180" s="83"/>
      <c r="AF180" s="83"/>
      <c r="AG180" s="83"/>
      <c r="AH180" s="83"/>
      <c r="AI180" s="83"/>
      <c r="AJ180" s="153"/>
      <c r="AK180" s="82" t="str">
        <f>IF([12]回答表!F18="下水道事業",IF([12]回答表!X51="●",[12]回答表!Y241,IF([12]回答表!AA51="●",[12]回答表!Y321,"")),"")</f>
        <v/>
      </c>
      <c r="AL180" s="83"/>
      <c r="AM180" s="83"/>
      <c r="AN180" s="83"/>
      <c r="AO180" s="83"/>
      <c r="AP180" s="83"/>
      <c r="AQ180" s="83"/>
      <c r="AR180" s="153"/>
      <c r="AS180" s="82" t="str">
        <f>IF([12]回答表!F18="下水道事業",IF([12]回答表!X51="●",[12]回答表!Y242,IF([12]回答表!AA51="●",[12]回答表!Y322,"")),"")</f>
        <v/>
      </c>
      <c r="AT180" s="83"/>
      <c r="AU180" s="83"/>
      <c r="AV180" s="83"/>
      <c r="AW180" s="83"/>
      <c r="AX180" s="83"/>
      <c r="AY180" s="83"/>
      <c r="AZ180" s="153"/>
      <c r="BA180" s="82" t="str">
        <f>IF([12]回答表!F18="下水道事業",IF([12]回答表!X51="●",[12]回答表!Y243,IF([12]回答表!AA51="●",[12]回答表!Y323,"")),"")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IF([12]回答表!F18="下水道事業",IF([12]回答表!AA51="●","●",""),"")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IF([12]回答表!F18="下水道事業",IF([12]回答表!X51="●",[12]回答表!N248,IF([12]回答表!AA51="●",[12]回答表!N328,"")),"")</f>
        <v/>
      </c>
      <c r="V186" s="83"/>
      <c r="W186" s="83"/>
      <c r="X186" s="83"/>
      <c r="Y186" s="83"/>
      <c r="Z186" s="83"/>
      <c r="AA186" s="83"/>
      <c r="AB186" s="153"/>
      <c r="AC186" s="82" t="str">
        <f>IF([12]回答表!F18="下水道事業",IF([12]回答表!X51="●",[12]回答表!N249,IF([12]回答表!AA51="●",[12]回答表!N329,"")),"")</f>
        <v/>
      </c>
      <c r="AD186" s="83"/>
      <c r="AE186" s="83"/>
      <c r="AF186" s="83"/>
      <c r="AG186" s="83"/>
      <c r="AH186" s="83"/>
      <c r="AI186" s="83"/>
      <c r="AJ186" s="153"/>
      <c r="AK186" s="82" t="str">
        <f>IF([12]回答表!F18="下水道事業",IF([12]回答表!X51="●",[12]回答表!N250,IF([12]回答表!AA51="●",[12]回答表!N330,"")),"")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IF([12]回答表!F18="下水道事業",IF([12]回答表!X51="●",[12]回答表!E265,IF([12]回答表!AA51="●",[12]回答表!E344,"")),"")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IF([12]回答表!F18="下水道事業",IF([12]回答表!X51="●",[12]回答表!B267,IF([12]回答表!AA51="●",[12]回答表!B346,"")),"")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IF([12]回答表!F18="下水道事業",IF([12]回答表!AD51="●","●",""),"")</f>
        <v/>
      </c>
      <c r="O198" s="131"/>
      <c r="P198" s="131"/>
      <c r="Q198" s="132"/>
      <c r="R198" s="119"/>
      <c r="S198" s="119"/>
      <c r="T198" s="119"/>
      <c r="U198" s="133" t="str">
        <f>IF([12]回答表!F18="下水道事業",IF([12]回答表!AD51="●",[12]回答表!B354,""),"")</f>
        <v/>
      </c>
      <c r="V198" s="134"/>
      <c r="W198" s="134"/>
      <c r="X198" s="134"/>
      <c r="Y198" s="134"/>
      <c r="Z198" s="134"/>
      <c r="AA198" s="134"/>
      <c r="AB198" s="134"/>
      <c r="AC198" s="134"/>
      <c r="AD198" s="134"/>
      <c r="AE198" s="134"/>
      <c r="AF198" s="134"/>
      <c r="AG198" s="134"/>
      <c r="AH198" s="134"/>
      <c r="AI198" s="134"/>
      <c r="AJ198" s="135"/>
      <c r="AK198" s="189"/>
      <c r="AL198" s="189"/>
      <c r="AM198" s="133" t="str">
        <f>IF([12]回答表!F18="下水道事業",IF([12]回答表!AD51="●",[12]回答表!B360,""),"")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IF([12]回答表!BD18="●",IF([12]回答表!X51="●","●",""),"")</f>
        <v/>
      </c>
      <c r="O210" s="131"/>
      <c r="P210" s="131"/>
      <c r="Q210" s="132"/>
      <c r="R210" s="119"/>
      <c r="S210" s="119"/>
      <c r="T210" s="119"/>
      <c r="U210" s="133" t="str">
        <f>IF([12]回答表!BD18="●",IF([12]回答表!X51="●",[12]回答表!B197,IF([12]回答表!AA51="●",[12]回答表!B275,"")),"")</f>
        <v/>
      </c>
      <c r="V210" s="134"/>
      <c r="W210" s="134"/>
      <c r="X210" s="134"/>
      <c r="Y210" s="134"/>
      <c r="Z210" s="134"/>
      <c r="AA210" s="134"/>
      <c r="AB210" s="134"/>
      <c r="AC210" s="134"/>
      <c r="AD210" s="134"/>
      <c r="AE210" s="134"/>
      <c r="AF210" s="134"/>
      <c r="AG210" s="134"/>
      <c r="AH210" s="134"/>
      <c r="AI210" s="134"/>
      <c r="AJ210" s="135"/>
      <c r="AK210" s="136"/>
      <c r="AL210" s="136"/>
      <c r="AM210" s="138" t="str">
        <f>IF([12]回答表!BD18="●",IF([12]回答表!X51="●",[12]回答表!B256,IF([12]回答表!AA51="●",[12]回答表!B335,"")),"")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IF([12]回答表!BD18="●",IF([12]回答表!X51="●",[12]回答表!E256,IF([12]回答表!AA51="●",[12]回答表!E335,"")),"")</f>
        <v/>
      </c>
      <c r="AN213" s="151"/>
      <c r="AO213" s="151"/>
      <c r="AP213" s="151"/>
      <c r="AQ213" s="150" t="str">
        <f>IF([12]回答表!BD18="●",IF([12]回答表!X51="●",[12]回答表!E257,IF([12]回答表!AA51="●",[12]回答表!E336,"")),"")</f>
        <v/>
      </c>
      <c r="AR213" s="151"/>
      <c r="AS213" s="151"/>
      <c r="AT213" s="151"/>
      <c r="AU213" s="150" t="str">
        <f>IF([12]回答表!BD18="●",IF([12]回答表!X51="●",[12]回答表!E258,IF([12]回答表!AA51="●",[12]回答表!E337,"")),"")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IF([12]回答表!BD18="●",IF([12]回答表!AA51="●","●",""),"")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IF([12]回答表!BD18="●",IF([12]回答表!X51="●",[12]回答表!E265,IF([12]回答表!AA51="●",[12]回答表!E344,"")),"")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IF([12]回答表!BD18="●",IF([12]回答表!X51="●",[12]回答表!B267,IF([12]回答表!AA51="●",[12]回答表!B346,"")),"")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IF([12]回答表!BD18="●",IF([12]回答表!AD51="●","●",""),"")</f>
        <v/>
      </c>
      <c r="O229" s="131"/>
      <c r="P229" s="131"/>
      <c r="Q229" s="132"/>
      <c r="R229" s="119"/>
      <c r="S229" s="119"/>
      <c r="T229" s="119"/>
      <c r="U229" s="133" t="str">
        <f>IF([12]回答表!BD18="●",IF([12]回答表!AD51="●",[12]回答表!B354,""),"")</f>
        <v/>
      </c>
      <c r="V229" s="134"/>
      <c r="W229" s="134"/>
      <c r="X229" s="134"/>
      <c r="Y229" s="134"/>
      <c r="Z229" s="134"/>
      <c r="AA229" s="134"/>
      <c r="AB229" s="134"/>
      <c r="AC229" s="134"/>
      <c r="AD229" s="134"/>
      <c r="AE229" s="134"/>
      <c r="AF229" s="134"/>
      <c r="AG229" s="134"/>
      <c r="AH229" s="134"/>
      <c r="AI229" s="134"/>
      <c r="AJ229" s="135"/>
      <c r="AK229" s="249"/>
      <c r="AL229" s="249"/>
      <c r="AM229" s="133" t="str">
        <f>IF([12]回答表!BD18="●",IF([12]回答表!AD51="●",[12]回答表!B360,""),"")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IF([12]回答表!X52="●","●","")</f>
        <v/>
      </c>
      <c r="O241" s="131"/>
      <c r="P241" s="131"/>
      <c r="Q241" s="132"/>
      <c r="R241" s="119"/>
      <c r="S241" s="119"/>
      <c r="T241" s="119"/>
      <c r="U241" s="133" t="str">
        <f>IF([12]回答表!X52="●",[12]回答表!B371,IF([12]回答表!AA52="●",[12]回答表!B396,""))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IF([12]回答表!X52="●",[12]回答表!U377,IF([12]回答表!AA52="●",[12]回答表!U402,""))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IF([12]回答表!X52="●",[12]回答表!G377,IF([12]回答表!AA52="●",[12]回答表!G402,""))</f>
        <v/>
      </c>
      <c r="AN244" s="83"/>
      <c r="AO244" s="83"/>
      <c r="AP244" s="83"/>
      <c r="AQ244" s="83"/>
      <c r="AR244" s="83"/>
      <c r="AS244" s="83"/>
      <c r="AT244" s="153"/>
      <c r="AU244" s="82" t="str">
        <f>IF([12]回答表!X52="●",[12]回答表!G378,IF([12]回答表!AA52="●",[12]回答表!G403,""))</f>
        <v/>
      </c>
      <c r="AV244" s="83"/>
      <c r="AW244" s="83"/>
      <c r="AX244" s="83"/>
      <c r="AY244" s="83"/>
      <c r="AZ244" s="83"/>
      <c r="BA244" s="83"/>
      <c r="BB244" s="153"/>
      <c r="BC244" s="120"/>
      <c r="BD244" s="109"/>
      <c r="BE244" s="109"/>
      <c r="BF244" s="150" t="str">
        <f>IF([12]回答表!X52="●",[12]回答表!X377,IF([12]回答表!AA52="●",[12]回答表!X402,""))</f>
        <v/>
      </c>
      <c r="BG244" s="151"/>
      <c r="BH244" s="151"/>
      <c r="BI244" s="151"/>
      <c r="BJ244" s="150" t="str">
        <f>IF([12]回答表!X52="●",[12]回答表!X378,IF([12]回答表!AA52="●",[12]回答表!X403,""))</f>
        <v/>
      </c>
      <c r="BK244" s="151"/>
      <c r="BL244" s="151"/>
      <c r="BM244" s="152"/>
      <c r="BN244" s="150" t="str">
        <f>IF([12]回答表!X52="●",[12]回答表!X379,IF([12]回答表!AA52="●",[12]回答表!X404,""))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IF([12]回答表!X52="●",[12]回答表!E386,IF([12]回答表!AA52="●",[12]回答表!E407,""))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IF([12]回答表!X52="●",[12]回答表!B388,IF([12]回答表!AA52="●",[12]回答表!B409,""))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IF([12]回答表!AD52="●","●","")</f>
        <v/>
      </c>
      <c r="O260" s="131"/>
      <c r="P260" s="131"/>
      <c r="Q260" s="132"/>
      <c r="R260" s="119"/>
      <c r="S260" s="119"/>
      <c r="T260" s="119"/>
      <c r="U260" s="133" t="str">
        <f>IF([12]回答表!AD52="●",[12]回答表!B417,"")</f>
        <v/>
      </c>
      <c r="V260" s="134"/>
      <c r="W260" s="134"/>
      <c r="X260" s="134"/>
      <c r="Y260" s="134"/>
      <c r="Z260" s="134"/>
      <c r="AA260" s="134"/>
      <c r="AB260" s="134"/>
      <c r="AC260" s="134"/>
      <c r="AD260" s="134"/>
      <c r="AE260" s="134"/>
      <c r="AF260" s="134"/>
      <c r="AG260" s="134"/>
      <c r="AH260" s="134"/>
      <c r="AI260" s="134"/>
      <c r="AJ260" s="135"/>
      <c r="AK260" s="249"/>
      <c r="AL260" s="249"/>
      <c r="AM260" s="133" t="str">
        <f>IF([12]回答表!AD52="●",[12]回答表!B423,"")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IF([12]回答表!X53="●","●","")</f>
        <v/>
      </c>
      <c r="O272" s="131"/>
      <c r="P272" s="131"/>
      <c r="Q272" s="132"/>
      <c r="R272" s="119"/>
      <c r="S272" s="119"/>
      <c r="T272" s="119"/>
      <c r="U272" s="133" t="str">
        <f>IF([12]回答表!X53="●",[12]回答表!B434,IF([12]回答表!AA53="●",[12]回答表!B465,""))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IF([12]回答表!X53="●",[12]回答表!B440,"")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IF([12]回答表!X53="●",[12]回答表!B446,IF([12]回答表!AA53="●",[12]回答表!B471,""))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IF([12]回答表!X53="●",[12]回答表!E446,IF([12]回答表!AA53="●",[12]回答表!E471,""))</f>
        <v/>
      </c>
      <c r="BG275" s="151"/>
      <c r="BH275" s="151"/>
      <c r="BI275" s="151"/>
      <c r="BJ275" s="150" t="str">
        <f>IF([12]回答表!X53="●",[12]回答表!E447,IF([12]回答表!AA53="●",[12]回答表!E472,""))</f>
        <v/>
      </c>
      <c r="BK275" s="151"/>
      <c r="BL275" s="151"/>
      <c r="BM275" s="152"/>
      <c r="BN275" s="150" t="str">
        <f>IF([12]回答表!X53="●",[12]回答表!E448,IF([12]回答表!AA53="●",[12]回答表!E473,""))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IF([12]回答表!X53="●",[12]回答表!E455,IF([12]回答表!AA53="●",[12]回答表!E476,""))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IF([12]回答表!X53="●",[12]回答表!B457,IF([12]回答表!AA53="●",[12]回答表!B478,""))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IF([12]回答表!AD53="●","●","")</f>
        <v/>
      </c>
      <c r="O291" s="131"/>
      <c r="P291" s="131"/>
      <c r="Q291" s="132"/>
      <c r="R291" s="119"/>
      <c r="S291" s="119"/>
      <c r="T291" s="119"/>
      <c r="U291" s="133" t="str">
        <f>IF([12]回答表!AD53="●",[12]回答表!B486,"")</f>
        <v/>
      </c>
      <c r="V291" s="134"/>
      <c r="W291" s="134"/>
      <c r="X291" s="134"/>
      <c r="Y291" s="134"/>
      <c r="Z291" s="134"/>
      <c r="AA291" s="134"/>
      <c r="AB291" s="134"/>
      <c r="AC291" s="134"/>
      <c r="AD291" s="134"/>
      <c r="AE291" s="134"/>
      <c r="AF291" s="134"/>
      <c r="AG291" s="134"/>
      <c r="AH291" s="134"/>
      <c r="AI291" s="134"/>
      <c r="AJ291" s="135"/>
      <c r="AK291" s="249"/>
      <c r="AL291" s="249"/>
      <c r="AM291" s="133" t="str">
        <f>IF([12]回答表!AD53="●",[12]回答表!B492,"")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IF([12]回答表!X54="●","●","")</f>
        <v/>
      </c>
      <c r="O303" s="131"/>
      <c r="P303" s="131"/>
      <c r="Q303" s="132"/>
      <c r="R303" s="119"/>
      <c r="S303" s="119"/>
      <c r="T303" s="119"/>
      <c r="U303" s="133" t="str">
        <f>IF([12]回答表!X54="●",[12]回答表!B503,IF([12]回答表!AA54="●",[12]回答表!B526,""))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IF([12]回答表!X54="●",[12]回答表!BC510,IF([12]回答表!AA54="●",[12]回答表!BC533,""))</f>
        <v/>
      </c>
      <c r="AR303" s="271"/>
      <c r="AS303" s="271"/>
      <c r="AT303" s="271"/>
      <c r="AU303" s="272" t="s">
        <v>74</v>
      </c>
      <c r="AV303" s="273"/>
      <c r="AW303" s="273"/>
      <c r="AX303" s="274"/>
      <c r="AY303" s="271" t="str">
        <f>IF([12]回答表!X54="●",[12]回答表!BC515,IF([12]回答表!AA54="●",[12]回答表!BC538,""))</f>
        <v/>
      </c>
      <c r="AZ303" s="271"/>
      <c r="BA303" s="271"/>
      <c r="BB303" s="271"/>
      <c r="BC303" s="120"/>
      <c r="BD303" s="109"/>
      <c r="BE303" s="109"/>
      <c r="BF303" s="138" t="str">
        <f>IF([12]回答表!X54="●",[12]回答表!S509,IF([12]回答表!AA54="●",[12]回答表!S532,""))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IF([12]回答表!X54="●",[12]回答表!BC511,IF([12]回答表!AA54="●",[12]回答表!BC534,""))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IF([12]回答表!X54="●",[12]回答表!V509,IF([12]回答表!AA54="●",[12]回答表!V532,""))</f>
        <v/>
      </c>
      <c r="BG306" s="151"/>
      <c r="BH306" s="151"/>
      <c r="BI306" s="151"/>
      <c r="BJ306" s="150" t="str">
        <f>IF([12]回答表!X54="●",[12]回答表!V510,IF([12]回答表!AA54="●",[12]回答表!V533,""))</f>
        <v/>
      </c>
      <c r="BK306" s="151"/>
      <c r="BL306" s="151"/>
      <c r="BM306" s="152"/>
      <c r="BN306" s="150" t="str">
        <f>IF([12]回答表!X54="●",[12]回答表!V511,IF([12]回答表!AA54="●",[12]回答表!V534,""))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IF([12]回答表!X54="●",[12]回答表!BC512,IF([12]回答表!AA54="●",[12]回答表!BC535,""))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IF([12]回答表!X54="●",[12]回答表!BC516,IF([12]回答表!AA54="●",[12]回答表!BC539,""))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IF([12]回答表!X54="●",[12]回答表!BC513,IF([12]回答表!AA54="●",[12]回答表!BC536,""))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IF([12]回答表!X54="●",[12]回答表!BC514,IF([12]回答表!AA54="●",[12]回答表!BC537,""))</f>
        <v/>
      </c>
      <c r="AR311" s="271"/>
      <c r="AS311" s="271"/>
      <c r="AT311" s="271"/>
      <c r="AU311" s="222" t="s">
        <v>80</v>
      </c>
      <c r="AV311" s="223"/>
      <c r="AW311" s="223"/>
      <c r="AX311" s="224"/>
      <c r="AY311" s="281" t="str">
        <f>IF([12]回答表!X54="●",[12]回答表!BC517,IF([12]回答表!AA54="●",[12]回答表!BC540,""))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IF([12]回答表!X54="●",[12]回答表!E516,IF([12]回答表!AA54="●",[12]回答表!E538,""))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IF([12]回答表!X54="●",[12]回答表!B518,IF([12]回答表!AA54="●",[12]回答表!B540,""))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IF([12]回答表!AD54="●","●","")</f>
        <v/>
      </c>
      <c r="O322" s="131"/>
      <c r="P322" s="131"/>
      <c r="Q322" s="132"/>
      <c r="R322" s="119"/>
      <c r="S322" s="119"/>
      <c r="T322" s="119"/>
      <c r="U322" s="133" t="str">
        <f>IF([12]回答表!AD54="●",[12]回答表!B548,"")</f>
        <v/>
      </c>
      <c r="V322" s="134"/>
      <c r="W322" s="134"/>
      <c r="X322" s="134"/>
      <c r="Y322" s="134"/>
      <c r="Z322" s="134"/>
      <c r="AA322" s="134"/>
      <c r="AB322" s="134"/>
      <c r="AC322" s="134"/>
      <c r="AD322" s="134"/>
      <c r="AE322" s="134"/>
      <c r="AF322" s="134"/>
      <c r="AG322" s="134"/>
      <c r="AH322" s="134"/>
      <c r="AI322" s="134"/>
      <c r="AJ322" s="135"/>
      <c r="AK322" s="189"/>
      <c r="AL322" s="189"/>
      <c r="AM322" s="133" t="str">
        <f>IF([12]回答表!AD54="●",[12]回答表!B554,"")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IF([12]回答表!X55="●","●","")</f>
        <v/>
      </c>
      <c r="O333" s="131"/>
      <c r="P333" s="131"/>
      <c r="Q333" s="132"/>
      <c r="R333" s="119"/>
      <c r="S333" s="119"/>
      <c r="T333" s="119"/>
      <c r="U333" s="133" t="str">
        <f>IF([12]回答表!X55="●",[12]回答表!B565,IF([12]回答表!AA55="●",[12]回答表!B590,""))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IF([12]回答表!X55="●",[12]回答表!B575,IF([12]回答表!AA55="●",[12]回答表!B600,""))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IF([12]回答表!X55="●",[12]回答表!G571,IF([12]回答表!AA55="●",[12]回答表!G596,""))</f>
        <v/>
      </c>
      <c r="AN335" s="83"/>
      <c r="AO335" s="83"/>
      <c r="AP335" s="83"/>
      <c r="AQ335" s="83"/>
      <c r="AR335" s="83"/>
      <c r="AS335" s="83"/>
      <c r="AT335" s="153"/>
      <c r="AU335" s="82" t="str">
        <f>IF([12]回答表!X55="●",[12]回答表!G572,IF([12]回答表!AA55="●",[12]回答表!G597,""))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IF([12]回答表!X55="●",[12]回答表!E575,IF([12]回答表!AA55="●",[12]回答表!E600,""))</f>
        <v/>
      </c>
      <c r="BG336" s="151"/>
      <c r="BH336" s="151"/>
      <c r="BI336" s="151"/>
      <c r="BJ336" s="150" t="str">
        <f>IF([12]回答表!X55="●",[12]回答表!E576,IF([12]回答表!AA55="●",[12]回答表!E601,""))</f>
        <v/>
      </c>
      <c r="BK336" s="151"/>
      <c r="BL336" s="151"/>
      <c r="BM336" s="152"/>
      <c r="BN336" s="150" t="str">
        <f>IF([12]回答表!X55="●",[12]回答表!E577,IF([12]回答表!AA55="●",[12]回答表!E602,""))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IF([12]回答表!X55="●",[12]回答表!E580,IF([12]回答表!AA55="●",[12]回答表!E605,""))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IF([12]回答表!X55="●",[12]回答表!B582,IF([12]回答表!AA55="●",[12]回答表!B607,""))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IF([12]回答表!AD55="●","●","")</f>
        <v/>
      </c>
      <c r="O352" s="131"/>
      <c r="P352" s="131"/>
      <c r="Q352" s="132"/>
      <c r="R352" s="119"/>
      <c r="S352" s="119"/>
      <c r="T352" s="119"/>
      <c r="U352" s="133" t="str">
        <f>IF([12]回答表!AD55="●",[12]回答表!B615,"")</f>
        <v/>
      </c>
      <c r="V352" s="134"/>
      <c r="W352" s="134"/>
      <c r="X352" s="134"/>
      <c r="Y352" s="134"/>
      <c r="Z352" s="134"/>
      <c r="AA352" s="134"/>
      <c r="AB352" s="134"/>
      <c r="AC352" s="134"/>
      <c r="AD352" s="134"/>
      <c r="AE352" s="134"/>
      <c r="AF352" s="134"/>
      <c r="AG352" s="134"/>
      <c r="AH352" s="134"/>
      <c r="AI352" s="134"/>
      <c r="AJ352" s="135"/>
      <c r="AK352" s="136"/>
      <c r="AL352" s="136"/>
      <c r="AM352" s="133" t="str">
        <f>IF([12]回答表!AD55="●",[12]回答表!B621,"")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IF([12]回答表!R56="●",[12]回答表!B634,"")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4368-475E-428B-B8C5-8DAC5A671BDF}">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IF(COUNTIF([13]回答表!K16,"*")&gt;0,[13]回答表!K16,"")</f>
        <v>大仙市</v>
      </c>
      <c r="D11" s="8"/>
      <c r="E11" s="8"/>
      <c r="F11" s="8"/>
      <c r="G11" s="8"/>
      <c r="H11" s="8"/>
      <c r="I11" s="8"/>
      <c r="J11" s="8"/>
      <c r="K11" s="8"/>
      <c r="L11" s="8"/>
      <c r="M11" s="8"/>
      <c r="N11" s="8"/>
      <c r="O11" s="8"/>
      <c r="P11" s="8"/>
      <c r="Q11" s="8"/>
      <c r="R11" s="8"/>
      <c r="S11" s="8"/>
      <c r="T11" s="8"/>
      <c r="U11" s="22" t="str">
        <f>IF(COUNTIF([13]回答表!F18,"*")&gt;0,[13]回答表!F18,"")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IF(COUNTIF([13]回答表!W18,"*")&gt;0,[13]回答表!W18,"")</f>
        <v>老人短期入所施設</v>
      </c>
      <c r="AP11" s="10"/>
      <c r="AQ11" s="10"/>
      <c r="AR11" s="10"/>
      <c r="AS11" s="10"/>
      <c r="AT11" s="10"/>
      <c r="AU11" s="10"/>
      <c r="AV11" s="10"/>
      <c r="AW11" s="10"/>
      <c r="AX11" s="10"/>
      <c r="AY11" s="10"/>
      <c r="AZ11" s="10"/>
      <c r="BA11" s="10"/>
      <c r="BB11" s="10"/>
      <c r="BC11" s="10"/>
      <c r="BD11" s="10"/>
      <c r="BE11" s="10"/>
      <c r="BF11" s="11"/>
      <c r="BG11" s="21" t="str">
        <f>IF(COUNTIF([13]回答表!F20,"*")&gt;0,[13]回答表!F20,"")</f>
        <v>介護老人福祉施設介護サービス事業特別会計</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IF([13]回答表!R49="●","●","")</f>
        <v/>
      </c>
      <c r="E24" s="80"/>
      <c r="F24" s="80"/>
      <c r="G24" s="80"/>
      <c r="H24" s="80"/>
      <c r="I24" s="80"/>
      <c r="J24" s="81"/>
      <c r="K24" s="79" t="str">
        <f>IF([13]回答表!R50="●","●","")</f>
        <v>●</v>
      </c>
      <c r="L24" s="80"/>
      <c r="M24" s="80"/>
      <c r="N24" s="80"/>
      <c r="O24" s="80"/>
      <c r="P24" s="80"/>
      <c r="Q24" s="81"/>
      <c r="R24" s="79" t="str">
        <f>IF([13]回答表!R51="●","●","")</f>
        <v/>
      </c>
      <c r="S24" s="80"/>
      <c r="T24" s="80"/>
      <c r="U24" s="80"/>
      <c r="V24" s="80"/>
      <c r="W24" s="80"/>
      <c r="X24" s="81"/>
      <c r="Y24" s="79" t="str">
        <f>IF([13]回答表!R52="●","●","")</f>
        <v/>
      </c>
      <c r="Z24" s="80"/>
      <c r="AA24" s="80"/>
      <c r="AB24" s="80"/>
      <c r="AC24" s="80"/>
      <c r="AD24" s="80"/>
      <c r="AE24" s="81"/>
      <c r="AF24" s="79" t="str">
        <f>IF([13]回答表!R53="●","●","")</f>
        <v/>
      </c>
      <c r="AG24" s="80"/>
      <c r="AH24" s="80"/>
      <c r="AI24" s="80"/>
      <c r="AJ24" s="80"/>
      <c r="AK24" s="80"/>
      <c r="AL24" s="81"/>
      <c r="AM24" s="79" t="str">
        <f>IF([13]回答表!R54="●","●","")</f>
        <v/>
      </c>
      <c r="AN24" s="80"/>
      <c r="AO24" s="80"/>
      <c r="AP24" s="80"/>
      <c r="AQ24" s="80"/>
      <c r="AR24" s="80"/>
      <c r="AS24" s="81"/>
      <c r="AT24" s="79" t="str">
        <f>IF([13]回答表!R55="●","●","")</f>
        <v/>
      </c>
      <c r="AU24" s="80"/>
      <c r="AV24" s="80"/>
      <c r="AW24" s="80"/>
      <c r="AX24" s="80"/>
      <c r="AY24" s="80"/>
      <c r="AZ24" s="81"/>
      <c r="BA24" s="68"/>
      <c r="BB24" s="82" t="str">
        <f>IF([13]回答表!R56="●","●","")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IF([13]回答表!X49="●","●","")</f>
        <v/>
      </c>
      <c r="O36" s="131"/>
      <c r="P36" s="131"/>
      <c r="Q36" s="132"/>
      <c r="R36" s="119"/>
      <c r="S36" s="119"/>
      <c r="T36" s="119"/>
      <c r="U36" s="133" t="str">
        <f>IF([13]回答表!X49="●",[13]回答表!B67,IF([13]回答表!AA49="●",[13]回答表!B95,""))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IF([13]回答表!X49="●",[13]回答表!S73,IF([13]回答表!AA49="●",[13]回答表!S101,""))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IF([13]回答表!X49="●",[13]回答表!G73,IF([13]回答表!AA49="●",[13]回答表!G101,""))</f>
        <v/>
      </c>
      <c r="AN38" s="83"/>
      <c r="AO38" s="83"/>
      <c r="AP38" s="83"/>
      <c r="AQ38" s="83"/>
      <c r="AR38" s="83"/>
      <c r="AS38" s="83"/>
      <c r="AT38" s="153"/>
      <c r="AU38" s="82" t="str">
        <f>IF([13]回答表!X49="●",[13]回答表!G74,IF([13]回答表!AA49="●",[13]回答表!G102,""))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IF([13]回答表!X49="●",[13]回答表!V73,IF([13]回答表!AA49="●",[13]回答表!V101,""))</f>
        <v/>
      </c>
      <c r="BG39" s="16"/>
      <c r="BH39" s="16"/>
      <c r="BI39" s="17"/>
      <c r="BJ39" s="150" t="str">
        <f>IF([13]回答表!X49="●",[13]回答表!V74,IF([13]回答表!AA49="●",[13]回答表!V102,""))</f>
        <v/>
      </c>
      <c r="BK39" s="16"/>
      <c r="BL39" s="16"/>
      <c r="BM39" s="17"/>
      <c r="BN39" s="150" t="str">
        <f>IF([13]回答表!X49="●",[13]回答表!V75,IF([13]回答表!AA49="●",[13]回答表!V103,""))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IF([13]回答表!X49="●",[13]回答表!O79,IF([13]回答表!AA49="●",[13]回答表!O107,""))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IF([13]回答表!X49="●",[13]回答表!O80,IF([13]回答表!AA49="●",[13]回答表!O108,""))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IF([13]回答表!X49="●",[13]回答表!O81,IF([13]回答表!AA49="●",[13]回答表!O109,""))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IF([13]回答表!X49="●",[13]回答表!O82,IF([13]回答表!AA49="●",[13]回答表!O110,""))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IF([13]回答表!X49="●",[13]回答表!AG79,IF([13]回答表!AA49="●",[13]回答表!AG107,""))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IF([13]回答表!X49="●",[13]回答表!AG80,IF([13]回答表!AA49="●",[13]回答表!AG108,""))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IF([13]回答表!X49="●",[13]回答表!E85,IF([13]回答表!AA49="●",[13]回答表!E113,""))</f>
        <v/>
      </c>
      <c r="V50" s="182"/>
      <c r="W50" s="182"/>
      <c r="X50" s="182"/>
      <c r="Y50" s="182"/>
      <c r="Z50" s="182"/>
      <c r="AA50" s="182"/>
      <c r="AB50" s="182"/>
      <c r="AC50" s="182"/>
      <c r="AD50" s="182"/>
      <c r="AE50" s="183" t="s">
        <v>33</v>
      </c>
      <c r="AF50" s="183"/>
      <c r="AG50" s="183"/>
      <c r="AH50" s="183"/>
      <c r="AI50" s="183"/>
      <c r="AJ50" s="184"/>
      <c r="AK50" s="136"/>
      <c r="AL50" s="136"/>
      <c r="AM50" s="133" t="str">
        <f>IF([13]回答表!X49="●",[13]回答表!B87,IF([13]回答表!AA49="●",[13]回答表!B115,""))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IF([13]回答表!AD49="●","●","")</f>
        <v/>
      </c>
      <c r="O57" s="131"/>
      <c r="P57" s="131"/>
      <c r="Q57" s="132"/>
      <c r="R57" s="119"/>
      <c r="S57" s="119"/>
      <c r="T57" s="119"/>
      <c r="U57" s="133" t="str">
        <f>IF([13]回答表!AD49="●",[13]回答表!B123,"")</f>
        <v/>
      </c>
      <c r="V57" s="134"/>
      <c r="W57" s="134"/>
      <c r="X57" s="134"/>
      <c r="Y57" s="134"/>
      <c r="Z57" s="134"/>
      <c r="AA57" s="134"/>
      <c r="AB57" s="134"/>
      <c r="AC57" s="134"/>
      <c r="AD57" s="134"/>
      <c r="AE57" s="134"/>
      <c r="AF57" s="134"/>
      <c r="AG57" s="134"/>
      <c r="AH57" s="134"/>
      <c r="AI57" s="134"/>
      <c r="AJ57" s="135"/>
      <c r="AK57" s="189"/>
      <c r="AL57" s="189"/>
      <c r="AM57" s="133" t="str">
        <f>IF([13]回答表!AD49="●",[13]回答表!B128,"")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IF([13]回答表!X50="●","●","")</f>
        <v>●</v>
      </c>
      <c r="O68" s="131"/>
      <c r="P68" s="131"/>
      <c r="Q68" s="132"/>
      <c r="R68" s="119"/>
      <c r="S68" s="119"/>
      <c r="T68" s="119"/>
      <c r="U68" s="133" t="str">
        <f>IF([13]回答表!X50="●",[13]回答表!B138,IF([13]回答表!AA50="●",[13]回答表!B159,""))</f>
        <v>平成17(2005)年に8市町村が合併し大仙市が出来た際に、人口対比の職員定数が課題として挙げられた。課題解決のために、福祉施設等法人化特別調査委員会を発足し、市立の介護保険施設４施設を法人へ移譲、民営化を実施した。</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IF([13]回答表!X50="●",[13]回答表!S144,IF([13]回答表!AA50="●",[13]回答表!S165,""))</f>
        <v>平成</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IF([13]回答表!X50="●",[13]回答表!J144,IF([13]回答表!AA50="●",[13]回答表!J165,""))</f>
        <v>●</v>
      </c>
      <c r="AN71" s="83"/>
      <c r="AO71" s="83"/>
      <c r="AP71" s="83"/>
      <c r="AQ71" s="83"/>
      <c r="AR71" s="83"/>
      <c r="AS71" s="83"/>
      <c r="AT71" s="153"/>
      <c r="AU71" s="82" t="str">
        <f>IF([13]回答表!X50="●",[13]回答表!J145,IF([13]回答表!AA50="●",[13]回答表!J166,""))</f>
        <v xml:space="preserve"> </v>
      </c>
      <c r="AV71" s="83"/>
      <c r="AW71" s="83"/>
      <c r="AX71" s="83"/>
      <c r="AY71" s="83"/>
      <c r="AZ71" s="83"/>
      <c r="BA71" s="83"/>
      <c r="BB71" s="153"/>
      <c r="BC71" s="120"/>
      <c r="BD71" s="109"/>
      <c r="BE71" s="109"/>
      <c r="BF71" s="150">
        <f>IF([13]回答表!X50="●",[13]回答表!V144,IF([13]回答表!AA50="●",[13]回答表!V165,""))</f>
        <v>23</v>
      </c>
      <c r="BG71" s="151"/>
      <c r="BH71" s="151"/>
      <c r="BI71" s="151"/>
      <c r="BJ71" s="150">
        <f>IF([13]回答表!X50="●",[13]回答表!V145,IF([13]回答表!AA50="●",[13]回答表!V166,""))</f>
        <v>4</v>
      </c>
      <c r="BK71" s="151"/>
      <c r="BL71" s="151"/>
      <c r="BM71" s="151"/>
      <c r="BN71" s="150">
        <f>IF([13]回答表!X50="●",[13]回答表!V146,IF([13]回答表!AA50="●",[13]回答表!V167,""))</f>
        <v>1</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f>IF([13]回答表!X50="●",[13]回答表!E149,IF([13]回答表!AA50="●",[13]回答表!E170,""))</f>
        <v>0</v>
      </c>
      <c r="V80" s="182"/>
      <c r="W80" s="182"/>
      <c r="X80" s="182"/>
      <c r="Y80" s="182"/>
      <c r="Z80" s="182"/>
      <c r="AA80" s="182"/>
      <c r="AB80" s="182"/>
      <c r="AC80" s="182"/>
      <c r="AD80" s="182"/>
      <c r="AE80" s="183" t="s">
        <v>33</v>
      </c>
      <c r="AF80" s="183"/>
      <c r="AG80" s="183"/>
      <c r="AH80" s="183"/>
      <c r="AI80" s="183"/>
      <c r="AJ80" s="184"/>
      <c r="AK80" s="136"/>
      <c r="AL80" s="136"/>
      <c r="AM80" s="133">
        <f>IF([13]回答表!X50="●",[13]回答表!B151,IF([13]回答表!AA50="●",[13]回答表!B172,""))</f>
        <v>0</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IF([13]回答表!AD50="●","●","")</f>
        <v/>
      </c>
      <c r="O87" s="131"/>
      <c r="P87" s="131"/>
      <c r="Q87" s="132"/>
      <c r="R87" s="119"/>
      <c r="S87" s="119"/>
      <c r="T87" s="119"/>
      <c r="U87" s="133" t="str">
        <f>IF([13]回答表!AD50="●",[13]回答表!B180,"")</f>
        <v/>
      </c>
      <c r="V87" s="134"/>
      <c r="W87" s="134"/>
      <c r="X87" s="134"/>
      <c r="Y87" s="134"/>
      <c r="Z87" s="134"/>
      <c r="AA87" s="134"/>
      <c r="AB87" s="134"/>
      <c r="AC87" s="134"/>
      <c r="AD87" s="134"/>
      <c r="AE87" s="134"/>
      <c r="AF87" s="134"/>
      <c r="AG87" s="134"/>
      <c r="AH87" s="134"/>
      <c r="AI87" s="134"/>
      <c r="AJ87" s="135"/>
      <c r="AK87" s="189"/>
      <c r="AL87" s="189"/>
      <c r="AM87" s="133" t="str">
        <f>IF([13]回答表!AD50="●",[13]回答表!B186,"")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IF([13]回答表!F18="水道事業",IF([13]回答表!X51="●","●",""),"")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IF([13]回答表!F18="水道事業",IF([13]回答表!X51="●",[13]回答表!B197,IF([13]回答表!AA51="●",[13]回答表!B275,"")),"")</f>
        <v/>
      </c>
      <c r="AN99" s="134"/>
      <c r="AO99" s="134"/>
      <c r="AP99" s="134"/>
      <c r="AQ99" s="134"/>
      <c r="AR99" s="134"/>
      <c r="AS99" s="134"/>
      <c r="AT99" s="134"/>
      <c r="AU99" s="134"/>
      <c r="AV99" s="134"/>
      <c r="AW99" s="134"/>
      <c r="AX99" s="134"/>
      <c r="AY99" s="134"/>
      <c r="AZ99" s="134"/>
      <c r="BA99" s="134"/>
      <c r="BB99" s="134"/>
      <c r="BC99" s="135"/>
      <c r="BD99" s="109"/>
      <c r="BE99" s="109"/>
      <c r="BF99" s="138" t="str">
        <f>IF([13]回答表!F18="水道事業",IF([13]回答表!X51="●",[13]回答表!B256,IF([13]回答表!AA51="●",[13]回答表!B335,"")),"")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IF([13]回答表!F18="水道事業",IF([13]回答表!X51="●",[13]回答表!J205,IF([13]回答表!AA51="●",[13]回答表!J283,"")),"")</f>
        <v/>
      </c>
      <c r="V101" s="83"/>
      <c r="W101" s="83"/>
      <c r="X101" s="83"/>
      <c r="Y101" s="83"/>
      <c r="Z101" s="83"/>
      <c r="AA101" s="83"/>
      <c r="AB101" s="153"/>
      <c r="AC101" s="82" t="str">
        <f>IF([13]回答表!F18="水道事業",IF([13]回答表!X51="●",[13]回答表!J210,IF([13]回答表!AA51="●",[13]回答表!J290,"")),"")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IF([13]回答表!F18="水道事業",IF([13]回答表!X51="●",[13]回答表!E256,IF([13]回答表!AA51="●",[13]回答表!E335,"")),"")</f>
        <v/>
      </c>
      <c r="BG102" s="151"/>
      <c r="BH102" s="151"/>
      <c r="BI102" s="151"/>
      <c r="BJ102" s="150" t="str">
        <f>IF([13]回答表!F18="水道事業",IF([13]回答表!X51="●",[13]回答表!E257,IF([13]回答表!AA51="●",[13]回答表!E336,"")),"")</f>
        <v/>
      </c>
      <c r="BK102" s="151"/>
      <c r="BL102" s="151"/>
      <c r="BM102" s="151"/>
      <c r="BN102" s="150" t="str">
        <f>IF([13]回答表!F18="水道事業",IF([13]回答表!X51="●",[13]回答表!E258,IF([13]回答表!AA51="●",[13]回答表!E337,"")),"")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IF([13]回答表!F18="水道事業",IF([13]回答表!AA51="●","●",""),"")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IF([13]回答表!F18="水道事業",IF([13]回答表!X51="●",[13]回答表!J213,IF([13]回答表!AA51="●",[13]回答表!J293,"")),"")</f>
        <v/>
      </c>
      <c r="V106" s="83"/>
      <c r="W106" s="83"/>
      <c r="X106" s="83"/>
      <c r="Y106" s="83"/>
      <c r="Z106" s="83"/>
      <c r="AA106" s="83"/>
      <c r="AB106" s="153"/>
      <c r="AC106" s="82" t="str">
        <f>IF([13]回答表!F18="水道事業",IF([13]回答表!X51="●",[13]回答表!J217,IF([13]回答表!AA51="●",[13]回答表!J297,"")),"")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IF([13]回答表!F18="水道事業",IF([13]回答表!X51="●",[13]回答表!E265,IF([13]回答表!AA51="●",[13]回答表!E344,"")),"")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IF([13]回答表!F18="水道事業",IF([13]回答表!X51="●",[13]回答表!B267,IF([13]回答表!AA51="●",[13]回答表!B346,"")),"")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IF([13]回答表!F18="水道事業",IF([13]回答表!AD51="●","●",""),"")</f>
        <v/>
      </c>
      <c r="O118" s="131"/>
      <c r="P118" s="131"/>
      <c r="Q118" s="132"/>
      <c r="R118" s="119"/>
      <c r="S118" s="119"/>
      <c r="T118" s="119"/>
      <c r="U118" s="133" t="str">
        <f>IF([13]回答表!F18="水道事業",IF([13]回答表!AD51="●",[13]回答表!B354,""),"")</f>
        <v/>
      </c>
      <c r="V118" s="134"/>
      <c r="W118" s="134"/>
      <c r="X118" s="134"/>
      <c r="Y118" s="134"/>
      <c r="Z118" s="134"/>
      <c r="AA118" s="134"/>
      <c r="AB118" s="134"/>
      <c r="AC118" s="134"/>
      <c r="AD118" s="134"/>
      <c r="AE118" s="134"/>
      <c r="AF118" s="134"/>
      <c r="AG118" s="134"/>
      <c r="AH118" s="134"/>
      <c r="AI118" s="134"/>
      <c r="AJ118" s="135"/>
      <c r="AK118" s="189"/>
      <c r="AL118" s="189"/>
      <c r="AM118" s="133" t="str">
        <f>IF([13]回答表!F18="水道事業",IF([13]回答表!AD51="●",[13]回答表!B360,""),"")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IF([13]回答表!F18="簡易水道事業",IF([13]回答表!X51="●",[13]回答表!B197,IF([13]回答表!AA51="●",[13]回答表!B275,"")),"")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IF([13]回答表!F18="簡易水道事業",IF([13]回答表!X51="●",[13]回答表!B256,IF([13]回答表!AA51="●",[13]回答表!B335,"")),"")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IF([13]回答表!F18="簡易水道事業",IF([13]回答表!X51="●","●",""),"")</f>
        <v/>
      </c>
      <c r="O132" s="131"/>
      <c r="P132" s="131"/>
      <c r="Q132" s="132"/>
      <c r="R132" s="119"/>
      <c r="S132" s="119"/>
      <c r="T132" s="119"/>
      <c r="U132" s="82" t="str">
        <f>IF([13]回答表!F18="簡易水道事業",IF([13]回答表!X51="●",[13]回答表!S224,IF([13]回答表!AA51="●",[13]回答表!S304,"")),"")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IF([13]回答表!F18="簡易水道事業",IF([13]回答表!X51="●",[13]回答表!E256,IF([13]回答表!AA51="●",[13]回答表!E335,"")),"")</f>
        <v/>
      </c>
      <c r="BG133" s="151"/>
      <c r="BH133" s="151"/>
      <c r="BI133" s="151"/>
      <c r="BJ133" s="150" t="str">
        <f>IF([13]回答表!F18="簡易水道事業",IF([13]回答表!X51="●",[13]回答表!E257,IF([13]回答表!AA51="●",[13]回答表!E336,"")),"")</f>
        <v/>
      </c>
      <c r="BK133" s="151"/>
      <c r="BL133" s="151"/>
      <c r="BM133" s="151"/>
      <c r="BN133" s="150" t="str">
        <f>IF([13]回答表!F18="簡易水道事業",IF([13]回答表!X51="●",[13]回答表!E258,IF([13]回答表!AA51="●",[13]回答表!E337,"")),"")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IF([13]回答表!F18="簡易水道事業",IF([13]回答表!X51="●",[13]回答表!S225,IF([13]回答表!AA51="●",[13]回答表!S305,"")),"")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IF([13]回答表!F18="簡易水道事業",IF([13]回答表!AA51="●","●",""),"")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IF([13]回答表!F18="簡易水道事業",IF([13]回答表!X51="●",[13]回答表!S226,IF([13]回答表!AA51="●",[13]回答表!S306,"")),"")</f>
        <v/>
      </c>
      <c r="V142" s="83"/>
      <c r="W142" s="83"/>
      <c r="X142" s="83"/>
      <c r="Y142" s="83"/>
      <c r="Z142" s="83"/>
      <c r="AA142" s="83"/>
      <c r="AB142" s="83"/>
      <c r="AC142" s="83"/>
      <c r="AD142" s="83"/>
      <c r="AE142" s="83"/>
      <c r="AF142" s="83"/>
      <c r="AG142" s="83"/>
      <c r="AH142" s="83"/>
      <c r="AI142" s="83"/>
      <c r="AJ142" s="153"/>
      <c r="AK142" s="68"/>
      <c r="AL142" s="68"/>
      <c r="AM142" s="231" t="str">
        <f>IF([13]回答表!F18="簡易水道事業",IF([13]回答表!X51="●",[13]回答表!Y228,IF([13]回答表!AA51="●",[13]回答表!Y308,"")),"")</f>
        <v/>
      </c>
      <c r="AN142" s="231"/>
      <c r="AO142" s="231"/>
      <c r="AP142" s="231"/>
      <c r="AQ142" s="231"/>
      <c r="AR142" s="231"/>
      <c r="AS142" s="231" t="str">
        <f>IF([13]回答表!F18="簡易水道事業",IF([13]回答表!X51="●",[13]回答表!Y229,IF([13]回答表!AA51="●",[13]回答表!Y309,"")),"")</f>
        <v/>
      </c>
      <c r="AT142" s="231"/>
      <c r="AU142" s="231"/>
      <c r="AV142" s="231"/>
      <c r="AW142" s="231"/>
      <c r="AX142" s="231"/>
      <c r="AY142" s="231" t="str">
        <f>IF([13]回答表!F18="簡易水道事業",IF([13]回答表!X51="●",[13]回答表!Y230,IF([13]回答表!AA51="●",[13]回答表!Y310,"")),"")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IF([13]回答表!F18="簡易水道事業",IF([13]回答表!X51="●",[13]回答表!E265,IF([13]回答表!AA51="●",[13]回答表!E344,"")),"")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IF([13]回答表!F18="簡易水道事業",IF([13]回答表!X51="●",[13]回答表!B267,IF([13]回答表!AA51="●",[13]回答表!B346,"")),"")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IF([13]回答表!F18="簡易水道事業",IF([13]回答表!AD51="●","●",""),"")</f>
        <v/>
      </c>
      <c r="O154" s="131"/>
      <c r="P154" s="131"/>
      <c r="Q154" s="132"/>
      <c r="R154" s="119"/>
      <c r="S154" s="119"/>
      <c r="T154" s="119"/>
      <c r="U154" s="133" t="str">
        <f>IF([13]回答表!F18="簡易水道事業",IF([13]回答表!AD51="●",[13]回答表!B354,""),"")</f>
        <v/>
      </c>
      <c r="V154" s="134"/>
      <c r="W154" s="134"/>
      <c r="X154" s="134"/>
      <c r="Y154" s="134"/>
      <c r="Z154" s="134"/>
      <c r="AA154" s="134"/>
      <c r="AB154" s="134"/>
      <c r="AC154" s="134"/>
      <c r="AD154" s="134"/>
      <c r="AE154" s="134"/>
      <c r="AF154" s="134"/>
      <c r="AG154" s="134"/>
      <c r="AH154" s="134"/>
      <c r="AI154" s="134"/>
      <c r="AJ154" s="135"/>
      <c r="AK154" s="189"/>
      <c r="AL154" s="189"/>
      <c r="AM154" s="133" t="str">
        <f>IF([13]回答表!F18="簡易水道事業",IF([13]回答表!AD51="●",[13]回答表!B360,""),"")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IF([13]回答表!F18="下水道事業",IF([13]回答表!X51="●","●",""),"")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IF([13]回答表!F18="下水道事業",IF([13]回答表!X51="●",[13]回答表!B197,IF([13]回答表!AA51="●",[13]回答表!B275,"")),"")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IF([13]回答表!F18="下水道事業",IF([13]回答表!X51="●",[13]回答表!B256,IF([13]回答表!AA51="●",[13]回答表!B335,"")),"")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IF([13]回答表!F18="下水道事業",IF([13]回答表!X51="●",[13]回答表!N234,IF([13]回答表!AA51="●",[13]回答表!N314,"")),"")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IF([13]回答表!F18="下水道事業",IF([13]回答表!X51="●",[13]回答表!E256,IF([13]回答表!AA51="●",[13]回答表!E335,"")),"")</f>
        <v/>
      </c>
      <c r="BG169" s="151"/>
      <c r="BH169" s="151"/>
      <c r="BI169" s="151"/>
      <c r="BJ169" s="150" t="str">
        <f>IF([13]回答表!F18="下水道事業",IF([13]回答表!X51="●",[13]回答表!E257,IF([13]回答表!AA51="●",[13]回答表!E336,"")),"")</f>
        <v/>
      </c>
      <c r="BK169" s="151"/>
      <c r="BL169" s="151"/>
      <c r="BM169" s="151"/>
      <c r="BN169" s="150" t="str">
        <f>IF([13]回答表!F18="下水道事業",IF([13]回答表!X51="●",[13]回答表!E258,IF([13]回答表!AA51="●",[13]回答表!E337,"")),"")</f>
        <v/>
      </c>
      <c r="BO169" s="151"/>
      <c r="BP169" s="151"/>
      <c r="BQ169" s="152"/>
      <c r="BR169" s="112"/>
      <c r="BX169" s="234" t="str">
        <f>IF([13]回答表!AQ21="下水道事業",IF([13]回答表!BI54="○",[13]回答表!AM200,IF([13]回答表!BL54="○",[13]回答表!AM278,"")),"")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IF([13]回答表!F18="下水道事業",IF([13]回答表!X51="●",[13]回答表!Y236,IF([13]回答表!AA51="●",[13]回答表!Y316,"")),"")</f>
        <v/>
      </c>
      <c r="V174" s="83"/>
      <c r="W174" s="83"/>
      <c r="X174" s="83"/>
      <c r="Y174" s="83"/>
      <c r="Z174" s="83"/>
      <c r="AA174" s="83"/>
      <c r="AB174" s="153"/>
      <c r="AC174" s="82" t="str">
        <f>IF([13]回答表!F18="下水道事業",IF([13]回答表!X51="●",[13]回答表!Y237,IF([13]回答表!AA51="●",[13]回答表!Y317,"")),"")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IF([13]回答表!F18="下水道事業",IF([13]回答表!X51="●",[13]回答表!Y239,IF([13]回答表!AA51="●",[13]回答表!Y319,"")),"")</f>
        <v/>
      </c>
      <c r="V180" s="83"/>
      <c r="W180" s="83"/>
      <c r="X180" s="83"/>
      <c r="Y180" s="83"/>
      <c r="Z180" s="83"/>
      <c r="AA180" s="83"/>
      <c r="AB180" s="153"/>
      <c r="AC180" s="82" t="str">
        <f>IF([13]回答表!F18="下水道事業",IF([13]回答表!X51="●",[13]回答表!Y240,IF([13]回答表!AA51="●",[13]回答表!Y320,"")),"")</f>
        <v/>
      </c>
      <c r="AD180" s="83"/>
      <c r="AE180" s="83"/>
      <c r="AF180" s="83"/>
      <c r="AG180" s="83"/>
      <c r="AH180" s="83"/>
      <c r="AI180" s="83"/>
      <c r="AJ180" s="153"/>
      <c r="AK180" s="82" t="str">
        <f>IF([13]回答表!F18="下水道事業",IF([13]回答表!X51="●",[13]回答表!Y241,IF([13]回答表!AA51="●",[13]回答表!Y321,"")),"")</f>
        <v/>
      </c>
      <c r="AL180" s="83"/>
      <c r="AM180" s="83"/>
      <c r="AN180" s="83"/>
      <c r="AO180" s="83"/>
      <c r="AP180" s="83"/>
      <c r="AQ180" s="83"/>
      <c r="AR180" s="153"/>
      <c r="AS180" s="82" t="str">
        <f>IF([13]回答表!F18="下水道事業",IF([13]回答表!X51="●",[13]回答表!Y242,IF([13]回答表!AA51="●",[13]回答表!Y322,"")),"")</f>
        <v/>
      </c>
      <c r="AT180" s="83"/>
      <c r="AU180" s="83"/>
      <c r="AV180" s="83"/>
      <c r="AW180" s="83"/>
      <c r="AX180" s="83"/>
      <c r="AY180" s="83"/>
      <c r="AZ180" s="153"/>
      <c r="BA180" s="82" t="str">
        <f>IF([13]回答表!F18="下水道事業",IF([13]回答表!X51="●",[13]回答表!Y243,IF([13]回答表!AA51="●",[13]回答表!Y323,"")),"")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IF([13]回答表!F18="下水道事業",IF([13]回答表!AA51="●","●",""),"")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IF([13]回答表!F18="下水道事業",IF([13]回答表!X51="●",[13]回答表!N248,IF([13]回答表!AA51="●",[13]回答表!N328,"")),"")</f>
        <v/>
      </c>
      <c r="V186" s="83"/>
      <c r="W186" s="83"/>
      <c r="X186" s="83"/>
      <c r="Y186" s="83"/>
      <c r="Z186" s="83"/>
      <c r="AA186" s="83"/>
      <c r="AB186" s="153"/>
      <c r="AC186" s="82" t="str">
        <f>IF([13]回答表!F18="下水道事業",IF([13]回答表!X51="●",[13]回答表!N249,IF([13]回答表!AA51="●",[13]回答表!N329,"")),"")</f>
        <v/>
      </c>
      <c r="AD186" s="83"/>
      <c r="AE186" s="83"/>
      <c r="AF186" s="83"/>
      <c r="AG186" s="83"/>
      <c r="AH186" s="83"/>
      <c r="AI186" s="83"/>
      <c r="AJ186" s="153"/>
      <c r="AK186" s="82" t="str">
        <f>IF([13]回答表!F18="下水道事業",IF([13]回答表!X51="●",[13]回答表!N250,IF([13]回答表!AA51="●",[13]回答表!N330,"")),"")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IF([13]回答表!F18="下水道事業",IF([13]回答表!X51="●",[13]回答表!E265,IF([13]回答表!AA51="●",[13]回答表!E344,"")),"")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IF([13]回答表!F18="下水道事業",IF([13]回答表!X51="●",[13]回答表!B267,IF([13]回答表!AA51="●",[13]回答表!B346,"")),"")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IF([13]回答表!F18="下水道事業",IF([13]回答表!AD51="●","●",""),"")</f>
        <v/>
      </c>
      <c r="O198" s="131"/>
      <c r="P198" s="131"/>
      <c r="Q198" s="132"/>
      <c r="R198" s="119"/>
      <c r="S198" s="119"/>
      <c r="T198" s="119"/>
      <c r="U198" s="133" t="str">
        <f>IF([13]回答表!F18="下水道事業",IF([13]回答表!AD51="●",[13]回答表!B354,""),"")</f>
        <v/>
      </c>
      <c r="V198" s="134"/>
      <c r="W198" s="134"/>
      <c r="X198" s="134"/>
      <c r="Y198" s="134"/>
      <c r="Z198" s="134"/>
      <c r="AA198" s="134"/>
      <c r="AB198" s="134"/>
      <c r="AC198" s="134"/>
      <c r="AD198" s="134"/>
      <c r="AE198" s="134"/>
      <c r="AF198" s="134"/>
      <c r="AG198" s="134"/>
      <c r="AH198" s="134"/>
      <c r="AI198" s="134"/>
      <c r="AJ198" s="135"/>
      <c r="AK198" s="189"/>
      <c r="AL198" s="189"/>
      <c r="AM198" s="133" t="str">
        <f>IF([13]回答表!F18="下水道事業",IF([13]回答表!AD51="●",[13]回答表!B360,""),"")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IF([13]回答表!BD18="●",IF([13]回答表!X51="●","●",""),"")</f>
        <v/>
      </c>
      <c r="O210" s="131"/>
      <c r="P210" s="131"/>
      <c r="Q210" s="132"/>
      <c r="R210" s="119"/>
      <c r="S210" s="119"/>
      <c r="T210" s="119"/>
      <c r="U210" s="133" t="str">
        <f>IF([13]回答表!BD18="●",IF([13]回答表!X51="●",[13]回答表!B197,IF([13]回答表!AA51="●",[13]回答表!B275,"")),"")</f>
        <v/>
      </c>
      <c r="V210" s="134"/>
      <c r="W210" s="134"/>
      <c r="X210" s="134"/>
      <c r="Y210" s="134"/>
      <c r="Z210" s="134"/>
      <c r="AA210" s="134"/>
      <c r="AB210" s="134"/>
      <c r="AC210" s="134"/>
      <c r="AD210" s="134"/>
      <c r="AE210" s="134"/>
      <c r="AF210" s="134"/>
      <c r="AG210" s="134"/>
      <c r="AH210" s="134"/>
      <c r="AI210" s="134"/>
      <c r="AJ210" s="135"/>
      <c r="AK210" s="136"/>
      <c r="AL210" s="136"/>
      <c r="AM210" s="138" t="str">
        <f>IF([13]回答表!BD18="●",IF([13]回答表!X51="●",[13]回答表!B256,IF([13]回答表!AA51="●",[13]回答表!B335,"")),"")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IF([13]回答表!BD18="●",IF([13]回答表!X51="●",[13]回答表!E256,IF([13]回答表!AA51="●",[13]回答表!E335,"")),"")</f>
        <v/>
      </c>
      <c r="AN213" s="151"/>
      <c r="AO213" s="151"/>
      <c r="AP213" s="151"/>
      <c r="AQ213" s="150" t="str">
        <f>IF([13]回答表!BD18="●",IF([13]回答表!X51="●",[13]回答表!E257,IF([13]回答表!AA51="●",[13]回答表!E336,"")),"")</f>
        <v/>
      </c>
      <c r="AR213" s="151"/>
      <c r="AS213" s="151"/>
      <c r="AT213" s="151"/>
      <c r="AU213" s="150" t="str">
        <f>IF([13]回答表!BD18="●",IF([13]回答表!X51="●",[13]回答表!E258,IF([13]回答表!AA51="●",[13]回答表!E337,"")),"")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IF([13]回答表!BD18="●",IF([13]回答表!AA51="●","●",""),"")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IF([13]回答表!BD18="●",IF([13]回答表!X51="●",[13]回答表!E265,IF([13]回答表!AA51="●",[13]回答表!E344,"")),"")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IF([13]回答表!BD18="●",IF([13]回答表!X51="●",[13]回答表!B267,IF([13]回答表!AA51="●",[13]回答表!B346,"")),"")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IF([13]回答表!BD18="●",IF([13]回答表!AD51="●","●",""),"")</f>
        <v/>
      </c>
      <c r="O229" s="131"/>
      <c r="P229" s="131"/>
      <c r="Q229" s="132"/>
      <c r="R229" s="119"/>
      <c r="S229" s="119"/>
      <c r="T229" s="119"/>
      <c r="U229" s="133" t="str">
        <f>IF([13]回答表!BD18="●",IF([13]回答表!AD51="●",[13]回答表!B354,""),"")</f>
        <v/>
      </c>
      <c r="V229" s="134"/>
      <c r="W229" s="134"/>
      <c r="X229" s="134"/>
      <c r="Y229" s="134"/>
      <c r="Z229" s="134"/>
      <c r="AA229" s="134"/>
      <c r="AB229" s="134"/>
      <c r="AC229" s="134"/>
      <c r="AD229" s="134"/>
      <c r="AE229" s="134"/>
      <c r="AF229" s="134"/>
      <c r="AG229" s="134"/>
      <c r="AH229" s="134"/>
      <c r="AI229" s="134"/>
      <c r="AJ229" s="135"/>
      <c r="AK229" s="249"/>
      <c r="AL229" s="249"/>
      <c r="AM229" s="133" t="str">
        <f>IF([13]回答表!BD18="●",IF([13]回答表!AD51="●",[13]回答表!B360,""),"")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IF([13]回答表!X52="●","●","")</f>
        <v/>
      </c>
      <c r="O241" s="131"/>
      <c r="P241" s="131"/>
      <c r="Q241" s="132"/>
      <c r="R241" s="119"/>
      <c r="S241" s="119"/>
      <c r="T241" s="119"/>
      <c r="U241" s="133" t="str">
        <f>IF([13]回答表!X52="●",[13]回答表!B371,IF([13]回答表!AA52="●",[13]回答表!B396,""))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IF([13]回答表!X52="●",[13]回答表!U377,IF([13]回答表!AA52="●",[13]回答表!U402,""))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IF([13]回答表!X52="●",[13]回答表!G377,IF([13]回答表!AA52="●",[13]回答表!G402,""))</f>
        <v/>
      </c>
      <c r="AN244" s="83"/>
      <c r="AO244" s="83"/>
      <c r="AP244" s="83"/>
      <c r="AQ244" s="83"/>
      <c r="AR244" s="83"/>
      <c r="AS244" s="83"/>
      <c r="AT244" s="153"/>
      <c r="AU244" s="82" t="str">
        <f>IF([13]回答表!X52="●",[13]回答表!G378,IF([13]回答表!AA52="●",[13]回答表!G403,""))</f>
        <v/>
      </c>
      <c r="AV244" s="83"/>
      <c r="AW244" s="83"/>
      <c r="AX244" s="83"/>
      <c r="AY244" s="83"/>
      <c r="AZ244" s="83"/>
      <c r="BA244" s="83"/>
      <c r="BB244" s="153"/>
      <c r="BC244" s="120"/>
      <c r="BD244" s="109"/>
      <c r="BE244" s="109"/>
      <c r="BF244" s="150" t="str">
        <f>IF([13]回答表!X52="●",[13]回答表!X377,IF([13]回答表!AA52="●",[13]回答表!X402,""))</f>
        <v/>
      </c>
      <c r="BG244" s="151"/>
      <c r="BH244" s="151"/>
      <c r="BI244" s="151"/>
      <c r="BJ244" s="150" t="str">
        <f>IF([13]回答表!X52="●",[13]回答表!X378,IF([13]回答表!AA52="●",[13]回答表!X403,""))</f>
        <v/>
      </c>
      <c r="BK244" s="151"/>
      <c r="BL244" s="151"/>
      <c r="BM244" s="152"/>
      <c r="BN244" s="150" t="str">
        <f>IF([13]回答表!X52="●",[13]回答表!X379,IF([13]回答表!AA52="●",[13]回答表!X404,""))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IF([13]回答表!X52="●",[13]回答表!E386,IF([13]回答表!AA52="●",[13]回答表!E407,""))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IF([13]回答表!X52="●",[13]回答表!B388,IF([13]回答表!AA52="●",[13]回答表!B409,""))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IF([13]回答表!AD52="●","●","")</f>
        <v/>
      </c>
      <c r="O260" s="131"/>
      <c r="P260" s="131"/>
      <c r="Q260" s="132"/>
      <c r="R260" s="119"/>
      <c r="S260" s="119"/>
      <c r="T260" s="119"/>
      <c r="U260" s="133" t="str">
        <f>IF([13]回答表!AD52="●",[13]回答表!B417,"")</f>
        <v/>
      </c>
      <c r="V260" s="134"/>
      <c r="W260" s="134"/>
      <c r="X260" s="134"/>
      <c r="Y260" s="134"/>
      <c r="Z260" s="134"/>
      <c r="AA260" s="134"/>
      <c r="AB260" s="134"/>
      <c r="AC260" s="134"/>
      <c r="AD260" s="134"/>
      <c r="AE260" s="134"/>
      <c r="AF260" s="134"/>
      <c r="AG260" s="134"/>
      <c r="AH260" s="134"/>
      <c r="AI260" s="134"/>
      <c r="AJ260" s="135"/>
      <c r="AK260" s="249"/>
      <c r="AL260" s="249"/>
      <c r="AM260" s="133" t="str">
        <f>IF([13]回答表!AD52="●",[13]回答表!B423,"")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IF([13]回答表!X53="●","●","")</f>
        <v/>
      </c>
      <c r="O272" s="131"/>
      <c r="P272" s="131"/>
      <c r="Q272" s="132"/>
      <c r="R272" s="119"/>
      <c r="S272" s="119"/>
      <c r="T272" s="119"/>
      <c r="U272" s="133" t="str">
        <f>IF([13]回答表!X53="●",[13]回答表!B434,IF([13]回答表!AA53="●",[13]回答表!B465,""))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IF([13]回答表!X53="●",[13]回答表!B440,"")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IF([13]回答表!X53="●",[13]回答表!B446,IF([13]回答表!AA53="●",[13]回答表!B471,""))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IF([13]回答表!X53="●",[13]回答表!E446,IF([13]回答表!AA53="●",[13]回答表!E471,""))</f>
        <v/>
      </c>
      <c r="BG275" s="151"/>
      <c r="BH275" s="151"/>
      <c r="BI275" s="151"/>
      <c r="BJ275" s="150" t="str">
        <f>IF([13]回答表!X53="●",[13]回答表!E447,IF([13]回答表!AA53="●",[13]回答表!E472,""))</f>
        <v/>
      </c>
      <c r="BK275" s="151"/>
      <c r="BL275" s="151"/>
      <c r="BM275" s="152"/>
      <c r="BN275" s="150" t="str">
        <f>IF([13]回答表!X53="●",[13]回答表!E448,IF([13]回答表!AA53="●",[13]回答表!E473,""))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IF([13]回答表!X53="●",[13]回答表!E455,IF([13]回答表!AA53="●",[13]回答表!E476,""))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IF([13]回答表!X53="●",[13]回答表!B457,IF([13]回答表!AA53="●",[13]回答表!B478,""))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IF([13]回答表!AD53="●","●","")</f>
        <v/>
      </c>
      <c r="O291" s="131"/>
      <c r="P291" s="131"/>
      <c r="Q291" s="132"/>
      <c r="R291" s="119"/>
      <c r="S291" s="119"/>
      <c r="T291" s="119"/>
      <c r="U291" s="133" t="str">
        <f>IF([13]回答表!AD53="●",[13]回答表!B486,"")</f>
        <v/>
      </c>
      <c r="V291" s="134"/>
      <c r="W291" s="134"/>
      <c r="X291" s="134"/>
      <c r="Y291" s="134"/>
      <c r="Z291" s="134"/>
      <c r="AA291" s="134"/>
      <c r="AB291" s="134"/>
      <c r="AC291" s="134"/>
      <c r="AD291" s="134"/>
      <c r="AE291" s="134"/>
      <c r="AF291" s="134"/>
      <c r="AG291" s="134"/>
      <c r="AH291" s="134"/>
      <c r="AI291" s="134"/>
      <c r="AJ291" s="135"/>
      <c r="AK291" s="249"/>
      <c r="AL291" s="249"/>
      <c r="AM291" s="133" t="str">
        <f>IF([13]回答表!AD53="●",[13]回答表!B492,"")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IF([13]回答表!X54="●","●","")</f>
        <v/>
      </c>
      <c r="O303" s="131"/>
      <c r="P303" s="131"/>
      <c r="Q303" s="132"/>
      <c r="R303" s="119"/>
      <c r="S303" s="119"/>
      <c r="T303" s="119"/>
      <c r="U303" s="133" t="str">
        <f>IF([13]回答表!X54="●",[13]回答表!B503,IF([13]回答表!AA54="●",[13]回答表!B526,""))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IF([13]回答表!X54="●",[13]回答表!BC510,IF([13]回答表!AA54="●",[13]回答表!BC533,""))</f>
        <v/>
      </c>
      <c r="AR303" s="271"/>
      <c r="AS303" s="271"/>
      <c r="AT303" s="271"/>
      <c r="AU303" s="272" t="s">
        <v>74</v>
      </c>
      <c r="AV303" s="273"/>
      <c r="AW303" s="273"/>
      <c r="AX303" s="274"/>
      <c r="AY303" s="271" t="str">
        <f>IF([13]回答表!X54="●",[13]回答表!BC515,IF([13]回答表!AA54="●",[13]回答表!BC538,""))</f>
        <v/>
      </c>
      <c r="AZ303" s="271"/>
      <c r="BA303" s="271"/>
      <c r="BB303" s="271"/>
      <c r="BC303" s="120"/>
      <c r="BD303" s="109"/>
      <c r="BE303" s="109"/>
      <c r="BF303" s="138" t="str">
        <f>IF([13]回答表!X54="●",[13]回答表!S509,IF([13]回答表!AA54="●",[13]回答表!S532,""))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IF([13]回答表!X54="●",[13]回答表!BC511,IF([13]回答表!AA54="●",[13]回答表!BC534,""))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IF([13]回答表!X54="●",[13]回答表!V509,IF([13]回答表!AA54="●",[13]回答表!V532,""))</f>
        <v/>
      </c>
      <c r="BG306" s="151"/>
      <c r="BH306" s="151"/>
      <c r="BI306" s="151"/>
      <c r="BJ306" s="150" t="str">
        <f>IF([13]回答表!X54="●",[13]回答表!V510,IF([13]回答表!AA54="●",[13]回答表!V533,""))</f>
        <v/>
      </c>
      <c r="BK306" s="151"/>
      <c r="BL306" s="151"/>
      <c r="BM306" s="152"/>
      <c r="BN306" s="150" t="str">
        <f>IF([13]回答表!X54="●",[13]回答表!V511,IF([13]回答表!AA54="●",[13]回答表!V534,""))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IF([13]回答表!X54="●",[13]回答表!BC512,IF([13]回答表!AA54="●",[13]回答表!BC535,""))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IF([13]回答表!X54="●",[13]回答表!BC516,IF([13]回答表!AA54="●",[13]回答表!BC539,""))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IF([13]回答表!X54="●",[13]回答表!BC513,IF([13]回答表!AA54="●",[13]回答表!BC536,""))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IF([13]回答表!X54="●",[13]回答表!BC514,IF([13]回答表!AA54="●",[13]回答表!BC537,""))</f>
        <v/>
      </c>
      <c r="AR311" s="271"/>
      <c r="AS311" s="271"/>
      <c r="AT311" s="271"/>
      <c r="AU311" s="222" t="s">
        <v>80</v>
      </c>
      <c r="AV311" s="223"/>
      <c r="AW311" s="223"/>
      <c r="AX311" s="224"/>
      <c r="AY311" s="281" t="str">
        <f>IF([13]回答表!X54="●",[13]回答表!BC517,IF([13]回答表!AA54="●",[13]回答表!BC540,""))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IF([13]回答表!X54="●",[13]回答表!E516,IF([13]回答表!AA54="●",[13]回答表!E538,""))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IF([13]回答表!X54="●",[13]回答表!B518,IF([13]回答表!AA54="●",[13]回答表!B540,""))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IF([13]回答表!AD54="●","●","")</f>
        <v/>
      </c>
      <c r="O322" s="131"/>
      <c r="P322" s="131"/>
      <c r="Q322" s="132"/>
      <c r="R322" s="119"/>
      <c r="S322" s="119"/>
      <c r="T322" s="119"/>
      <c r="U322" s="133" t="str">
        <f>IF([13]回答表!AD54="●",[13]回答表!B548,"")</f>
        <v/>
      </c>
      <c r="V322" s="134"/>
      <c r="W322" s="134"/>
      <c r="X322" s="134"/>
      <c r="Y322" s="134"/>
      <c r="Z322" s="134"/>
      <c r="AA322" s="134"/>
      <c r="AB322" s="134"/>
      <c r="AC322" s="134"/>
      <c r="AD322" s="134"/>
      <c r="AE322" s="134"/>
      <c r="AF322" s="134"/>
      <c r="AG322" s="134"/>
      <c r="AH322" s="134"/>
      <c r="AI322" s="134"/>
      <c r="AJ322" s="135"/>
      <c r="AK322" s="189"/>
      <c r="AL322" s="189"/>
      <c r="AM322" s="133" t="str">
        <f>IF([13]回答表!AD54="●",[13]回答表!B554,"")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IF([13]回答表!X55="●","●","")</f>
        <v/>
      </c>
      <c r="O333" s="131"/>
      <c r="P333" s="131"/>
      <c r="Q333" s="132"/>
      <c r="R333" s="119"/>
      <c r="S333" s="119"/>
      <c r="T333" s="119"/>
      <c r="U333" s="133" t="str">
        <f>IF([13]回答表!X55="●",[13]回答表!B565,IF([13]回答表!AA55="●",[13]回答表!B590,""))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IF([13]回答表!X55="●",[13]回答表!B575,IF([13]回答表!AA55="●",[13]回答表!B600,""))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IF([13]回答表!X55="●",[13]回答表!G571,IF([13]回答表!AA55="●",[13]回答表!G596,""))</f>
        <v/>
      </c>
      <c r="AN335" s="83"/>
      <c r="AO335" s="83"/>
      <c r="AP335" s="83"/>
      <c r="AQ335" s="83"/>
      <c r="AR335" s="83"/>
      <c r="AS335" s="83"/>
      <c r="AT335" s="153"/>
      <c r="AU335" s="82" t="str">
        <f>IF([13]回答表!X55="●",[13]回答表!G572,IF([13]回答表!AA55="●",[13]回答表!G597,""))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IF([13]回答表!X55="●",[13]回答表!E575,IF([13]回答表!AA55="●",[13]回答表!E600,""))</f>
        <v/>
      </c>
      <c r="BG336" s="151"/>
      <c r="BH336" s="151"/>
      <c r="BI336" s="151"/>
      <c r="BJ336" s="150" t="str">
        <f>IF([13]回答表!X55="●",[13]回答表!E576,IF([13]回答表!AA55="●",[13]回答表!E601,""))</f>
        <v/>
      </c>
      <c r="BK336" s="151"/>
      <c r="BL336" s="151"/>
      <c r="BM336" s="152"/>
      <c r="BN336" s="150" t="str">
        <f>IF([13]回答表!X55="●",[13]回答表!E577,IF([13]回答表!AA55="●",[13]回答表!E602,""))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IF([13]回答表!X55="●",[13]回答表!E580,IF([13]回答表!AA55="●",[13]回答表!E605,""))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IF([13]回答表!X55="●",[13]回答表!B582,IF([13]回答表!AA55="●",[13]回答表!B607,""))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IF([13]回答表!AD55="●","●","")</f>
        <v/>
      </c>
      <c r="O352" s="131"/>
      <c r="P352" s="131"/>
      <c r="Q352" s="132"/>
      <c r="R352" s="119"/>
      <c r="S352" s="119"/>
      <c r="T352" s="119"/>
      <c r="U352" s="133" t="str">
        <f>IF([13]回答表!AD55="●",[13]回答表!B615,"")</f>
        <v/>
      </c>
      <c r="V352" s="134"/>
      <c r="W352" s="134"/>
      <c r="X352" s="134"/>
      <c r="Y352" s="134"/>
      <c r="Z352" s="134"/>
      <c r="AA352" s="134"/>
      <c r="AB352" s="134"/>
      <c r="AC352" s="134"/>
      <c r="AD352" s="134"/>
      <c r="AE352" s="134"/>
      <c r="AF352" s="134"/>
      <c r="AG352" s="134"/>
      <c r="AH352" s="134"/>
      <c r="AI352" s="134"/>
      <c r="AJ352" s="135"/>
      <c r="AK352" s="136"/>
      <c r="AL352" s="136"/>
      <c r="AM352" s="133" t="str">
        <f>IF([13]回答表!AD55="●",[13]回答表!B621,"")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IF([13]回答表!R56="●",[13]回答表!B634,"")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C2B60-8809-44BD-B7F8-1D3DCCA78FF5}">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IF(COUNTIF([14]回答表!K16,"*")&gt;0,[14]回答表!K16,"")</f>
        <v>大仙市</v>
      </c>
      <c r="D11" s="8"/>
      <c r="E11" s="8"/>
      <c r="F11" s="8"/>
      <c r="G11" s="8"/>
      <c r="H11" s="8"/>
      <c r="I11" s="8"/>
      <c r="J11" s="8"/>
      <c r="K11" s="8"/>
      <c r="L11" s="8"/>
      <c r="M11" s="8"/>
      <c r="N11" s="8"/>
      <c r="O11" s="8"/>
      <c r="P11" s="8"/>
      <c r="Q11" s="8"/>
      <c r="R11" s="8"/>
      <c r="S11" s="8"/>
      <c r="T11" s="8"/>
      <c r="U11" s="22" t="str">
        <f>IF(COUNTIF([14]回答表!F18,"*")&gt;0,[14]回答表!F18,"")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IF(COUNTIF([14]回答表!W18,"*")&gt;0,[14]回答表!W18,"")</f>
        <v>介護老人保健施設</v>
      </c>
      <c r="AP11" s="10"/>
      <c r="AQ11" s="10"/>
      <c r="AR11" s="10"/>
      <c r="AS11" s="10"/>
      <c r="AT11" s="10"/>
      <c r="AU11" s="10"/>
      <c r="AV11" s="10"/>
      <c r="AW11" s="10"/>
      <c r="AX11" s="10"/>
      <c r="AY11" s="10"/>
      <c r="AZ11" s="10"/>
      <c r="BA11" s="10"/>
      <c r="BB11" s="10"/>
      <c r="BC11" s="10"/>
      <c r="BD11" s="10"/>
      <c r="BE11" s="10"/>
      <c r="BF11" s="11"/>
      <c r="BG11" s="21" t="str">
        <f>IF(COUNTIF([14]回答表!F20,"*")&gt;0,[14]回答表!F20,"")</f>
        <v>介護老人保健施設介護サービス事業特別会計</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IF([14]回答表!R49="●","●","")</f>
        <v/>
      </c>
      <c r="E24" s="80"/>
      <c r="F24" s="80"/>
      <c r="G24" s="80"/>
      <c r="H24" s="80"/>
      <c r="I24" s="80"/>
      <c r="J24" s="81"/>
      <c r="K24" s="79" t="str">
        <f>IF([14]回答表!R50="●","●","")</f>
        <v>●</v>
      </c>
      <c r="L24" s="80"/>
      <c r="M24" s="80"/>
      <c r="N24" s="80"/>
      <c r="O24" s="80"/>
      <c r="P24" s="80"/>
      <c r="Q24" s="81"/>
      <c r="R24" s="79" t="str">
        <f>IF([14]回答表!R51="●","●","")</f>
        <v/>
      </c>
      <c r="S24" s="80"/>
      <c r="T24" s="80"/>
      <c r="U24" s="80"/>
      <c r="V24" s="80"/>
      <c r="W24" s="80"/>
      <c r="X24" s="81"/>
      <c r="Y24" s="79" t="str">
        <f>IF([14]回答表!R52="●","●","")</f>
        <v/>
      </c>
      <c r="Z24" s="80"/>
      <c r="AA24" s="80"/>
      <c r="AB24" s="80"/>
      <c r="AC24" s="80"/>
      <c r="AD24" s="80"/>
      <c r="AE24" s="81"/>
      <c r="AF24" s="79" t="str">
        <f>IF([14]回答表!R53="●","●","")</f>
        <v/>
      </c>
      <c r="AG24" s="80"/>
      <c r="AH24" s="80"/>
      <c r="AI24" s="80"/>
      <c r="AJ24" s="80"/>
      <c r="AK24" s="80"/>
      <c r="AL24" s="81"/>
      <c r="AM24" s="79" t="str">
        <f>IF([14]回答表!R54="●","●","")</f>
        <v/>
      </c>
      <c r="AN24" s="80"/>
      <c r="AO24" s="80"/>
      <c r="AP24" s="80"/>
      <c r="AQ24" s="80"/>
      <c r="AR24" s="80"/>
      <c r="AS24" s="81"/>
      <c r="AT24" s="79" t="str">
        <f>IF([14]回答表!R55="●","●","")</f>
        <v/>
      </c>
      <c r="AU24" s="80"/>
      <c r="AV24" s="80"/>
      <c r="AW24" s="80"/>
      <c r="AX24" s="80"/>
      <c r="AY24" s="80"/>
      <c r="AZ24" s="81"/>
      <c r="BA24" s="68"/>
      <c r="BB24" s="82" t="str">
        <f>IF([14]回答表!R56="●","●","")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IF([14]回答表!X49="●","●","")</f>
        <v/>
      </c>
      <c r="O36" s="131"/>
      <c r="P36" s="131"/>
      <c r="Q36" s="132"/>
      <c r="R36" s="119"/>
      <c r="S36" s="119"/>
      <c r="T36" s="119"/>
      <c r="U36" s="133" t="str">
        <f>IF([14]回答表!X49="●",[14]回答表!B67,IF([14]回答表!AA49="●",[14]回答表!B95,""))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IF([14]回答表!X49="●",[14]回答表!S73,IF([14]回答表!AA49="●",[14]回答表!S101,""))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IF([14]回答表!X49="●",[14]回答表!G73,IF([14]回答表!AA49="●",[14]回答表!G101,""))</f>
        <v/>
      </c>
      <c r="AN38" s="83"/>
      <c r="AO38" s="83"/>
      <c r="AP38" s="83"/>
      <c r="AQ38" s="83"/>
      <c r="AR38" s="83"/>
      <c r="AS38" s="83"/>
      <c r="AT38" s="153"/>
      <c r="AU38" s="82" t="str">
        <f>IF([14]回答表!X49="●",[14]回答表!G74,IF([14]回答表!AA49="●",[14]回答表!G102,""))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IF([14]回答表!X49="●",[14]回答表!V73,IF([14]回答表!AA49="●",[14]回答表!V101,""))</f>
        <v/>
      </c>
      <c r="BG39" s="16"/>
      <c r="BH39" s="16"/>
      <c r="BI39" s="17"/>
      <c r="BJ39" s="150" t="str">
        <f>IF([14]回答表!X49="●",[14]回答表!V74,IF([14]回答表!AA49="●",[14]回答表!V102,""))</f>
        <v/>
      </c>
      <c r="BK39" s="16"/>
      <c r="BL39" s="16"/>
      <c r="BM39" s="17"/>
      <c r="BN39" s="150" t="str">
        <f>IF([14]回答表!X49="●",[14]回答表!V75,IF([14]回答表!AA49="●",[14]回答表!V103,""))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IF([14]回答表!X49="●",[14]回答表!O79,IF([14]回答表!AA49="●",[14]回答表!O107,""))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IF([14]回答表!X49="●",[14]回答表!O80,IF([14]回答表!AA49="●",[14]回答表!O108,""))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IF([14]回答表!X49="●",[14]回答表!O81,IF([14]回答表!AA49="●",[14]回答表!O109,""))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IF([14]回答表!X49="●",[14]回答表!O82,IF([14]回答表!AA49="●",[14]回答表!O110,""))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IF([14]回答表!X49="●",[14]回答表!AG79,IF([14]回答表!AA49="●",[14]回答表!AG107,""))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IF([14]回答表!X49="●",[14]回答表!AG80,IF([14]回答表!AA49="●",[14]回答表!AG108,""))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IF([14]回答表!X49="●",[14]回答表!E85,IF([14]回答表!AA49="●",[14]回答表!E113,""))</f>
        <v/>
      </c>
      <c r="V50" s="182"/>
      <c r="W50" s="182"/>
      <c r="X50" s="182"/>
      <c r="Y50" s="182"/>
      <c r="Z50" s="182"/>
      <c r="AA50" s="182"/>
      <c r="AB50" s="182"/>
      <c r="AC50" s="182"/>
      <c r="AD50" s="182"/>
      <c r="AE50" s="183" t="s">
        <v>33</v>
      </c>
      <c r="AF50" s="183"/>
      <c r="AG50" s="183"/>
      <c r="AH50" s="183"/>
      <c r="AI50" s="183"/>
      <c r="AJ50" s="184"/>
      <c r="AK50" s="136"/>
      <c r="AL50" s="136"/>
      <c r="AM50" s="133" t="str">
        <f>IF([14]回答表!X49="●",[14]回答表!B87,IF([14]回答表!AA49="●",[14]回答表!B115,""))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IF([14]回答表!AD49="●","●","")</f>
        <v/>
      </c>
      <c r="O57" s="131"/>
      <c r="P57" s="131"/>
      <c r="Q57" s="132"/>
      <c r="R57" s="119"/>
      <c r="S57" s="119"/>
      <c r="T57" s="119"/>
      <c r="U57" s="133" t="str">
        <f>IF([14]回答表!AD49="●",[14]回答表!B123,"")</f>
        <v/>
      </c>
      <c r="V57" s="134"/>
      <c r="W57" s="134"/>
      <c r="X57" s="134"/>
      <c r="Y57" s="134"/>
      <c r="Z57" s="134"/>
      <c r="AA57" s="134"/>
      <c r="AB57" s="134"/>
      <c r="AC57" s="134"/>
      <c r="AD57" s="134"/>
      <c r="AE57" s="134"/>
      <c r="AF57" s="134"/>
      <c r="AG57" s="134"/>
      <c r="AH57" s="134"/>
      <c r="AI57" s="134"/>
      <c r="AJ57" s="135"/>
      <c r="AK57" s="189"/>
      <c r="AL57" s="189"/>
      <c r="AM57" s="133" t="str">
        <f>IF([14]回答表!AD49="●",[14]回答表!B128,"")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IF([14]回答表!X50="●","●","")</f>
        <v>●</v>
      </c>
      <c r="O68" s="131"/>
      <c r="P68" s="131"/>
      <c r="Q68" s="132"/>
      <c r="R68" s="119"/>
      <c r="S68" s="119"/>
      <c r="T68" s="119"/>
      <c r="U68" s="133" t="str">
        <f>IF([14]回答表!X50="●",[14]回答表!B138,IF([14]回答表!AA50="●",[14]回答表!B159,""))</f>
        <v>平成17(2005)年に8市町村が合併し大仙市が出来た際に、人口対比の職員定数が課題として挙げられた。課題解決のために、福祉施設等法人化特別調査委員会を発足し、市立の介護保険施設２施設を法人へ移譲、民営化を実施した。</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IF([14]回答表!X50="●",[14]回答表!S144,IF([14]回答表!AA50="●",[14]回答表!S165,""))</f>
        <v>平成</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IF([14]回答表!X50="●",[14]回答表!J144,IF([14]回答表!AA50="●",[14]回答表!J165,""))</f>
        <v>●</v>
      </c>
      <c r="AN71" s="83"/>
      <c r="AO71" s="83"/>
      <c r="AP71" s="83"/>
      <c r="AQ71" s="83"/>
      <c r="AR71" s="83"/>
      <c r="AS71" s="83"/>
      <c r="AT71" s="153"/>
      <c r="AU71" s="82" t="str">
        <f>IF([14]回答表!X50="●",[14]回答表!J145,IF([14]回答表!AA50="●",[14]回答表!J166,""))</f>
        <v xml:space="preserve"> </v>
      </c>
      <c r="AV71" s="83"/>
      <c r="AW71" s="83"/>
      <c r="AX71" s="83"/>
      <c r="AY71" s="83"/>
      <c r="AZ71" s="83"/>
      <c r="BA71" s="83"/>
      <c r="BB71" s="153"/>
      <c r="BC71" s="120"/>
      <c r="BD71" s="109"/>
      <c r="BE71" s="109"/>
      <c r="BF71" s="150">
        <f>IF([14]回答表!X50="●",[14]回答表!V144,IF([14]回答表!AA50="●",[14]回答表!V165,""))</f>
        <v>24</v>
      </c>
      <c r="BG71" s="151"/>
      <c r="BH71" s="151"/>
      <c r="BI71" s="151"/>
      <c r="BJ71" s="150">
        <f>IF([14]回答表!X50="●",[14]回答表!V145,IF([14]回答表!AA50="●",[14]回答表!V166,""))</f>
        <v>4</v>
      </c>
      <c r="BK71" s="151"/>
      <c r="BL71" s="151"/>
      <c r="BM71" s="151"/>
      <c r="BN71" s="150">
        <f>IF([14]回答表!X50="●",[14]回答表!V146,IF([14]回答表!AA50="●",[14]回答表!V167,""))</f>
        <v>1</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f>IF([14]回答表!X50="●",[14]回答表!E149,IF([14]回答表!AA50="●",[14]回答表!E170,""))</f>
        <v>0</v>
      </c>
      <c r="V80" s="182"/>
      <c r="W80" s="182"/>
      <c r="X80" s="182"/>
      <c r="Y80" s="182"/>
      <c r="Z80" s="182"/>
      <c r="AA80" s="182"/>
      <c r="AB80" s="182"/>
      <c r="AC80" s="182"/>
      <c r="AD80" s="182"/>
      <c r="AE80" s="183" t="s">
        <v>33</v>
      </c>
      <c r="AF80" s="183"/>
      <c r="AG80" s="183"/>
      <c r="AH80" s="183"/>
      <c r="AI80" s="183"/>
      <c r="AJ80" s="184"/>
      <c r="AK80" s="136"/>
      <c r="AL80" s="136"/>
      <c r="AM80" s="133">
        <f>IF([14]回答表!X50="●",[14]回答表!B151,IF([14]回答表!AA50="●",[14]回答表!B172,""))</f>
        <v>0</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IF([14]回答表!AD50="●","●","")</f>
        <v/>
      </c>
      <c r="O87" s="131"/>
      <c r="P87" s="131"/>
      <c r="Q87" s="132"/>
      <c r="R87" s="119"/>
      <c r="S87" s="119"/>
      <c r="T87" s="119"/>
      <c r="U87" s="133" t="str">
        <f>IF([14]回答表!AD50="●",[14]回答表!B180,"")</f>
        <v/>
      </c>
      <c r="V87" s="134"/>
      <c r="W87" s="134"/>
      <c r="X87" s="134"/>
      <c r="Y87" s="134"/>
      <c r="Z87" s="134"/>
      <c r="AA87" s="134"/>
      <c r="AB87" s="134"/>
      <c r="AC87" s="134"/>
      <c r="AD87" s="134"/>
      <c r="AE87" s="134"/>
      <c r="AF87" s="134"/>
      <c r="AG87" s="134"/>
      <c r="AH87" s="134"/>
      <c r="AI87" s="134"/>
      <c r="AJ87" s="135"/>
      <c r="AK87" s="189"/>
      <c r="AL87" s="189"/>
      <c r="AM87" s="133" t="str">
        <f>IF([14]回答表!AD50="●",[14]回答表!B186,"")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IF([14]回答表!F18="水道事業",IF([14]回答表!X51="●","●",""),"")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IF([14]回答表!F18="水道事業",IF([14]回答表!X51="●",[14]回答表!B197,IF([14]回答表!AA51="●",[14]回答表!B275,"")),"")</f>
        <v/>
      </c>
      <c r="AN99" s="134"/>
      <c r="AO99" s="134"/>
      <c r="AP99" s="134"/>
      <c r="AQ99" s="134"/>
      <c r="AR99" s="134"/>
      <c r="AS99" s="134"/>
      <c r="AT99" s="134"/>
      <c r="AU99" s="134"/>
      <c r="AV99" s="134"/>
      <c r="AW99" s="134"/>
      <c r="AX99" s="134"/>
      <c r="AY99" s="134"/>
      <c r="AZ99" s="134"/>
      <c r="BA99" s="134"/>
      <c r="BB99" s="134"/>
      <c r="BC99" s="135"/>
      <c r="BD99" s="109"/>
      <c r="BE99" s="109"/>
      <c r="BF99" s="138" t="str">
        <f>IF([14]回答表!F18="水道事業",IF([14]回答表!X51="●",[14]回答表!B256,IF([14]回答表!AA51="●",[14]回答表!B335,"")),"")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IF([14]回答表!F18="水道事業",IF([14]回答表!X51="●",[14]回答表!J205,IF([14]回答表!AA51="●",[14]回答表!J283,"")),"")</f>
        <v/>
      </c>
      <c r="V101" s="83"/>
      <c r="W101" s="83"/>
      <c r="X101" s="83"/>
      <c r="Y101" s="83"/>
      <c r="Z101" s="83"/>
      <c r="AA101" s="83"/>
      <c r="AB101" s="153"/>
      <c r="AC101" s="82" t="str">
        <f>IF([14]回答表!F18="水道事業",IF([14]回答表!X51="●",[14]回答表!J210,IF([14]回答表!AA51="●",[14]回答表!J290,"")),"")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IF([14]回答表!F18="水道事業",IF([14]回答表!X51="●",[14]回答表!E256,IF([14]回答表!AA51="●",[14]回答表!E335,"")),"")</f>
        <v/>
      </c>
      <c r="BG102" s="151"/>
      <c r="BH102" s="151"/>
      <c r="BI102" s="151"/>
      <c r="BJ102" s="150" t="str">
        <f>IF([14]回答表!F18="水道事業",IF([14]回答表!X51="●",[14]回答表!E257,IF([14]回答表!AA51="●",[14]回答表!E336,"")),"")</f>
        <v/>
      </c>
      <c r="BK102" s="151"/>
      <c r="BL102" s="151"/>
      <c r="BM102" s="151"/>
      <c r="BN102" s="150" t="str">
        <f>IF([14]回答表!F18="水道事業",IF([14]回答表!X51="●",[14]回答表!E258,IF([14]回答表!AA51="●",[14]回答表!E337,"")),"")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IF([14]回答表!F18="水道事業",IF([14]回答表!AA51="●","●",""),"")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IF([14]回答表!F18="水道事業",IF([14]回答表!X51="●",[14]回答表!J213,IF([14]回答表!AA51="●",[14]回答表!J293,"")),"")</f>
        <v/>
      </c>
      <c r="V106" s="83"/>
      <c r="W106" s="83"/>
      <c r="X106" s="83"/>
      <c r="Y106" s="83"/>
      <c r="Z106" s="83"/>
      <c r="AA106" s="83"/>
      <c r="AB106" s="153"/>
      <c r="AC106" s="82" t="str">
        <f>IF([14]回答表!F18="水道事業",IF([14]回答表!X51="●",[14]回答表!J217,IF([14]回答表!AA51="●",[14]回答表!J297,"")),"")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IF([14]回答表!F18="水道事業",IF([14]回答表!X51="●",[14]回答表!E265,IF([14]回答表!AA51="●",[14]回答表!E344,"")),"")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IF([14]回答表!F18="水道事業",IF([14]回答表!X51="●",[14]回答表!B267,IF([14]回答表!AA51="●",[14]回答表!B346,"")),"")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IF([14]回答表!F18="水道事業",IF([14]回答表!AD51="●","●",""),"")</f>
        <v/>
      </c>
      <c r="O118" s="131"/>
      <c r="P118" s="131"/>
      <c r="Q118" s="132"/>
      <c r="R118" s="119"/>
      <c r="S118" s="119"/>
      <c r="T118" s="119"/>
      <c r="U118" s="133" t="str">
        <f>IF([14]回答表!F18="水道事業",IF([14]回答表!AD51="●",[14]回答表!B354,""),"")</f>
        <v/>
      </c>
      <c r="V118" s="134"/>
      <c r="W118" s="134"/>
      <c r="X118" s="134"/>
      <c r="Y118" s="134"/>
      <c r="Z118" s="134"/>
      <c r="AA118" s="134"/>
      <c r="AB118" s="134"/>
      <c r="AC118" s="134"/>
      <c r="AD118" s="134"/>
      <c r="AE118" s="134"/>
      <c r="AF118" s="134"/>
      <c r="AG118" s="134"/>
      <c r="AH118" s="134"/>
      <c r="AI118" s="134"/>
      <c r="AJ118" s="135"/>
      <c r="AK118" s="189"/>
      <c r="AL118" s="189"/>
      <c r="AM118" s="133" t="str">
        <f>IF([14]回答表!F18="水道事業",IF([14]回答表!AD51="●",[14]回答表!B360,""),"")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IF([14]回答表!F18="簡易水道事業",IF([14]回答表!X51="●",[14]回答表!B197,IF([14]回答表!AA51="●",[14]回答表!B275,"")),"")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IF([14]回答表!F18="簡易水道事業",IF([14]回答表!X51="●",[14]回答表!B256,IF([14]回答表!AA51="●",[14]回答表!B335,"")),"")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IF([14]回答表!F18="簡易水道事業",IF([14]回答表!X51="●","●",""),"")</f>
        <v/>
      </c>
      <c r="O132" s="131"/>
      <c r="P132" s="131"/>
      <c r="Q132" s="132"/>
      <c r="R132" s="119"/>
      <c r="S132" s="119"/>
      <c r="T132" s="119"/>
      <c r="U132" s="82" t="str">
        <f>IF([14]回答表!F18="簡易水道事業",IF([14]回答表!X51="●",[14]回答表!S224,IF([14]回答表!AA51="●",[14]回答表!S304,"")),"")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IF([14]回答表!F18="簡易水道事業",IF([14]回答表!X51="●",[14]回答表!E256,IF([14]回答表!AA51="●",[14]回答表!E335,"")),"")</f>
        <v/>
      </c>
      <c r="BG133" s="151"/>
      <c r="BH133" s="151"/>
      <c r="BI133" s="151"/>
      <c r="BJ133" s="150" t="str">
        <f>IF([14]回答表!F18="簡易水道事業",IF([14]回答表!X51="●",[14]回答表!E257,IF([14]回答表!AA51="●",[14]回答表!E336,"")),"")</f>
        <v/>
      </c>
      <c r="BK133" s="151"/>
      <c r="BL133" s="151"/>
      <c r="BM133" s="151"/>
      <c r="BN133" s="150" t="str">
        <f>IF([14]回答表!F18="簡易水道事業",IF([14]回答表!X51="●",[14]回答表!E258,IF([14]回答表!AA51="●",[14]回答表!E337,"")),"")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IF([14]回答表!F18="簡易水道事業",IF([14]回答表!X51="●",[14]回答表!S225,IF([14]回答表!AA51="●",[14]回答表!S305,"")),"")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IF([14]回答表!F18="簡易水道事業",IF([14]回答表!AA51="●","●",""),"")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IF([14]回答表!F18="簡易水道事業",IF([14]回答表!X51="●",[14]回答表!S226,IF([14]回答表!AA51="●",[14]回答表!S306,"")),"")</f>
        <v/>
      </c>
      <c r="V142" s="83"/>
      <c r="W142" s="83"/>
      <c r="X142" s="83"/>
      <c r="Y142" s="83"/>
      <c r="Z142" s="83"/>
      <c r="AA142" s="83"/>
      <c r="AB142" s="83"/>
      <c r="AC142" s="83"/>
      <c r="AD142" s="83"/>
      <c r="AE142" s="83"/>
      <c r="AF142" s="83"/>
      <c r="AG142" s="83"/>
      <c r="AH142" s="83"/>
      <c r="AI142" s="83"/>
      <c r="AJ142" s="153"/>
      <c r="AK142" s="68"/>
      <c r="AL142" s="68"/>
      <c r="AM142" s="231" t="str">
        <f>IF([14]回答表!F18="簡易水道事業",IF([14]回答表!X51="●",[14]回答表!Y228,IF([14]回答表!AA51="●",[14]回答表!Y308,"")),"")</f>
        <v/>
      </c>
      <c r="AN142" s="231"/>
      <c r="AO142" s="231"/>
      <c r="AP142" s="231"/>
      <c r="AQ142" s="231"/>
      <c r="AR142" s="231"/>
      <c r="AS142" s="231" t="str">
        <f>IF([14]回答表!F18="簡易水道事業",IF([14]回答表!X51="●",[14]回答表!Y229,IF([14]回答表!AA51="●",[14]回答表!Y309,"")),"")</f>
        <v/>
      </c>
      <c r="AT142" s="231"/>
      <c r="AU142" s="231"/>
      <c r="AV142" s="231"/>
      <c r="AW142" s="231"/>
      <c r="AX142" s="231"/>
      <c r="AY142" s="231" t="str">
        <f>IF([14]回答表!F18="簡易水道事業",IF([14]回答表!X51="●",[14]回答表!Y230,IF([14]回答表!AA51="●",[14]回答表!Y310,"")),"")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IF([14]回答表!F18="簡易水道事業",IF([14]回答表!X51="●",[14]回答表!E265,IF([14]回答表!AA51="●",[14]回答表!E344,"")),"")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IF([14]回答表!F18="簡易水道事業",IF([14]回答表!X51="●",[14]回答表!B267,IF([14]回答表!AA51="●",[14]回答表!B346,"")),"")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IF([14]回答表!F18="簡易水道事業",IF([14]回答表!AD51="●","●",""),"")</f>
        <v/>
      </c>
      <c r="O154" s="131"/>
      <c r="P154" s="131"/>
      <c r="Q154" s="132"/>
      <c r="R154" s="119"/>
      <c r="S154" s="119"/>
      <c r="T154" s="119"/>
      <c r="U154" s="133" t="str">
        <f>IF([14]回答表!F18="簡易水道事業",IF([14]回答表!AD51="●",[14]回答表!B354,""),"")</f>
        <v/>
      </c>
      <c r="V154" s="134"/>
      <c r="W154" s="134"/>
      <c r="X154" s="134"/>
      <c r="Y154" s="134"/>
      <c r="Z154" s="134"/>
      <c r="AA154" s="134"/>
      <c r="AB154" s="134"/>
      <c r="AC154" s="134"/>
      <c r="AD154" s="134"/>
      <c r="AE154" s="134"/>
      <c r="AF154" s="134"/>
      <c r="AG154" s="134"/>
      <c r="AH154" s="134"/>
      <c r="AI154" s="134"/>
      <c r="AJ154" s="135"/>
      <c r="AK154" s="189"/>
      <c r="AL154" s="189"/>
      <c r="AM154" s="133" t="str">
        <f>IF([14]回答表!F18="簡易水道事業",IF([14]回答表!AD51="●",[14]回答表!B360,""),"")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IF([14]回答表!F18="下水道事業",IF([14]回答表!X51="●","●",""),"")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IF([14]回答表!F18="下水道事業",IF([14]回答表!X51="●",[14]回答表!B197,IF([14]回答表!AA51="●",[14]回答表!B275,"")),"")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IF([14]回答表!F18="下水道事業",IF([14]回答表!X51="●",[14]回答表!B256,IF([14]回答表!AA51="●",[14]回答表!B335,"")),"")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IF([14]回答表!F18="下水道事業",IF([14]回答表!X51="●",[14]回答表!N234,IF([14]回答表!AA51="●",[14]回答表!N314,"")),"")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IF([14]回答表!F18="下水道事業",IF([14]回答表!X51="●",[14]回答表!E256,IF([14]回答表!AA51="●",[14]回答表!E335,"")),"")</f>
        <v/>
      </c>
      <c r="BG169" s="151"/>
      <c r="BH169" s="151"/>
      <c r="BI169" s="151"/>
      <c r="BJ169" s="150" t="str">
        <f>IF([14]回答表!F18="下水道事業",IF([14]回答表!X51="●",[14]回答表!E257,IF([14]回答表!AA51="●",[14]回答表!E336,"")),"")</f>
        <v/>
      </c>
      <c r="BK169" s="151"/>
      <c r="BL169" s="151"/>
      <c r="BM169" s="151"/>
      <c r="BN169" s="150" t="str">
        <f>IF([14]回答表!F18="下水道事業",IF([14]回答表!X51="●",[14]回答表!E258,IF([14]回答表!AA51="●",[14]回答表!E337,"")),"")</f>
        <v/>
      </c>
      <c r="BO169" s="151"/>
      <c r="BP169" s="151"/>
      <c r="BQ169" s="152"/>
      <c r="BR169" s="112"/>
      <c r="BX169" s="234" t="str">
        <f>IF([14]回答表!AQ21="下水道事業",IF([14]回答表!BI54="○",[14]回答表!AM200,IF([14]回答表!BL54="○",[14]回答表!AM278,"")),"")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IF([14]回答表!F18="下水道事業",IF([14]回答表!X51="●",[14]回答表!Y236,IF([14]回答表!AA51="●",[14]回答表!Y316,"")),"")</f>
        <v/>
      </c>
      <c r="V174" s="83"/>
      <c r="W174" s="83"/>
      <c r="X174" s="83"/>
      <c r="Y174" s="83"/>
      <c r="Z174" s="83"/>
      <c r="AA174" s="83"/>
      <c r="AB174" s="153"/>
      <c r="AC174" s="82" t="str">
        <f>IF([14]回答表!F18="下水道事業",IF([14]回答表!X51="●",[14]回答表!Y237,IF([14]回答表!AA51="●",[14]回答表!Y317,"")),"")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IF([14]回答表!F18="下水道事業",IF([14]回答表!X51="●",[14]回答表!Y239,IF([14]回答表!AA51="●",[14]回答表!Y319,"")),"")</f>
        <v/>
      </c>
      <c r="V180" s="83"/>
      <c r="W180" s="83"/>
      <c r="X180" s="83"/>
      <c r="Y180" s="83"/>
      <c r="Z180" s="83"/>
      <c r="AA180" s="83"/>
      <c r="AB180" s="153"/>
      <c r="AC180" s="82" t="str">
        <f>IF([14]回答表!F18="下水道事業",IF([14]回答表!X51="●",[14]回答表!Y240,IF([14]回答表!AA51="●",[14]回答表!Y320,"")),"")</f>
        <v/>
      </c>
      <c r="AD180" s="83"/>
      <c r="AE180" s="83"/>
      <c r="AF180" s="83"/>
      <c r="AG180" s="83"/>
      <c r="AH180" s="83"/>
      <c r="AI180" s="83"/>
      <c r="AJ180" s="153"/>
      <c r="AK180" s="82" t="str">
        <f>IF([14]回答表!F18="下水道事業",IF([14]回答表!X51="●",[14]回答表!Y241,IF([14]回答表!AA51="●",[14]回答表!Y321,"")),"")</f>
        <v/>
      </c>
      <c r="AL180" s="83"/>
      <c r="AM180" s="83"/>
      <c r="AN180" s="83"/>
      <c r="AO180" s="83"/>
      <c r="AP180" s="83"/>
      <c r="AQ180" s="83"/>
      <c r="AR180" s="153"/>
      <c r="AS180" s="82" t="str">
        <f>IF([14]回答表!F18="下水道事業",IF([14]回答表!X51="●",[14]回答表!Y242,IF([14]回答表!AA51="●",[14]回答表!Y322,"")),"")</f>
        <v/>
      </c>
      <c r="AT180" s="83"/>
      <c r="AU180" s="83"/>
      <c r="AV180" s="83"/>
      <c r="AW180" s="83"/>
      <c r="AX180" s="83"/>
      <c r="AY180" s="83"/>
      <c r="AZ180" s="153"/>
      <c r="BA180" s="82" t="str">
        <f>IF([14]回答表!F18="下水道事業",IF([14]回答表!X51="●",[14]回答表!Y243,IF([14]回答表!AA51="●",[14]回答表!Y323,"")),"")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IF([14]回答表!F18="下水道事業",IF([14]回答表!AA51="●","●",""),"")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IF([14]回答表!F18="下水道事業",IF([14]回答表!X51="●",[14]回答表!N248,IF([14]回答表!AA51="●",[14]回答表!N328,"")),"")</f>
        <v/>
      </c>
      <c r="V186" s="83"/>
      <c r="W186" s="83"/>
      <c r="X186" s="83"/>
      <c r="Y186" s="83"/>
      <c r="Z186" s="83"/>
      <c r="AA186" s="83"/>
      <c r="AB186" s="153"/>
      <c r="AC186" s="82" t="str">
        <f>IF([14]回答表!F18="下水道事業",IF([14]回答表!X51="●",[14]回答表!N249,IF([14]回答表!AA51="●",[14]回答表!N329,"")),"")</f>
        <v/>
      </c>
      <c r="AD186" s="83"/>
      <c r="AE186" s="83"/>
      <c r="AF186" s="83"/>
      <c r="AG186" s="83"/>
      <c r="AH186" s="83"/>
      <c r="AI186" s="83"/>
      <c r="AJ186" s="153"/>
      <c r="AK186" s="82" t="str">
        <f>IF([14]回答表!F18="下水道事業",IF([14]回答表!X51="●",[14]回答表!N250,IF([14]回答表!AA51="●",[14]回答表!N330,"")),"")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IF([14]回答表!F18="下水道事業",IF([14]回答表!X51="●",[14]回答表!E265,IF([14]回答表!AA51="●",[14]回答表!E344,"")),"")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IF([14]回答表!F18="下水道事業",IF([14]回答表!X51="●",[14]回答表!B267,IF([14]回答表!AA51="●",[14]回答表!B346,"")),"")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IF([14]回答表!F18="下水道事業",IF([14]回答表!AD51="●","●",""),"")</f>
        <v/>
      </c>
      <c r="O198" s="131"/>
      <c r="P198" s="131"/>
      <c r="Q198" s="132"/>
      <c r="R198" s="119"/>
      <c r="S198" s="119"/>
      <c r="T198" s="119"/>
      <c r="U198" s="133" t="str">
        <f>IF([14]回答表!F18="下水道事業",IF([14]回答表!AD51="●",[14]回答表!B354,""),"")</f>
        <v/>
      </c>
      <c r="V198" s="134"/>
      <c r="W198" s="134"/>
      <c r="X198" s="134"/>
      <c r="Y198" s="134"/>
      <c r="Z198" s="134"/>
      <c r="AA198" s="134"/>
      <c r="AB198" s="134"/>
      <c r="AC198" s="134"/>
      <c r="AD198" s="134"/>
      <c r="AE198" s="134"/>
      <c r="AF198" s="134"/>
      <c r="AG198" s="134"/>
      <c r="AH198" s="134"/>
      <c r="AI198" s="134"/>
      <c r="AJ198" s="135"/>
      <c r="AK198" s="189"/>
      <c r="AL198" s="189"/>
      <c r="AM198" s="133" t="str">
        <f>IF([14]回答表!F18="下水道事業",IF([14]回答表!AD51="●",[14]回答表!B360,""),"")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IF([14]回答表!BD18="●",IF([14]回答表!X51="●","●",""),"")</f>
        <v/>
      </c>
      <c r="O210" s="131"/>
      <c r="P210" s="131"/>
      <c r="Q210" s="132"/>
      <c r="R210" s="119"/>
      <c r="S210" s="119"/>
      <c r="T210" s="119"/>
      <c r="U210" s="133" t="str">
        <f>IF([14]回答表!BD18="●",IF([14]回答表!X51="●",[14]回答表!B197,IF([14]回答表!AA51="●",[14]回答表!B275,"")),"")</f>
        <v/>
      </c>
      <c r="V210" s="134"/>
      <c r="W210" s="134"/>
      <c r="X210" s="134"/>
      <c r="Y210" s="134"/>
      <c r="Z210" s="134"/>
      <c r="AA210" s="134"/>
      <c r="AB210" s="134"/>
      <c r="AC210" s="134"/>
      <c r="AD210" s="134"/>
      <c r="AE210" s="134"/>
      <c r="AF210" s="134"/>
      <c r="AG210" s="134"/>
      <c r="AH210" s="134"/>
      <c r="AI210" s="134"/>
      <c r="AJ210" s="135"/>
      <c r="AK210" s="136"/>
      <c r="AL210" s="136"/>
      <c r="AM210" s="138" t="str">
        <f>IF([14]回答表!BD18="●",IF([14]回答表!X51="●",[14]回答表!B256,IF([14]回答表!AA51="●",[14]回答表!B335,"")),"")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IF([14]回答表!BD18="●",IF([14]回答表!X51="●",[14]回答表!E256,IF([14]回答表!AA51="●",[14]回答表!E335,"")),"")</f>
        <v/>
      </c>
      <c r="AN213" s="151"/>
      <c r="AO213" s="151"/>
      <c r="AP213" s="151"/>
      <c r="AQ213" s="150" t="str">
        <f>IF([14]回答表!BD18="●",IF([14]回答表!X51="●",[14]回答表!E257,IF([14]回答表!AA51="●",[14]回答表!E336,"")),"")</f>
        <v/>
      </c>
      <c r="AR213" s="151"/>
      <c r="AS213" s="151"/>
      <c r="AT213" s="151"/>
      <c r="AU213" s="150" t="str">
        <f>IF([14]回答表!BD18="●",IF([14]回答表!X51="●",[14]回答表!E258,IF([14]回答表!AA51="●",[14]回答表!E337,"")),"")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IF([14]回答表!BD18="●",IF([14]回答表!AA51="●","●",""),"")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IF([14]回答表!BD18="●",IF([14]回答表!X51="●",[14]回答表!E265,IF([14]回答表!AA51="●",[14]回答表!E344,"")),"")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IF([14]回答表!BD18="●",IF([14]回答表!X51="●",[14]回答表!B267,IF([14]回答表!AA51="●",[14]回答表!B346,"")),"")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IF([14]回答表!BD18="●",IF([14]回答表!AD51="●","●",""),"")</f>
        <v/>
      </c>
      <c r="O229" s="131"/>
      <c r="P229" s="131"/>
      <c r="Q229" s="132"/>
      <c r="R229" s="119"/>
      <c r="S229" s="119"/>
      <c r="T229" s="119"/>
      <c r="U229" s="133" t="str">
        <f>IF([14]回答表!BD18="●",IF([14]回答表!AD51="●",[14]回答表!B354,""),"")</f>
        <v/>
      </c>
      <c r="V229" s="134"/>
      <c r="W229" s="134"/>
      <c r="X229" s="134"/>
      <c r="Y229" s="134"/>
      <c r="Z229" s="134"/>
      <c r="AA229" s="134"/>
      <c r="AB229" s="134"/>
      <c r="AC229" s="134"/>
      <c r="AD229" s="134"/>
      <c r="AE229" s="134"/>
      <c r="AF229" s="134"/>
      <c r="AG229" s="134"/>
      <c r="AH229" s="134"/>
      <c r="AI229" s="134"/>
      <c r="AJ229" s="135"/>
      <c r="AK229" s="249"/>
      <c r="AL229" s="249"/>
      <c r="AM229" s="133" t="str">
        <f>IF([14]回答表!BD18="●",IF([14]回答表!AD51="●",[14]回答表!B360,""),"")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IF([14]回答表!X52="●","●","")</f>
        <v/>
      </c>
      <c r="O241" s="131"/>
      <c r="P241" s="131"/>
      <c r="Q241" s="132"/>
      <c r="R241" s="119"/>
      <c r="S241" s="119"/>
      <c r="T241" s="119"/>
      <c r="U241" s="133" t="str">
        <f>IF([14]回答表!X52="●",[14]回答表!B371,IF([14]回答表!AA52="●",[14]回答表!B396,""))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IF([14]回答表!X52="●",[14]回答表!U377,IF([14]回答表!AA52="●",[14]回答表!U402,""))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IF([14]回答表!X52="●",[14]回答表!G377,IF([14]回答表!AA52="●",[14]回答表!G402,""))</f>
        <v/>
      </c>
      <c r="AN244" s="83"/>
      <c r="AO244" s="83"/>
      <c r="AP244" s="83"/>
      <c r="AQ244" s="83"/>
      <c r="AR244" s="83"/>
      <c r="AS244" s="83"/>
      <c r="AT244" s="153"/>
      <c r="AU244" s="82" t="str">
        <f>IF([14]回答表!X52="●",[14]回答表!G378,IF([14]回答表!AA52="●",[14]回答表!G403,""))</f>
        <v/>
      </c>
      <c r="AV244" s="83"/>
      <c r="AW244" s="83"/>
      <c r="AX244" s="83"/>
      <c r="AY244" s="83"/>
      <c r="AZ244" s="83"/>
      <c r="BA244" s="83"/>
      <c r="BB244" s="153"/>
      <c r="BC244" s="120"/>
      <c r="BD244" s="109"/>
      <c r="BE244" s="109"/>
      <c r="BF244" s="150" t="str">
        <f>IF([14]回答表!X52="●",[14]回答表!X377,IF([14]回答表!AA52="●",[14]回答表!X402,""))</f>
        <v/>
      </c>
      <c r="BG244" s="151"/>
      <c r="BH244" s="151"/>
      <c r="BI244" s="151"/>
      <c r="BJ244" s="150" t="str">
        <f>IF([14]回答表!X52="●",[14]回答表!X378,IF([14]回答表!AA52="●",[14]回答表!X403,""))</f>
        <v/>
      </c>
      <c r="BK244" s="151"/>
      <c r="BL244" s="151"/>
      <c r="BM244" s="152"/>
      <c r="BN244" s="150" t="str">
        <f>IF([14]回答表!X52="●",[14]回答表!X379,IF([14]回答表!AA52="●",[14]回答表!X404,""))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IF([14]回答表!X52="●",[14]回答表!E386,IF([14]回答表!AA52="●",[14]回答表!E407,""))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IF([14]回答表!X52="●",[14]回答表!B388,IF([14]回答表!AA52="●",[14]回答表!B409,""))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IF([14]回答表!AD52="●","●","")</f>
        <v/>
      </c>
      <c r="O260" s="131"/>
      <c r="P260" s="131"/>
      <c r="Q260" s="132"/>
      <c r="R260" s="119"/>
      <c r="S260" s="119"/>
      <c r="T260" s="119"/>
      <c r="U260" s="133" t="str">
        <f>IF([14]回答表!AD52="●",[14]回答表!B417,"")</f>
        <v/>
      </c>
      <c r="V260" s="134"/>
      <c r="W260" s="134"/>
      <c r="X260" s="134"/>
      <c r="Y260" s="134"/>
      <c r="Z260" s="134"/>
      <c r="AA260" s="134"/>
      <c r="AB260" s="134"/>
      <c r="AC260" s="134"/>
      <c r="AD260" s="134"/>
      <c r="AE260" s="134"/>
      <c r="AF260" s="134"/>
      <c r="AG260" s="134"/>
      <c r="AH260" s="134"/>
      <c r="AI260" s="134"/>
      <c r="AJ260" s="135"/>
      <c r="AK260" s="249"/>
      <c r="AL260" s="249"/>
      <c r="AM260" s="133" t="str">
        <f>IF([14]回答表!AD52="●",[14]回答表!B423,"")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IF([14]回答表!X53="●","●","")</f>
        <v/>
      </c>
      <c r="O272" s="131"/>
      <c r="P272" s="131"/>
      <c r="Q272" s="132"/>
      <c r="R272" s="119"/>
      <c r="S272" s="119"/>
      <c r="T272" s="119"/>
      <c r="U272" s="133" t="str">
        <f>IF([14]回答表!X53="●",[14]回答表!B434,IF([14]回答表!AA53="●",[14]回答表!B465,""))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IF([14]回答表!X53="●",[14]回答表!B440,"")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IF([14]回答表!X53="●",[14]回答表!B446,IF([14]回答表!AA53="●",[14]回答表!B471,""))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IF([14]回答表!X53="●",[14]回答表!E446,IF([14]回答表!AA53="●",[14]回答表!E471,""))</f>
        <v/>
      </c>
      <c r="BG275" s="151"/>
      <c r="BH275" s="151"/>
      <c r="BI275" s="151"/>
      <c r="BJ275" s="150" t="str">
        <f>IF([14]回答表!X53="●",[14]回答表!E447,IF([14]回答表!AA53="●",[14]回答表!E472,""))</f>
        <v/>
      </c>
      <c r="BK275" s="151"/>
      <c r="BL275" s="151"/>
      <c r="BM275" s="152"/>
      <c r="BN275" s="150" t="str">
        <f>IF([14]回答表!X53="●",[14]回答表!E448,IF([14]回答表!AA53="●",[14]回答表!E473,""))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IF([14]回答表!X53="●",[14]回答表!E455,IF([14]回答表!AA53="●",[14]回答表!E476,""))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IF([14]回答表!X53="●",[14]回答表!B457,IF([14]回答表!AA53="●",[14]回答表!B478,""))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IF([14]回答表!AD53="●","●","")</f>
        <v/>
      </c>
      <c r="O291" s="131"/>
      <c r="P291" s="131"/>
      <c r="Q291" s="132"/>
      <c r="R291" s="119"/>
      <c r="S291" s="119"/>
      <c r="T291" s="119"/>
      <c r="U291" s="133" t="str">
        <f>IF([14]回答表!AD53="●",[14]回答表!B486,"")</f>
        <v/>
      </c>
      <c r="V291" s="134"/>
      <c r="W291" s="134"/>
      <c r="X291" s="134"/>
      <c r="Y291" s="134"/>
      <c r="Z291" s="134"/>
      <c r="AA291" s="134"/>
      <c r="AB291" s="134"/>
      <c r="AC291" s="134"/>
      <c r="AD291" s="134"/>
      <c r="AE291" s="134"/>
      <c r="AF291" s="134"/>
      <c r="AG291" s="134"/>
      <c r="AH291" s="134"/>
      <c r="AI291" s="134"/>
      <c r="AJ291" s="135"/>
      <c r="AK291" s="249"/>
      <c r="AL291" s="249"/>
      <c r="AM291" s="133" t="str">
        <f>IF([14]回答表!AD53="●",[14]回答表!B492,"")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IF([14]回答表!X54="●","●","")</f>
        <v/>
      </c>
      <c r="O303" s="131"/>
      <c r="P303" s="131"/>
      <c r="Q303" s="132"/>
      <c r="R303" s="119"/>
      <c r="S303" s="119"/>
      <c r="T303" s="119"/>
      <c r="U303" s="133" t="str">
        <f>IF([14]回答表!X54="●",[14]回答表!B503,IF([14]回答表!AA54="●",[14]回答表!B526,""))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IF([14]回答表!X54="●",[14]回答表!BC510,IF([14]回答表!AA54="●",[14]回答表!BC533,""))</f>
        <v/>
      </c>
      <c r="AR303" s="271"/>
      <c r="AS303" s="271"/>
      <c r="AT303" s="271"/>
      <c r="AU303" s="272" t="s">
        <v>74</v>
      </c>
      <c r="AV303" s="273"/>
      <c r="AW303" s="273"/>
      <c r="AX303" s="274"/>
      <c r="AY303" s="271" t="str">
        <f>IF([14]回答表!X54="●",[14]回答表!BC515,IF([14]回答表!AA54="●",[14]回答表!BC538,""))</f>
        <v/>
      </c>
      <c r="AZ303" s="271"/>
      <c r="BA303" s="271"/>
      <c r="BB303" s="271"/>
      <c r="BC303" s="120"/>
      <c r="BD303" s="109"/>
      <c r="BE303" s="109"/>
      <c r="BF303" s="138" t="str">
        <f>IF([14]回答表!X54="●",[14]回答表!S509,IF([14]回答表!AA54="●",[14]回答表!S532,""))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IF([14]回答表!X54="●",[14]回答表!BC511,IF([14]回答表!AA54="●",[14]回答表!BC534,""))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IF([14]回答表!X54="●",[14]回答表!V509,IF([14]回答表!AA54="●",[14]回答表!V532,""))</f>
        <v/>
      </c>
      <c r="BG306" s="151"/>
      <c r="BH306" s="151"/>
      <c r="BI306" s="151"/>
      <c r="BJ306" s="150" t="str">
        <f>IF([14]回答表!X54="●",[14]回答表!V510,IF([14]回答表!AA54="●",[14]回答表!V533,""))</f>
        <v/>
      </c>
      <c r="BK306" s="151"/>
      <c r="BL306" s="151"/>
      <c r="BM306" s="152"/>
      <c r="BN306" s="150" t="str">
        <f>IF([14]回答表!X54="●",[14]回答表!V511,IF([14]回答表!AA54="●",[14]回答表!V534,""))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IF([14]回答表!X54="●",[14]回答表!BC512,IF([14]回答表!AA54="●",[14]回答表!BC535,""))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IF([14]回答表!X54="●",[14]回答表!BC516,IF([14]回答表!AA54="●",[14]回答表!BC539,""))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IF([14]回答表!X54="●",[14]回答表!BC513,IF([14]回答表!AA54="●",[14]回答表!BC536,""))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IF([14]回答表!X54="●",[14]回答表!BC514,IF([14]回答表!AA54="●",[14]回答表!BC537,""))</f>
        <v/>
      </c>
      <c r="AR311" s="271"/>
      <c r="AS311" s="271"/>
      <c r="AT311" s="271"/>
      <c r="AU311" s="222" t="s">
        <v>80</v>
      </c>
      <c r="AV311" s="223"/>
      <c r="AW311" s="223"/>
      <c r="AX311" s="224"/>
      <c r="AY311" s="281" t="str">
        <f>IF([14]回答表!X54="●",[14]回答表!BC517,IF([14]回答表!AA54="●",[14]回答表!BC540,""))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IF([14]回答表!X54="●",[14]回答表!E516,IF([14]回答表!AA54="●",[14]回答表!E538,""))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IF([14]回答表!X54="●",[14]回答表!B518,IF([14]回答表!AA54="●",[14]回答表!B540,""))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IF([14]回答表!AD54="●","●","")</f>
        <v/>
      </c>
      <c r="O322" s="131"/>
      <c r="P322" s="131"/>
      <c r="Q322" s="132"/>
      <c r="R322" s="119"/>
      <c r="S322" s="119"/>
      <c r="T322" s="119"/>
      <c r="U322" s="133" t="str">
        <f>IF([14]回答表!AD54="●",[14]回答表!B548,"")</f>
        <v/>
      </c>
      <c r="V322" s="134"/>
      <c r="W322" s="134"/>
      <c r="X322" s="134"/>
      <c r="Y322" s="134"/>
      <c r="Z322" s="134"/>
      <c r="AA322" s="134"/>
      <c r="AB322" s="134"/>
      <c r="AC322" s="134"/>
      <c r="AD322" s="134"/>
      <c r="AE322" s="134"/>
      <c r="AF322" s="134"/>
      <c r="AG322" s="134"/>
      <c r="AH322" s="134"/>
      <c r="AI322" s="134"/>
      <c r="AJ322" s="135"/>
      <c r="AK322" s="189"/>
      <c r="AL322" s="189"/>
      <c r="AM322" s="133" t="str">
        <f>IF([14]回答表!AD54="●",[14]回答表!B554,"")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IF([14]回答表!X55="●","●","")</f>
        <v/>
      </c>
      <c r="O333" s="131"/>
      <c r="P333" s="131"/>
      <c r="Q333" s="132"/>
      <c r="R333" s="119"/>
      <c r="S333" s="119"/>
      <c r="T333" s="119"/>
      <c r="U333" s="133" t="str">
        <f>IF([14]回答表!X55="●",[14]回答表!B565,IF([14]回答表!AA55="●",[14]回答表!B590,""))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IF([14]回答表!X55="●",[14]回答表!B575,IF([14]回答表!AA55="●",[14]回答表!B600,""))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IF([14]回答表!X55="●",[14]回答表!G571,IF([14]回答表!AA55="●",[14]回答表!G596,""))</f>
        <v/>
      </c>
      <c r="AN335" s="83"/>
      <c r="AO335" s="83"/>
      <c r="AP335" s="83"/>
      <c r="AQ335" s="83"/>
      <c r="AR335" s="83"/>
      <c r="AS335" s="83"/>
      <c r="AT335" s="153"/>
      <c r="AU335" s="82" t="str">
        <f>IF([14]回答表!X55="●",[14]回答表!G572,IF([14]回答表!AA55="●",[14]回答表!G597,""))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IF([14]回答表!X55="●",[14]回答表!E575,IF([14]回答表!AA55="●",[14]回答表!E600,""))</f>
        <v/>
      </c>
      <c r="BG336" s="151"/>
      <c r="BH336" s="151"/>
      <c r="BI336" s="151"/>
      <c r="BJ336" s="150" t="str">
        <f>IF([14]回答表!X55="●",[14]回答表!E576,IF([14]回答表!AA55="●",[14]回答表!E601,""))</f>
        <v/>
      </c>
      <c r="BK336" s="151"/>
      <c r="BL336" s="151"/>
      <c r="BM336" s="152"/>
      <c r="BN336" s="150" t="str">
        <f>IF([14]回答表!X55="●",[14]回答表!E577,IF([14]回答表!AA55="●",[14]回答表!E602,""))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IF([14]回答表!X55="●",[14]回答表!E580,IF([14]回答表!AA55="●",[14]回答表!E605,""))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IF([14]回答表!X55="●",[14]回答表!B582,IF([14]回答表!AA55="●",[14]回答表!B607,""))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IF([14]回答表!AD55="●","●","")</f>
        <v/>
      </c>
      <c r="O352" s="131"/>
      <c r="P352" s="131"/>
      <c r="Q352" s="132"/>
      <c r="R352" s="119"/>
      <c r="S352" s="119"/>
      <c r="T352" s="119"/>
      <c r="U352" s="133" t="str">
        <f>IF([14]回答表!AD55="●",[14]回答表!B615,"")</f>
        <v/>
      </c>
      <c r="V352" s="134"/>
      <c r="W352" s="134"/>
      <c r="X352" s="134"/>
      <c r="Y352" s="134"/>
      <c r="Z352" s="134"/>
      <c r="AA352" s="134"/>
      <c r="AB352" s="134"/>
      <c r="AC352" s="134"/>
      <c r="AD352" s="134"/>
      <c r="AE352" s="134"/>
      <c r="AF352" s="134"/>
      <c r="AG352" s="134"/>
      <c r="AH352" s="134"/>
      <c r="AI352" s="134"/>
      <c r="AJ352" s="135"/>
      <c r="AK352" s="136"/>
      <c r="AL352" s="136"/>
      <c r="AM352" s="133" t="str">
        <f>IF([14]回答表!AD55="●",[14]回答表!B621,"")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IF([14]回答表!R56="●",[14]回答表!B634,"")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BFA46-1DB6-4DB5-A272-77E81B03A877}">
  <dimension ref="A1:CN384"/>
  <sheetViews>
    <sheetView tabSelected="1"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IF(COUNTIF([15]回答表!K16,"*")&gt;0,[15]回答表!K16,"")</f>
        <v>大仙市</v>
      </c>
      <c r="D11" s="8"/>
      <c r="E11" s="8"/>
      <c r="F11" s="8"/>
      <c r="G11" s="8"/>
      <c r="H11" s="8"/>
      <c r="I11" s="8"/>
      <c r="J11" s="8"/>
      <c r="K11" s="8"/>
      <c r="L11" s="8"/>
      <c r="M11" s="8"/>
      <c r="N11" s="8"/>
      <c r="O11" s="8"/>
      <c r="P11" s="8"/>
      <c r="Q11" s="8"/>
      <c r="R11" s="8"/>
      <c r="S11" s="8"/>
      <c r="T11" s="8"/>
      <c r="U11" s="22" t="str">
        <f>IF(COUNTIF([15]回答表!F18,"*")&gt;0,[15]回答表!F18,"")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IF(COUNTIF([15]回答表!W18,"*")&gt;0,[15]回答表!W18,"")</f>
        <v>指定介護老人福祉施設</v>
      </c>
      <c r="AP11" s="10"/>
      <c r="AQ11" s="10"/>
      <c r="AR11" s="10"/>
      <c r="AS11" s="10"/>
      <c r="AT11" s="10"/>
      <c r="AU11" s="10"/>
      <c r="AV11" s="10"/>
      <c r="AW11" s="10"/>
      <c r="AX11" s="10"/>
      <c r="AY11" s="10"/>
      <c r="AZ11" s="10"/>
      <c r="BA11" s="10"/>
      <c r="BB11" s="10"/>
      <c r="BC11" s="10"/>
      <c r="BD11" s="10"/>
      <c r="BE11" s="10"/>
      <c r="BF11" s="11"/>
      <c r="BG11" s="21" t="str">
        <f>IF(COUNTIF([15]回答表!F20,"*")&gt;0,[15]回答表!F20,"")</f>
        <v>介護老人福祉施設介護サービス事業特別会計</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IF([15]回答表!R49="●","●","")</f>
        <v/>
      </c>
      <c r="E24" s="80"/>
      <c r="F24" s="80"/>
      <c r="G24" s="80"/>
      <c r="H24" s="80"/>
      <c r="I24" s="80"/>
      <c r="J24" s="81"/>
      <c r="K24" s="79" t="str">
        <f>IF([15]回答表!R50="●","●","")</f>
        <v>●</v>
      </c>
      <c r="L24" s="80"/>
      <c r="M24" s="80"/>
      <c r="N24" s="80"/>
      <c r="O24" s="80"/>
      <c r="P24" s="80"/>
      <c r="Q24" s="81"/>
      <c r="R24" s="79" t="str">
        <f>IF([15]回答表!R51="●","●","")</f>
        <v/>
      </c>
      <c r="S24" s="80"/>
      <c r="T24" s="80"/>
      <c r="U24" s="80"/>
      <c r="V24" s="80"/>
      <c r="W24" s="80"/>
      <c r="X24" s="81"/>
      <c r="Y24" s="79" t="str">
        <f>IF([15]回答表!R52="●","●","")</f>
        <v/>
      </c>
      <c r="Z24" s="80"/>
      <c r="AA24" s="80"/>
      <c r="AB24" s="80"/>
      <c r="AC24" s="80"/>
      <c r="AD24" s="80"/>
      <c r="AE24" s="81"/>
      <c r="AF24" s="79" t="str">
        <f>IF([15]回答表!R53="●","●","")</f>
        <v/>
      </c>
      <c r="AG24" s="80"/>
      <c r="AH24" s="80"/>
      <c r="AI24" s="80"/>
      <c r="AJ24" s="80"/>
      <c r="AK24" s="80"/>
      <c r="AL24" s="81"/>
      <c r="AM24" s="79" t="str">
        <f>IF([15]回答表!R54="●","●","")</f>
        <v/>
      </c>
      <c r="AN24" s="80"/>
      <c r="AO24" s="80"/>
      <c r="AP24" s="80"/>
      <c r="AQ24" s="80"/>
      <c r="AR24" s="80"/>
      <c r="AS24" s="81"/>
      <c r="AT24" s="79" t="str">
        <f>IF([15]回答表!R55="●","●","")</f>
        <v/>
      </c>
      <c r="AU24" s="80"/>
      <c r="AV24" s="80"/>
      <c r="AW24" s="80"/>
      <c r="AX24" s="80"/>
      <c r="AY24" s="80"/>
      <c r="AZ24" s="81"/>
      <c r="BA24" s="68"/>
      <c r="BB24" s="82" t="str">
        <f>IF([15]回答表!R56="●","●","")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IF([15]回答表!X49="●","●","")</f>
        <v/>
      </c>
      <c r="O36" s="131"/>
      <c r="P36" s="131"/>
      <c r="Q36" s="132"/>
      <c r="R36" s="119"/>
      <c r="S36" s="119"/>
      <c r="T36" s="119"/>
      <c r="U36" s="133" t="str">
        <f>IF([15]回答表!X49="●",[15]回答表!B67,IF([15]回答表!AA49="●",[15]回答表!B95,""))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IF([15]回答表!X49="●",[15]回答表!S73,IF([15]回答表!AA49="●",[15]回答表!S101,""))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IF([15]回答表!X49="●",[15]回答表!G73,IF([15]回答表!AA49="●",[15]回答表!G101,""))</f>
        <v/>
      </c>
      <c r="AN38" s="83"/>
      <c r="AO38" s="83"/>
      <c r="AP38" s="83"/>
      <c r="AQ38" s="83"/>
      <c r="AR38" s="83"/>
      <c r="AS38" s="83"/>
      <c r="AT38" s="153"/>
      <c r="AU38" s="82" t="str">
        <f>IF([15]回答表!X49="●",[15]回答表!G74,IF([15]回答表!AA49="●",[15]回答表!G102,""))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IF([15]回答表!X49="●",[15]回答表!V73,IF([15]回答表!AA49="●",[15]回答表!V101,""))</f>
        <v/>
      </c>
      <c r="BG39" s="16"/>
      <c r="BH39" s="16"/>
      <c r="BI39" s="17"/>
      <c r="BJ39" s="150" t="str">
        <f>IF([15]回答表!X49="●",[15]回答表!V74,IF([15]回答表!AA49="●",[15]回答表!V102,""))</f>
        <v/>
      </c>
      <c r="BK39" s="16"/>
      <c r="BL39" s="16"/>
      <c r="BM39" s="17"/>
      <c r="BN39" s="150" t="str">
        <f>IF([15]回答表!X49="●",[15]回答表!V75,IF([15]回答表!AA49="●",[15]回答表!V103,""))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IF([15]回答表!X49="●",[15]回答表!O79,IF([15]回答表!AA49="●",[15]回答表!O107,""))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IF([15]回答表!X49="●",[15]回答表!O80,IF([15]回答表!AA49="●",[15]回答表!O108,""))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IF([15]回答表!X49="●",[15]回答表!O81,IF([15]回答表!AA49="●",[15]回答表!O109,""))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IF([15]回答表!X49="●",[15]回答表!O82,IF([15]回答表!AA49="●",[15]回答表!O110,""))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IF([15]回答表!X49="●",[15]回答表!AG79,IF([15]回答表!AA49="●",[15]回答表!AG107,""))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IF([15]回答表!X49="●",[15]回答表!AG80,IF([15]回答表!AA49="●",[15]回答表!AG108,""))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IF([15]回答表!X49="●",[15]回答表!E85,IF([15]回答表!AA49="●",[15]回答表!E113,""))</f>
        <v/>
      </c>
      <c r="V50" s="182"/>
      <c r="W50" s="182"/>
      <c r="X50" s="182"/>
      <c r="Y50" s="182"/>
      <c r="Z50" s="182"/>
      <c r="AA50" s="182"/>
      <c r="AB50" s="182"/>
      <c r="AC50" s="182"/>
      <c r="AD50" s="182"/>
      <c r="AE50" s="183" t="s">
        <v>33</v>
      </c>
      <c r="AF50" s="183"/>
      <c r="AG50" s="183"/>
      <c r="AH50" s="183"/>
      <c r="AI50" s="183"/>
      <c r="AJ50" s="184"/>
      <c r="AK50" s="136"/>
      <c r="AL50" s="136"/>
      <c r="AM50" s="133" t="str">
        <f>IF([15]回答表!X49="●",[15]回答表!B87,IF([15]回答表!AA49="●",[15]回答表!B115,""))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IF([15]回答表!AD49="●","●","")</f>
        <v/>
      </c>
      <c r="O57" s="131"/>
      <c r="P57" s="131"/>
      <c r="Q57" s="132"/>
      <c r="R57" s="119"/>
      <c r="S57" s="119"/>
      <c r="T57" s="119"/>
      <c r="U57" s="133" t="str">
        <f>IF([15]回答表!AD49="●",[15]回答表!B123,"")</f>
        <v/>
      </c>
      <c r="V57" s="134"/>
      <c r="W57" s="134"/>
      <c r="X57" s="134"/>
      <c r="Y57" s="134"/>
      <c r="Z57" s="134"/>
      <c r="AA57" s="134"/>
      <c r="AB57" s="134"/>
      <c r="AC57" s="134"/>
      <c r="AD57" s="134"/>
      <c r="AE57" s="134"/>
      <c r="AF57" s="134"/>
      <c r="AG57" s="134"/>
      <c r="AH57" s="134"/>
      <c r="AI57" s="134"/>
      <c r="AJ57" s="135"/>
      <c r="AK57" s="189"/>
      <c r="AL57" s="189"/>
      <c r="AM57" s="133" t="str">
        <f>IF([15]回答表!AD49="●",[15]回答表!B128,"")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IF([15]回答表!X50="●","●","")</f>
        <v>●</v>
      </c>
      <c r="O68" s="131"/>
      <c r="P68" s="131"/>
      <c r="Q68" s="132"/>
      <c r="R68" s="119"/>
      <c r="S68" s="119"/>
      <c r="T68" s="119"/>
      <c r="U68" s="133" t="str">
        <f>IF([15]回答表!X50="●",[15]回答表!B138,IF([15]回答表!AA50="●",[15]回答表!B159,""))</f>
        <v>平成17(2005)年に8市町村が合併し大仙市が出来た際に、人口対比の職員定数が課題として挙げられた。課題解決のために、福祉施設等法人化特別調査委員会を発足し、市立の介護保険施設を法人へ移譲、民営化を実施した。</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IF([15]回答表!X50="●",[15]回答表!S144,IF([15]回答表!AA50="●",[15]回答表!S165,""))</f>
        <v>平成</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IF([15]回答表!X50="●",[15]回答表!J144,IF([15]回答表!AA50="●",[15]回答表!J165,""))</f>
        <v>●</v>
      </c>
      <c r="AN71" s="83"/>
      <c r="AO71" s="83"/>
      <c r="AP71" s="83"/>
      <c r="AQ71" s="83"/>
      <c r="AR71" s="83"/>
      <c r="AS71" s="83"/>
      <c r="AT71" s="153"/>
      <c r="AU71" s="82" t="str">
        <f>IF([15]回答表!X50="●",[15]回答表!J145,IF([15]回答表!AA50="●",[15]回答表!J166,""))</f>
        <v xml:space="preserve"> </v>
      </c>
      <c r="AV71" s="83"/>
      <c r="AW71" s="83"/>
      <c r="AX71" s="83"/>
      <c r="AY71" s="83"/>
      <c r="AZ71" s="83"/>
      <c r="BA71" s="83"/>
      <c r="BB71" s="153"/>
      <c r="BC71" s="120"/>
      <c r="BD71" s="109"/>
      <c r="BE71" s="109"/>
      <c r="BF71" s="150">
        <f>IF([15]回答表!X50="●",[15]回答表!V144,IF([15]回答表!AA50="●",[15]回答表!V165,""))</f>
        <v>23</v>
      </c>
      <c r="BG71" s="151"/>
      <c r="BH71" s="151"/>
      <c r="BI71" s="151"/>
      <c r="BJ71" s="150">
        <f>IF([15]回答表!X50="●",[15]回答表!V145,IF([15]回答表!AA50="●",[15]回答表!V166,""))</f>
        <v>4</v>
      </c>
      <c r="BK71" s="151"/>
      <c r="BL71" s="151"/>
      <c r="BM71" s="151"/>
      <c r="BN71" s="150">
        <f>IF([15]回答表!X50="●",[15]回答表!V146,IF([15]回答表!AA50="●",[15]回答表!V167,""))</f>
        <v>1</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f>IF([15]回答表!X50="●",[15]回答表!E149,IF([15]回答表!AA50="●",[15]回答表!E170,""))</f>
        <v>35</v>
      </c>
      <c r="V80" s="182"/>
      <c r="W80" s="182"/>
      <c r="X80" s="182"/>
      <c r="Y80" s="182"/>
      <c r="Z80" s="182"/>
      <c r="AA80" s="182"/>
      <c r="AB80" s="182"/>
      <c r="AC80" s="182"/>
      <c r="AD80" s="182"/>
      <c r="AE80" s="183" t="s">
        <v>33</v>
      </c>
      <c r="AF80" s="183"/>
      <c r="AG80" s="183"/>
      <c r="AH80" s="183"/>
      <c r="AI80" s="183"/>
      <c r="AJ80" s="184"/>
      <c r="AK80" s="136"/>
      <c r="AL80" s="136"/>
      <c r="AM80" s="133" t="str">
        <f>IF([15]回答表!X50="●",[15]回答表!B151,IF([15]回答表!AA50="●",[15]回答表!B172,""))</f>
        <v>人件費</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IF([15]回答表!AD50="●","●","")</f>
        <v/>
      </c>
      <c r="O87" s="131"/>
      <c r="P87" s="131"/>
      <c r="Q87" s="132"/>
      <c r="R87" s="119"/>
      <c r="S87" s="119"/>
      <c r="T87" s="119"/>
      <c r="U87" s="133" t="str">
        <f>IF([15]回答表!AD50="●",[15]回答表!B180,"")</f>
        <v/>
      </c>
      <c r="V87" s="134"/>
      <c r="W87" s="134"/>
      <c r="X87" s="134"/>
      <c r="Y87" s="134"/>
      <c r="Z87" s="134"/>
      <c r="AA87" s="134"/>
      <c r="AB87" s="134"/>
      <c r="AC87" s="134"/>
      <c r="AD87" s="134"/>
      <c r="AE87" s="134"/>
      <c r="AF87" s="134"/>
      <c r="AG87" s="134"/>
      <c r="AH87" s="134"/>
      <c r="AI87" s="134"/>
      <c r="AJ87" s="135"/>
      <c r="AK87" s="189"/>
      <c r="AL87" s="189"/>
      <c r="AM87" s="133" t="str">
        <f>IF([15]回答表!AD50="●",[15]回答表!B186,"")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IF([15]回答表!F18="水道事業",IF([15]回答表!X51="●","●",""),"")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IF([15]回答表!F18="水道事業",IF([15]回答表!X51="●",[15]回答表!B197,IF([15]回答表!AA51="●",[15]回答表!B275,"")),"")</f>
        <v/>
      </c>
      <c r="AN99" s="134"/>
      <c r="AO99" s="134"/>
      <c r="AP99" s="134"/>
      <c r="AQ99" s="134"/>
      <c r="AR99" s="134"/>
      <c r="AS99" s="134"/>
      <c r="AT99" s="134"/>
      <c r="AU99" s="134"/>
      <c r="AV99" s="134"/>
      <c r="AW99" s="134"/>
      <c r="AX99" s="134"/>
      <c r="AY99" s="134"/>
      <c r="AZ99" s="134"/>
      <c r="BA99" s="134"/>
      <c r="BB99" s="134"/>
      <c r="BC99" s="135"/>
      <c r="BD99" s="109"/>
      <c r="BE99" s="109"/>
      <c r="BF99" s="138" t="str">
        <f>IF([15]回答表!F18="水道事業",IF([15]回答表!X51="●",[15]回答表!B256,IF([15]回答表!AA51="●",[15]回答表!B335,"")),"")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IF([15]回答表!F18="水道事業",IF([15]回答表!X51="●",[15]回答表!J205,IF([15]回答表!AA51="●",[15]回答表!J283,"")),"")</f>
        <v/>
      </c>
      <c r="V101" s="83"/>
      <c r="W101" s="83"/>
      <c r="X101" s="83"/>
      <c r="Y101" s="83"/>
      <c r="Z101" s="83"/>
      <c r="AA101" s="83"/>
      <c r="AB101" s="153"/>
      <c r="AC101" s="82" t="str">
        <f>IF([15]回答表!F18="水道事業",IF([15]回答表!X51="●",[15]回答表!J210,IF([15]回答表!AA51="●",[15]回答表!J290,"")),"")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IF([15]回答表!F18="水道事業",IF([15]回答表!X51="●",[15]回答表!E256,IF([15]回答表!AA51="●",[15]回答表!E335,"")),"")</f>
        <v/>
      </c>
      <c r="BG102" s="151"/>
      <c r="BH102" s="151"/>
      <c r="BI102" s="151"/>
      <c r="BJ102" s="150" t="str">
        <f>IF([15]回答表!F18="水道事業",IF([15]回答表!X51="●",[15]回答表!E257,IF([15]回答表!AA51="●",[15]回答表!E336,"")),"")</f>
        <v/>
      </c>
      <c r="BK102" s="151"/>
      <c r="BL102" s="151"/>
      <c r="BM102" s="151"/>
      <c r="BN102" s="150" t="str">
        <f>IF([15]回答表!F18="水道事業",IF([15]回答表!X51="●",[15]回答表!E258,IF([15]回答表!AA51="●",[15]回答表!E337,"")),"")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IF([15]回答表!F18="水道事業",IF([15]回答表!AA51="●","●",""),"")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IF([15]回答表!F18="水道事業",IF([15]回答表!X51="●",[15]回答表!J213,IF([15]回答表!AA51="●",[15]回答表!J293,"")),"")</f>
        <v/>
      </c>
      <c r="V106" s="83"/>
      <c r="W106" s="83"/>
      <c r="X106" s="83"/>
      <c r="Y106" s="83"/>
      <c r="Z106" s="83"/>
      <c r="AA106" s="83"/>
      <c r="AB106" s="153"/>
      <c r="AC106" s="82" t="str">
        <f>IF([15]回答表!F18="水道事業",IF([15]回答表!X51="●",[15]回答表!J217,IF([15]回答表!AA51="●",[15]回答表!J297,"")),"")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IF([15]回答表!F18="水道事業",IF([15]回答表!X51="●",[15]回答表!E265,IF([15]回答表!AA51="●",[15]回答表!E344,"")),"")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IF([15]回答表!F18="水道事業",IF([15]回答表!X51="●",[15]回答表!B267,IF([15]回答表!AA51="●",[15]回答表!B346,"")),"")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IF([15]回答表!F18="水道事業",IF([15]回答表!AD51="●","●",""),"")</f>
        <v/>
      </c>
      <c r="O118" s="131"/>
      <c r="P118" s="131"/>
      <c r="Q118" s="132"/>
      <c r="R118" s="119"/>
      <c r="S118" s="119"/>
      <c r="T118" s="119"/>
      <c r="U118" s="133" t="str">
        <f>IF([15]回答表!F18="水道事業",IF([15]回答表!AD51="●",[15]回答表!B354,""),"")</f>
        <v/>
      </c>
      <c r="V118" s="134"/>
      <c r="W118" s="134"/>
      <c r="X118" s="134"/>
      <c r="Y118" s="134"/>
      <c r="Z118" s="134"/>
      <c r="AA118" s="134"/>
      <c r="AB118" s="134"/>
      <c r="AC118" s="134"/>
      <c r="AD118" s="134"/>
      <c r="AE118" s="134"/>
      <c r="AF118" s="134"/>
      <c r="AG118" s="134"/>
      <c r="AH118" s="134"/>
      <c r="AI118" s="134"/>
      <c r="AJ118" s="135"/>
      <c r="AK118" s="189"/>
      <c r="AL118" s="189"/>
      <c r="AM118" s="133" t="str">
        <f>IF([15]回答表!F18="水道事業",IF([15]回答表!AD51="●",[15]回答表!B360,""),"")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IF([15]回答表!F18="簡易水道事業",IF([15]回答表!X51="●",[15]回答表!B197,IF([15]回答表!AA51="●",[15]回答表!B275,"")),"")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IF([15]回答表!F18="簡易水道事業",IF([15]回答表!X51="●",[15]回答表!B256,IF([15]回答表!AA51="●",[15]回答表!B335,"")),"")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IF([15]回答表!F18="簡易水道事業",IF([15]回答表!X51="●","●",""),"")</f>
        <v/>
      </c>
      <c r="O132" s="131"/>
      <c r="P132" s="131"/>
      <c r="Q132" s="132"/>
      <c r="R132" s="119"/>
      <c r="S132" s="119"/>
      <c r="T132" s="119"/>
      <c r="U132" s="82" t="str">
        <f>IF([15]回答表!F18="簡易水道事業",IF([15]回答表!X51="●",[15]回答表!S224,IF([15]回答表!AA51="●",[15]回答表!S304,"")),"")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IF([15]回答表!F18="簡易水道事業",IF([15]回答表!X51="●",[15]回答表!E256,IF([15]回答表!AA51="●",[15]回答表!E335,"")),"")</f>
        <v/>
      </c>
      <c r="BG133" s="151"/>
      <c r="BH133" s="151"/>
      <c r="BI133" s="151"/>
      <c r="BJ133" s="150" t="str">
        <f>IF([15]回答表!F18="簡易水道事業",IF([15]回答表!X51="●",[15]回答表!E257,IF([15]回答表!AA51="●",[15]回答表!E336,"")),"")</f>
        <v/>
      </c>
      <c r="BK133" s="151"/>
      <c r="BL133" s="151"/>
      <c r="BM133" s="151"/>
      <c r="BN133" s="150" t="str">
        <f>IF([15]回答表!F18="簡易水道事業",IF([15]回答表!X51="●",[15]回答表!E258,IF([15]回答表!AA51="●",[15]回答表!E337,"")),"")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IF([15]回答表!F18="簡易水道事業",IF([15]回答表!X51="●",[15]回答表!S225,IF([15]回答表!AA51="●",[15]回答表!S305,"")),"")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IF([15]回答表!F18="簡易水道事業",IF([15]回答表!AA51="●","●",""),"")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IF([15]回答表!F18="簡易水道事業",IF([15]回答表!X51="●",[15]回答表!S226,IF([15]回答表!AA51="●",[15]回答表!S306,"")),"")</f>
        <v/>
      </c>
      <c r="V142" s="83"/>
      <c r="W142" s="83"/>
      <c r="X142" s="83"/>
      <c r="Y142" s="83"/>
      <c r="Z142" s="83"/>
      <c r="AA142" s="83"/>
      <c r="AB142" s="83"/>
      <c r="AC142" s="83"/>
      <c r="AD142" s="83"/>
      <c r="AE142" s="83"/>
      <c r="AF142" s="83"/>
      <c r="AG142" s="83"/>
      <c r="AH142" s="83"/>
      <c r="AI142" s="83"/>
      <c r="AJ142" s="153"/>
      <c r="AK142" s="68"/>
      <c r="AL142" s="68"/>
      <c r="AM142" s="231" t="str">
        <f>IF([15]回答表!F18="簡易水道事業",IF([15]回答表!X51="●",[15]回答表!Y228,IF([15]回答表!AA51="●",[15]回答表!Y308,"")),"")</f>
        <v/>
      </c>
      <c r="AN142" s="231"/>
      <c r="AO142" s="231"/>
      <c r="AP142" s="231"/>
      <c r="AQ142" s="231"/>
      <c r="AR142" s="231"/>
      <c r="AS142" s="231" t="str">
        <f>IF([15]回答表!F18="簡易水道事業",IF([15]回答表!X51="●",[15]回答表!Y229,IF([15]回答表!AA51="●",[15]回答表!Y309,"")),"")</f>
        <v/>
      </c>
      <c r="AT142" s="231"/>
      <c r="AU142" s="231"/>
      <c r="AV142" s="231"/>
      <c r="AW142" s="231"/>
      <c r="AX142" s="231"/>
      <c r="AY142" s="231" t="str">
        <f>IF([15]回答表!F18="簡易水道事業",IF([15]回答表!X51="●",[15]回答表!Y230,IF([15]回答表!AA51="●",[15]回答表!Y310,"")),"")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IF([15]回答表!F18="簡易水道事業",IF([15]回答表!X51="●",[15]回答表!E265,IF([15]回答表!AA51="●",[15]回答表!E344,"")),"")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IF([15]回答表!F18="簡易水道事業",IF([15]回答表!X51="●",[15]回答表!B267,IF([15]回答表!AA51="●",[15]回答表!B346,"")),"")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IF([15]回答表!F18="簡易水道事業",IF([15]回答表!AD51="●","●",""),"")</f>
        <v/>
      </c>
      <c r="O154" s="131"/>
      <c r="P154" s="131"/>
      <c r="Q154" s="132"/>
      <c r="R154" s="119"/>
      <c r="S154" s="119"/>
      <c r="T154" s="119"/>
      <c r="U154" s="133" t="str">
        <f>IF([15]回答表!F18="簡易水道事業",IF([15]回答表!AD51="●",[15]回答表!B354,""),"")</f>
        <v/>
      </c>
      <c r="V154" s="134"/>
      <c r="W154" s="134"/>
      <c r="X154" s="134"/>
      <c r="Y154" s="134"/>
      <c r="Z154" s="134"/>
      <c r="AA154" s="134"/>
      <c r="AB154" s="134"/>
      <c r="AC154" s="134"/>
      <c r="AD154" s="134"/>
      <c r="AE154" s="134"/>
      <c r="AF154" s="134"/>
      <c r="AG154" s="134"/>
      <c r="AH154" s="134"/>
      <c r="AI154" s="134"/>
      <c r="AJ154" s="135"/>
      <c r="AK154" s="189"/>
      <c r="AL154" s="189"/>
      <c r="AM154" s="133" t="str">
        <f>IF([15]回答表!F18="簡易水道事業",IF([15]回答表!AD51="●",[15]回答表!B360,""),"")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IF([15]回答表!F18="下水道事業",IF([15]回答表!X51="●","●",""),"")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IF([15]回答表!F18="下水道事業",IF([15]回答表!X51="●",[15]回答表!B197,IF([15]回答表!AA51="●",[15]回答表!B275,"")),"")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IF([15]回答表!F18="下水道事業",IF([15]回答表!X51="●",[15]回答表!B256,IF([15]回答表!AA51="●",[15]回答表!B335,"")),"")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IF([15]回答表!F18="下水道事業",IF([15]回答表!X51="●",[15]回答表!N234,IF([15]回答表!AA51="●",[15]回答表!N314,"")),"")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IF([15]回答表!F18="下水道事業",IF([15]回答表!X51="●",[15]回答表!E256,IF([15]回答表!AA51="●",[15]回答表!E335,"")),"")</f>
        <v/>
      </c>
      <c r="BG169" s="151"/>
      <c r="BH169" s="151"/>
      <c r="BI169" s="151"/>
      <c r="BJ169" s="150" t="str">
        <f>IF([15]回答表!F18="下水道事業",IF([15]回答表!X51="●",[15]回答表!E257,IF([15]回答表!AA51="●",[15]回答表!E336,"")),"")</f>
        <v/>
      </c>
      <c r="BK169" s="151"/>
      <c r="BL169" s="151"/>
      <c r="BM169" s="151"/>
      <c r="BN169" s="150" t="str">
        <f>IF([15]回答表!F18="下水道事業",IF([15]回答表!X51="●",[15]回答表!E258,IF([15]回答表!AA51="●",[15]回答表!E337,"")),"")</f>
        <v/>
      </c>
      <c r="BO169" s="151"/>
      <c r="BP169" s="151"/>
      <c r="BQ169" s="152"/>
      <c r="BR169" s="112"/>
      <c r="BX169" s="234" t="str">
        <f>IF([15]回答表!AQ21="下水道事業",IF([15]回答表!BI54="○",[15]回答表!AM200,IF([15]回答表!BL54="○",[15]回答表!AM278,"")),"")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IF([15]回答表!F18="下水道事業",IF([15]回答表!X51="●",[15]回答表!Y236,IF([15]回答表!AA51="●",[15]回答表!Y316,"")),"")</f>
        <v/>
      </c>
      <c r="V174" s="83"/>
      <c r="W174" s="83"/>
      <c r="X174" s="83"/>
      <c r="Y174" s="83"/>
      <c r="Z174" s="83"/>
      <c r="AA174" s="83"/>
      <c r="AB174" s="153"/>
      <c r="AC174" s="82" t="str">
        <f>IF([15]回答表!F18="下水道事業",IF([15]回答表!X51="●",[15]回答表!Y237,IF([15]回答表!AA51="●",[15]回答表!Y317,"")),"")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IF([15]回答表!F18="下水道事業",IF([15]回答表!X51="●",[15]回答表!Y239,IF([15]回答表!AA51="●",[15]回答表!Y319,"")),"")</f>
        <v/>
      </c>
      <c r="V180" s="83"/>
      <c r="W180" s="83"/>
      <c r="X180" s="83"/>
      <c r="Y180" s="83"/>
      <c r="Z180" s="83"/>
      <c r="AA180" s="83"/>
      <c r="AB180" s="153"/>
      <c r="AC180" s="82" t="str">
        <f>IF([15]回答表!F18="下水道事業",IF([15]回答表!X51="●",[15]回答表!Y240,IF([15]回答表!AA51="●",[15]回答表!Y320,"")),"")</f>
        <v/>
      </c>
      <c r="AD180" s="83"/>
      <c r="AE180" s="83"/>
      <c r="AF180" s="83"/>
      <c r="AG180" s="83"/>
      <c r="AH180" s="83"/>
      <c r="AI180" s="83"/>
      <c r="AJ180" s="153"/>
      <c r="AK180" s="82" t="str">
        <f>IF([15]回答表!F18="下水道事業",IF([15]回答表!X51="●",[15]回答表!Y241,IF([15]回答表!AA51="●",[15]回答表!Y321,"")),"")</f>
        <v/>
      </c>
      <c r="AL180" s="83"/>
      <c r="AM180" s="83"/>
      <c r="AN180" s="83"/>
      <c r="AO180" s="83"/>
      <c r="AP180" s="83"/>
      <c r="AQ180" s="83"/>
      <c r="AR180" s="153"/>
      <c r="AS180" s="82" t="str">
        <f>IF([15]回答表!F18="下水道事業",IF([15]回答表!X51="●",[15]回答表!Y242,IF([15]回答表!AA51="●",[15]回答表!Y322,"")),"")</f>
        <v/>
      </c>
      <c r="AT180" s="83"/>
      <c r="AU180" s="83"/>
      <c r="AV180" s="83"/>
      <c r="AW180" s="83"/>
      <c r="AX180" s="83"/>
      <c r="AY180" s="83"/>
      <c r="AZ180" s="153"/>
      <c r="BA180" s="82" t="str">
        <f>IF([15]回答表!F18="下水道事業",IF([15]回答表!X51="●",[15]回答表!Y243,IF([15]回答表!AA51="●",[15]回答表!Y323,"")),"")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IF([15]回答表!F18="下水道事業",IF([15]回答表!AA51="●","●",""),"")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IF([15]回答表!F18="下水道事業",IF([15]回答表!X51="●",[15]回答表!N248,IF([15]回答表!AA51="●",[15]回答表!N328,"")),"")</f>
        <v/>
      </c>
      <c r="V186" s="83"/>
      <c r="W186" s="83"/>
      <c r="X186" s="83"/>
      <c r="Y186" s="83"/>
      <c r="Z186" s="83"/>
      <c r="AA186" s="83"/>
      <c r="AB186" s="153"/>
      <c r="AC186" s="82" t="str">
        <f>IF([15]回答表!F18="下水道事業",IF([15]回答表!X51="●",[15]回答表!N249,IF([15]回答表!AA51="●",[15]回答表!N329,"")),"")</f>
        <v/>
      </c>
      <c r="AD186" s="83"/>
      <c r="AE186" s="83"/>
      <c r="AF186" s="83"/>
      <c r="AG186" s="83"/>
      <c r="AH186" s="83"/>
      <c r="AI186" s="83"/>
      <c r="AJ186" s="153"/>
      <c r="AK186" s="82" t="str">
        <f>IF([15]回答表!F18="下水道事業",IF([15]回答表!X51="●",[15]回答表!N250,IF([15]回答表!AA51="●",[15]回答表!N330,"")),"")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IF([15]回答表!F18="下水道事業",IF([15]回答表!X51="●",[15]回答表!E265,IF([15]回答表!AA51="●",[15]回答表!E344,"")),"")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IF([15]回答表!F18="下水道事業",IF([15]回答表!X51="●",[15]回答表!B267,IF([15]回答表!AA51="●",[15]回答表!B346,"")),"")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IF([15]回答表!F18="下水道事業",IF([15]回答表!AD51="●","●",""),"")</f>
        <v/>
      </c>
      <c r="O198" s="131"/>
      <c r="P198" s="131"/>
      <c r="Q198" s="132"/>
      <c r="R198" s="119"/>
      <c r="S198" s="119"/>
      <c r="T198" s="119"/>
      <c r="U198" s="133" t="str">
        <f>IF([15]回答表!F18="下水道事業",IF([15]回答表!AD51="●",[15]回答表!B354,""),"")</f>
        <v/>
      </c>
      <c r="V198" s="134"/>
      <c r="W198" s="134"/>
      <c r="X198" s="134"/>
      <c r="Y198" s="134"/>
      <c r="Z198" s="134"/>
      <c r="AA198" s="134"/>
      <c r="AB198" s="134"/>
      <c r="AC198" s="134"/>
      <c r="AD198" s="134"/>
      <c r="AE198" s="134"/>
      <c r="AF198" s="134"/>
      <c r="AG198" s="134"/>
      <c r="AH198" s="134"/>
      <c r="AI198" s="134"/>
      <c r="AJ198" s="135"/>
      <c r="AK198" s="189"/>
      <c r="AL198" s="189"/>
      <c r="AM198" s="133" t="str">
        <f>IF([15]回答表!F18="下水道事業",IF([15]回答表!AD51="●",[15]回答表!B360,""),"")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IF([15]回答表!BD18="●",IF([15]回答表!X51="●","●",""),"")</f>
        <v/>
      </c>
      <c r="O210" s="131"/>
      <c r="P210" s="131"/>
      <c r="Q210" s="132"/>
      <c r="R210" s="119"/>
      <c r="S210" s="119"/>
      <c r="T210" s="119"/>
      <c r="U210" s="133" t="str">
        <f>IF([15]回答表!BD18="●",IF([15]回答表!X51="●",[15]回答表!B197,IF([15]回答表!AA51="●",[15]回答表!B275,"")),"")</f>
        <v/>
      </c>
      <c r="V210" s="134"/>
      <c r="W210" s="134"/>
      <c r="X210" s="134"/>
      <c r="Y210" s="134"/>
      <c r="Z210" s="134"/>
      <c r="AA210" s="134"/>
      <c r="AB210" s="134"/>
      <c r="AC210" s="134"/>
      <c r="AD210" s="134"/>
      <c r="AE210" s="134"/>
      <c r="AF210" s="134"/>
      <c r="AG210" s="134"/>
      <c r="AH210" s="134"/>
      <c r="AI210" s="134"/>
      <c r="AJ210" s="135"/>
      <c r="AK210" s="136"/>
      <c r="AL210" s="136"/>
      <c r="AM210" s="138" t="str">
        <f>IF([15]回答表!BD18="●",IF([15]回答表!X51="●",[15]回答表!B256,IF([15]回答表!AA51="●",[15]回答表!B335,"")),"")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IF([15]回答表!BD18="●",IF([15]回答表!X51="●",[15]回答表!E256,IF([15]回答表!AA51="●",[15]回答表!E335,"")),"")</f>
        <v/>
      </c>
      <c r="AN213" s="151"/>
      <c r="AO213" s="151"/>
      <c r="AP213" s="151"/>
      <c r="AQ213" s="150" t="str">
        <f>IF([15]回答表!BD18="●",IF([15]回答表!X51="●",[15]回答表!E257,IF([15]回答表!AA51="●",[15]回答表!E336,"")),"")</f>
        <v/>
      </c>
      <c r="AR213" s="151"/>
      <c r="AS213" s="151"/>
      <c r="AT213" s="151"/>
      <c r="AU213" s="150" t="str">
        <f>IF([15]回答表!BD18="●",IF([15]回答表!X51="●",[15]回答表!E258,IF([15]回答表!AA51="●",[15]回答表!E337,"")),"")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IF([15]回答表!BD18="●",IF([15]回答表!AA51="●","●",""),"")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IF([15]回答表!BD18="●",IF([15]回答表!X51="●",[15]回答表!E265,IF([15]回答表!AA51="●",[15]回答表!E344,"")),"")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IF([15]回答表!BD18="●",IF([15]回答表!X51="●",[15]回答表!B267,IF([15]回答表!AA51="●",[15]回答表!B346,"")),"")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IF([15]回答表!BD18="●",IF([15]回答表!AD51="●","●",""),"")</f>
        <v/>
      </c>
      <c r="O229" s="131"/>
      <c r="P229" s="131"/>
      <c r="Q229" s="132"/>
      <c r="R229" s="119"/>
      <c r="S229" s="119"/>
      <c r="T229" s="119"/>
      <c r="U229" s="133" t="str">
        <f>IF([15]回答表!BD18="●",IF([15]回答表!AD51="●",[15]回答表!B354,""),"")</f>
        <v/>
      </c>
      <c r="V229" s="134"/>
      <c r="W229" s="134"/>
      <c r="X229" s="134"/>
      <c r="Y229" s="134"/>
      <c r="Z229" s="134"/>
      <c r="AA229" s="134"/>
      <c r="AB229" s="134"/>
      <c r="AC229" s="134"/>
      <c r="AD229" s="134"/>
      <c r="AE229" s="134"/>
      <c r="AF229" s="134"/>
      <c r="AG229" s="134"/>
      <c r="AH229" s="134"/>
      <c r="AI229" s="134"/>
      <c r="AJ229" s="135"/>
      <c r="AK229" s="249"/>
      <c r="AL229" s="249"/>
      <c r="AM229" s="133" t="str">
        <f>IF([15]回答表!BD18="●",IF([15]回答表!AD51="●",[15]回答表!B360,""),"")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IF([15]回答表!X52="●","●","")</f>
        <v/>
      </c>
      <c r="O241" s="131"/>
      <c r="P241" s="131"/>
      <c r="Q241" s="132"/>
      <c r="R241" s="119"/>
      <c r="S241" s="119"/>
      <c r="T241" s="119"/>
      <c r="U241" s="133" t="str">
        <f>IF([15]回答表!X52="●",[15]回答表!B371,IF([15]回答表!AA52="●",[15]回答表!B396,""))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IF([15]回答表!X52="●",[15]回答表!U377,IF([15]回答表!AA52="●",[15]回答表!U402,""))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IF([15]回答表!X52="●",[15]回答表!G377,IF([15]回答表!AA52="●",[15]回答表!G402,""))</f>
        <v/>
      </c>
      <c r="AN244" s="83"/>
      <c r="AO244" s="83"/>
      <c r="AP244" s="83"/>
      <c r="AQ244" s="83"/>
      <c r="AR244" s="83"/>
      <c r="AS244" s="83"/>
      <c r="AT244" s="153"/>
      <c r="AU244" s="82" t="str">
        <f>IF([15]回答表!X52="●",[15]回答表!G378,IF([15]回答表!AA52="●",[15]回答表!G403,""))</f>
        <v/>
      </c>
      <c r="AV244" s="83"/>
      <c r="AW244" s="83"/>
      <c r="AX244" s="83"/>
      <c r="AY244" s="83"/>
      <c r="AZ244" s="83"/>
      <c r="BA244" s="83"/>
      <c r="BB244" s="153"/>
      <c r="BC244" s="120"/>
      <c r="BD244" s="109"/>
      <c r="BE244" s="109"/>
      <c r="BF244" s="150" t="str">
        <f>IF([15]回答表!X52="●",[15]回答表!X377,IF([15]回答表!AA52="●",[15]回答表!X402,""))</f>
        <v/>
      </c>
      <c r="BG244" s="151"/>
      <c r="BH244" s="151"/>
      <c r="BI244" s="151"/>
      <c r="BJ244" s="150" t="str">
        <f>IF([15]回答表!X52="●",[15]回答表!X378,IF([15]回答表!AA52="●",[15]回答表!X403,""))</f>
        <v/>
      </c>
      <c r="BK244" s="151"/>
      <c r="BL244" s="151"/>
      <c r="BM244" s="152"/>
      <c r="BN244" s="150" t="str">
        <f>IF([15]回答表!X52="●",[15]回答表!X379,IF([15]回答表!AA52="●",[15]回答表!X404,""))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IF([15]回答表!X52="●",[15]回答表!E386,IF([15]回答表!AA52="●",[15]回答表!E407,""))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IF([15]回答表!X52="●",[15]回答表!B388,IF([15]回答表!AA52="●",[15]回答表!B409,""))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IF([15]回答表!AD52="●","●","")</f>
        <v/>
      </c>
      <c r="O260" s="131"/>
      <c r="P260" s="131"/>
      <c r="Q260" s="132"/>
      <c r="R260" s="119"/>
      <c r="S260" s="119"/>
      <c r="T260" s="119"/>
      <c r="U260" s="133" t="str">
        <f>IF([15]回答表!AD52="●",[15]回答表!B417,"")</f>
        <v/>
      </c>
      <c r="V260" s="134"/>
      <c r="W260" s="134"/>
      <c r="X260" s="134"/>
      <c r="Y260" s="134"/>
      <c r="Z260" s="134"/>
      <c r="AA260" s="134"/>
      <c r="AB260" s="134"/>
      <c r="AC260" s="134"/>
      <c r="AD260" s="134"/>
      <c r="AE260" s="134"/>
      <c r="AF260" s="134"/>
      <c r="AG260" s="134"/>
      <c r="AH260" s="134"/>
      <c r="AI260" s="134"/>
      <c r="AJ260" s="135"/>
      <c r="AK260" s="249"/>
      <c r="AL260" s="249"/>
      <c r="AM260" s="133" t="str">
        <f>IF([15]回答表!AD52="●",[15]回答表!B423,"")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IF([15]回答表!X53="●","●","")</f>
        <v/>
      </c>
      <c r="O272" s="131"/>
      <c r="P272" s="131"/>
      <c r="Q272" s="132"/>
      <c r="R272" s="119"/>
      <c r="S272" s="119"/>
      <c r="T272" s="119"/>
      <c r="U272" s="133" t="str">
        <f>IF([15]回答表!X53="●",[15]回答表!B434,IF([15]回答表!AA53="●",[15]回答表!B465,""))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IF([15]回答表!X53="●",[15]回答表!B440,"")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IF([15]回答表!X53="●",[15]回答表!B446,IF([15]回答表!AA53="●",[15]回答表!B471,""))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IF([15]回答表!X53="●",[15]回答表!E446,IF([15]回答表!AA53="●",[15]回答表!E471,""))</f>
        <v/>
      </c>
      <c r="BG275" s="151"/>
      <c r="BH275" s="151"/>
      <c r="BI275" s="151"/>
      <c r="BJ275" s="150" t="str">
        <f>IF([15]回答表!X53="●",[15]回答表!E447,IF([15]回答表!AA53="●",[15]回答表!E472,""))</f>
        <v/>
      </c>
      <c r="BK275" s="151"/>
      <c r="BL275" s="151"/>
      <c r="BM275" s="152"/>
      <c r="BN275" s="150" t="str">
        <f>IF([15]回答表!X53="●",[15]回答表!E448,IF([15]回答表!AA53="●",[15]回答表!E473,""))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IF([15]回答表!X53="●",[15]回答表!E455,IF([15]回答表!AA53="●",[15]回答表!E476,""))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IF([15]回答表!X53="●",[15]回答表!B457,IF([15]回答表!AA53="●",[15]回答表!B478,""))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IF([15]回答表!AD53="●","●","")</f>
        <v/>
      </c>
      <c r="O291" s="131"/>
      <c r="P291" s="131"/>
      <c r="Q291" s="132"/>
      <c r="R291" s="119"/>
      <c r="S291" s="119"/>
      <c r="T291" s="119"/>
      <c r="U291" s="133" t="str">
        <f>IF([15]回答表!AD53="●",[15]回答表!B486,"")</f>
        <v/>
      </c>
      <c r="V291" s="134"/>
      <c r="W291" s="134"/>
      <c r="X291" s="134"/>
      <c r="Y291" s="134"/>
      <c r="Z291" s="134"/>
      <c r="AA291" s="134"/>
      <c r="AB291" s="134"/>
      <c r="AC291" s="134"/>
      <c r="AD291" s="134"/>
      <c r="AE291" s="134"/>
      <c r="AF291" s="134"/>
      <c r="AG291" s="134"/>
      <c r="AH291" s="134"/>
      <c r="AI291" s="134"/>
      <c r="AJ291" s="135"/>
      <c r="AK291" s="249"/>
      <c r="AL291" s="249"/>
      <c r="AM291" s="133" t="str">
        <f>IF([15]回答表!AD53="●",[15]回答表!B492,"")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IF([15]回答表!X54="●","●","")</f>
        <v/>
      </c>
      <c r="O303" s="131"/>
      <c r="P303" s="131"/>
      <c r="Q303" s="132"/>
      <c r="R303" s="119"/>
      <c r="S303" s="119"/>
      <c r="T303" s="119"/>
      <c r="U303" s="133" t="str">
        <f>IF([15]回答表!X54="●",[15]回答表!B503,IF([15]回答表!AA54="●",[15]回答表!B526,""))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IF([15]回答表!X54="●",[15]回答表!BC510,IF([15]回答表!AA54="●",[15]回答表!BC533,""))</f>
        <v/>
      </c>
      <c r="AR303" s="271"/>
      <c r="AS303" s="271"/>
      <c r="AT303" s="271"/>
      <c r="AU303" s="272" t="s">
        <v>74</v>
      </c>
      <c r="AV303" s="273"/>
      <c r="AW303" s="273"/>
      <c r="AX303" s="274"/>
      <c r="AY303" s="271" t="str">
        <f>IF([15]回答表!X54="●",[15]回答表!BC515,IF([15]回答表!AA54="●",[15]回答表!BC538,""))</f>
        <v/>
      </c>
      <c r="AZ303" s="271"/>
      <c r="BA303" s="271"/>
      <c r="BB303" s="271"/>
      <c r="BC303" s="120"/>
      <c r="BD303" s="109"/>
      <c r="BE303" s="109"/>
      <c r="BF303" s="138" t="str">
        <f>IF([15]回答表!X54="●",[15]回答表!S509,IF([15]回答表!AA54="●",[15]回答表!S532,""))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IF([15]回答表!X54="●",[15]回答表!BC511,IF([15]回答表!AA54="●",[15]回答表!BC534,""))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IF([15]回答表!X54="●",[15]回答表!V509,IF([15]回答表!AA54="●",[15]回答表!V532,""))</f>
        <v/>
      </c>
      <c r="BG306" s="151"/>
      <c r="BH306" s="151"/>
      <c r="BI306" s="151"/>
      <c r="BJ306" s="150" t="str">
        <f>IF([15]回答表!X54="●",[15]回答表!V510,IF([15]回答表!AA54="●",[15]回答表!V533,""))</f>
        <v/>
      </c>
      <c r="BK306" s="151"/>
      <c r="BL306" s="151"/>
      <c r="BM306" s="152"/>
      <c r="BN306" s="150" t="str">
        <f>IF([15]回答表!X54="●",[15]回答表!V511,IF([15]回答表!AA54="●",[15]回答表!V534,""))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IF([15]回答表!X54="●",[15]回答表!BC512,IF([15]回答表!AA54="●",[15]回答表!BC535,""))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IF([15]回答表!X54="●",[15]回答表!BC516,IF([15]回答表!AA54="●",[15]回答表!BC539,""))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IF([15]回答表!X54="●",[15]回答表!BC513,IF([15]回答表!AA54="●",[15]回答表!BC536,""))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IF([15]回答表!X54="●",[15]回答表!BC514,IF([15]回答表!AA54="●",[15]回答表!BC537,""))</f>
        <v/>
      </c>
      <c r="AR311" s="271"/>
      <c r="AS311" s="271"/>
      <c r="AT311" s="271"/>
      <c r="AU311" s="222" t="s">
        <v>80</v>
      </c>
      <c r="AV311" s="223"/>
      <c r="AW311" s="223"/>
      <c r="AX311" s="224"/>
      <c r="AY311" s="281" t="str">
        <f>IF([15]回答表!X54="●",[15]回答表!BC517,IF([15]回答表!AA54="●",[15]回答表!BC540,""))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IF([15]回答表!X54="●",[15]回答表!E516,IF([15]回答表!AA54="●",[15]回答表!E538,""))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IF([15]回答表!X54="●",[15]回答表!B518,IF([15]回答表!AA54="●",[15]回答表!B540,""))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IF([15]回答表!AD54="●","●","")</f>
        <v/>
      </c>
      <c r="O322" s="131"/>
      <c r="P322" s="131"/>
      <c r="Q322" s="132"/>
      <c r="R322" s="119"/>
      <c r="S322" s="119"/>
      <c r="T322" s="119"/>
      <c r="U322" s="133" t="str">
        <f>IF([15]回答表!AD54="●",[15]回答表!B548,"")</f>
        <v/>
      </c>
      <c r="V322" s="134"/>
      <c r="W322" s="134"/>
      <c r="X322" s="134"/>
      <c r="Y322" s="134"/>
      <c r="Z322" s="134"/>
      <c r="AA322" s="134"/>
      <c r="AB322" s="134"/>
      <c r="AC322" s="134"/>
      <c r="AD322" s="134"/>
      <c r="AE322" s="134"/>
      <c r="AF322" s="134"/>
      <c r="AG322" s="134"/>
      <c r="AH322" s="134"/>
      <c r="AI322" s="134"/>
      <c r="AJ322" s="135"/>
      <c r="AK322" s="189"/>
      <c r="AL322" s="189"/>
      <c r="AM322" s="133" t="str">
        <f>IF([15]回答表!AD54="●",[15]回答表!B554,"")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IF([15]回答表!X55="●","●","")</f>
        <v/>
      </c>
      <c r="O333" s="131"/>
      <c r="P333" s="131"/>
      <c r="Q333" s="132"/>
      <c r="R333" s="119"/>
      <c r="S333" s="119"/>
      <c r="T333" s="119"/>
      <c r="U333" s="133" t="str">
        <f>IF([15]回答表!X55="●",[15]回答表!B565,IF([15]回答表!AA55="●",[15]回答表!B590,""))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IF([15]回答表!X55="●",[15]回答表!B575,IF([15]回答表!AA55="●",[15]回答表!B600,""))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IF([15]回答表!X55="●",[15]回答表!G571,IF([15]回答表!AA55="●",[15]回答表!G596,""))</f>
        <v/>
      </c>
      <c r="AN335" s="83"/>
      <c r="AO335" s="83"/>
      <c r="AP335" s="83"/>
      <c r="AQ335" s="83"/>
      <c r="AR335" s="83"/>
      <c r="AS335" s="83"/>
      <c r="AT335" s="153"/>
      <c r="AU335" s="82" t="str">
        <f>IF([15]回答表!X55="●",[15]回答表!G572,IF([15]回答表!AA55="●",[15]回答表!G597,""))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IF([15]回答表!X55="●",[15]回答表!E575,IF([15]回答表!AA55="●",[15]回答表!E600,""))</f>
        <v/>
      </c>
      <c r="BG336" s="151"/>
      <c r="BH336" s="151"/>
      <c r="BI336" s="151"/>
      <c r="BJ336" s="150" t="str">
        <f>IF([15]回答表!X55="●",[15]回答表!E576,IF([15]回答表!AA55="●",[15]回答表!E601,""))</f>
        <v/>
      </c>
      <c r="BK336" s="151"/>
      <c r="BL336" s="151"/>
      <c r="BM336" s="152"/>
      <c r="BN336" s="150" t="str">
        <f>IF([15]回答表!X55="●",[15]回答表!E577,IF([15]回答表!AA55="●",[15]回答表!E602,""))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IF([15]回答表!X55="●",[15]回答表!E580,IF([15]回答表!AA55="●",[15]回答表!E605,""))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IF([15]回答表!X55="●",[15]回答表!B582,IF([15]回答表!AA55="●",[15]回答表!B607,""))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IF([15]回答表!AD55="●","●","")</f>
        <v/>
      </c>
      <c r="O352" s="131"/>
      <c r="P352" s="131"/>
      <c r="Q352" s="132"/>
      <c r="R352" s="119"/>
      <c r="S352" s="119"/>
      <c r="T352" s="119"/>
      <c r="U352" s="133" t="str">
        <f>IF([15]回答表!AD55="●",[15]回答表!B615,"")</f>
        <v/>
      </c>
      <c r="V352" s="134"/>
      <c r="W352" s="134"/>
      <c r="X352" s="134"/>
      <c r="Y352" s="134"/>
      <c r="Z352" s="134"/>
      <c r="AA352" s="134"/>
      <c r="AB352" s="134"/>
      <c r="AC352" s="134"/>
      <c r="AD352" s="134"/>
      <c r="AE352" s="134"/>
      <c r="AF352" s="134"/>
      <c r="AG352" s="134"/>
      <c r="AH352" s="134"/>
      <c r="AI352" s="134"/>
      <c r="AJ352" s="135"/>
      <c r="AK352" s="136"/>
      <c r="AL352" s="136"/>
      <c r="AM352" s="133" t="str">
        <f>IF([15]回答表!AD55="●",[15]回答表!B621,"")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IF([15]回答表!R56="●",[15]回答表!B634,"")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1796-18DD-424C-9C30-6FE9776DB8A4}">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IF(COUNTIF([2]回答表!K16,"*")&gt;0,[2]回答表!K16,"")</f>
        <v>大仙市</v>
      </c>
      <c r="D11" s="8"/>
      <c r="E11" s="8"/>
      <c r="F11" s="8"/>
      <c r="G11" s="8"/>
      <c r="H11" s="8"/>
      <c r="I11" s="8"/>
      <c r="J11" s="8"/>
      <c r="K11" s="8"/>
      <c r="L11" s="8"/>
      <c r="M11" s="8"/>
      <c r="N11" s="8"/>
      <c r="O11" s="8"/>
      <c r="P11" s="8"/>
      <c r="Q11" s="8"/>
      <c r="R11" s="8"/>
      <c r="S11" s="8"/>
      <c r="T11" s="8"/>
      <c r="U11" s="22" t="str">
        <f>IF(COUNTIF([2]回答表!F18,"*")&gt;0,[2]回答表!F18,"")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IF(COUNTIF([2]回答表!W18,"*")&gt;0,[2]回答表!W18,"")</f>
        <v>農業集落排水施設</v>
      </c>
      <c r="AP11" s="10"/>
      <c r="AQ11" s="10"/>
      <c r="AR11" s="10"/>
      <c r="AS11" s="10"/>
      <c r="AT11" s="10"/>
      <c r="AU11" s="10"/>
      <c r="AV11" s="10"/>
      <c r="AW11" s="10"/>
      <c r="AX11" s="10"/>
      <c r="AY11" s="10"/>
      <c r="AZ11" s="10"/>
      <c r="BA11" s="10"/>
      <c r="BB11" s="10"/>
      <c r="BC11" s="10"/>
      <c r="BD11" s="10"/>
      <c r="BE11" s="10"/>
      <c r="BF11" s="11"/>
      <c r="BG11" s="21" t="str">
        <f>IF(COUNTIF([2]回答表!F20,"*")&gt;0,[2]回答表!F20,"")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IF([2]回答表!R49="●","●","")</f>
        <v>●</v>
      </c>
      <c r="E24" s="80"/>
      <c r="F24" s="80"/>
      <c r="G24" s="80"/>
      <c r="H24" s="80"/>
      <c r="I24" s="80"/>
      <c r="J24" s="81"/>
      <c r="K24" s="79" t="str">
        <f>IF([2]回答表!R50="●","●","")</f>
        <v/>
      </c>
      <c r="L24" s="80"/>
      <c r="M24" s="80"/>
      <c r="N24" s="80"/>
      <c r="O24" s="80"/>
      <c r="P24" s="80"/>
      <c r="Q24" s="81"/>
      <c r="R24" s="79" t="str">
        <f>IF([2]回答表!R51="●","●","")</f>
        <v/>
      </c>
      <c r="S24" s="80"/>
      <c r="T24" s="80"/>
      <c r="U24" s="80"/>
      <c r="V24" s="80"/>
      <c r="W24" s="80"/>
      <c r="X24" s="81"/>
      <c r="Y24" s="79" t="str">
        <f>IF([2]回答表!R52="●","●","")</f>
        <v/>
      </c>
      <c r="Z24" s="80"/>
      <c r="AA24" s="80"/>
      <c r="AB24" s="80"/>
      <c r="AC24" s="80"/>
      <c r="AD24" s="80"/>
      <c r="AE24" s="81"/>
      <c r="AF24" s="79" t="str">
        <f>IF([2]回答表!R53="●","●","")</f>
        <v/>
      </c>
      <c r="AG24" s="80"/>
      <c r="AH24" s="80"/>
      <c r="AI24" s="80"/>
      <c r="AJ24" s="80"/>
      <c r="AK24" s="80"/>
      <c r="AL24" s="81"/>
      <c r="AM24" s="79" t="str">
        <f>IF([2]回答表!R54="●","●","")</f>
        <v/>
      </c>
      <c r="AN24" s="80"/>
      <c r="AO24" s="80"/>
      <c r="AP24" s="80"/>
      <c r="AQ24" s="80"/>
      <c r="AR24" s="80"/>
      <c r="AS24" s="81"/>
      <c r="AT24" s="79" t="str">
        <f>IF([2]回答表!R55="●","●","")</f>
        <v/>
      </c>
      <c r="AU24" s="80"/>
      <c r="AV24" s="80"/>
      <c r="AW24" s="80"/>
      <c r="AX24" s="80"/>
      <c r="AY24" s="80"/>
      <c r="AZ24" s="81"/>
      <c r="BA24" s="68"/>
      <c r="BB24" s="82" t="str">
        <f>IF([2]回答表!R56="●","●","")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IF([2]回答表!X49="●","●","")</f>
        <v>●</v>
      </c>
      <c r="O36" s="131"/>
      <c r="P36" s="131"/>
      <c r="Q36" s="132"/>
      <c r="R36" s="119"/>
      <c r="S36" s="119"/>
      <c r="T36" s="119"/>
      <c r="U36" s="133" t="str">
        <f>IF([2]回答表!X49="●",[2]回答表!B67,IF([2]回答表!AA49="●",[2]回答表!B95,""))</f>
        <v>　　令和２年度に流域下水道への接続工事を発注し、薬師・払田・福田の３処理場は接続を完了した。令和４年度は神岡東部地域の接続工事を予定している。</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IF([2]回答表!X49="●",[2]回答表!S73,IF([2]回答表!AA49="●",[2]回答表!S101,""))</f>
        <v>令和</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IF([2]回答表!X49="●",[2]回答表!G73,IF([2]回答表!AA49="●",[2]回答表!G101,""))</f>
        <v xml:space="preserve"> </v>
      </c>
      <c r="AN38" s="83"/>
      <c r="AO38" s="83"/>
      <c r="AP38" s="83"/>
      <c r="AQ38" s="83"/>
      <c r="AR38" s="83"/>
      <c r="AS38" s="83"/>
      <c r="AT38" s="153"/>
      <c r="AU38" s="82" t="str">
        <f>IF([2]回答表!X49="●",[2]回答表!G74,IF([2]回答表!AA49="●",[2]回答表!G102,""))</f>
        <v>●</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IF([2]回答表!X49="●",[2]回答表!V73,IF([2]回答表!AA49="●",[2]回答表!V101,""))</f>
        <v>2</v>
      </c>
      <c r="BG39" s="16"/>
      <c r="BH39" s="16"/>
      <c r="BI39" s="17"/>
      <c r="BJ39" s="150">
        <f>IF([2]回答表!X49="●",[2]回答表!V74,IF([2]回答表!AA49="●",[2]回答表!V102,""))</f>
        <v>4</v>
      </c>
      <c r="BK39" s="16"/>
      <c r="BL39" s="16"/>
      <c r="BM39" s="17"/>
      <c r="BN39" s="150">
        <f>IF([2]回答表!X49="●",[2]回答表!V75,IF([2]回答表!AA49="●",[2]回答表!V103,""))</f>
        <v>1</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IF([2]回答表!X49="●",[2]回答表!O79,IF([2]回答表!AA49="●",[2]回答表!O107,""))</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IF([2]回答表!X49="●",[2]回答表!O80,IF([2]回答表!AA49="●",[2]回答表!O108,""))</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IF([2]回答表!X49="●",[2]回答表!O81,IF([2]回答表!AA49="●",[2]回答表!O109,""))</f>
        <v xml:space="preserve">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IF([2]回答表!X49="●",[2]回答表!O82,IF([2]回答表!AA49="●",[2]回答表!O110,""))</f>
        <v xml:space="preserve">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IF([2]回答表!X49="●",[2]回答表!AG79,IF([2]回答表!AA49="●",[2]回答表!AG107,""))</f>
        <v>●</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IF([2]回答表!X49="●",[2]回答表!AG80,IF([2]回答表!AA49="●",[2]回答表!AG108,""))</f>
        <v xml:space="preserve">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IF([2]回答表!X49="●",[2]回答表!E85,IF([2]回答表!AA49="●",[2]回答表!E113,""))</f>
        <v>―</v>
      </c>
      <c r="V50" s="182"/>
      <c r="W50" s="182"/>
      <c r="X50" s="182"/>
      <c r="Y50" s="182"/>
      <c r="Z50" s="182"/>
      <c r="AA50" s="182"/>
      <c r="AB50" s="182"/>
      <c r="AC50" s="182"/>
      <c r="AD50" s="182"/>
      <c r="AE50" s="183" t="s">
        <v>33</v>
      </c>
      <c r="AF50" s="183"/>
      <c r="AG50" s="183"/>
      <c r="AH50" s="183"/>
      <c r="AI50" s="183"/>
      <c r="AJ50" s="184"/>
      <c r="AK50" s="136"/>
      <c r="AL50" s="136"/>
      <c r="AM50" s="133" t="str">
        <f>IF([2]回答表!X49="●",[2]回答表!B87,IF([2]回答表!AA49="●",[2]回答表!B115,""))</f>
        <v>　現時点では、効果額よりも接続に伴う負担金の支出が上回っている状態である。しかし今後は処理場の維持管理費等が不要になるため、長期的視点では費用の削減が見込まれる。</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IF([2]回答表!AD49="●","●","")</f>
        <v/>
      </c>
      <c r="O57" s="131"/>
      <c r="P57" s="131"/>
      <c r="Q57" s="132"/>
      <c r="R57" s="119"/>
      <c r="S57" s="119"/>
      <c r="T57" s="119"/>
      <c r="U57" s="133" t="str">
        <f>IF([2]回答表!AD49="●",[2]回答表!B123,"")</f>
        <v/>
      </c>
      <c r="V57" s="134"/>
      <c r="W57" s="134"/>
      <c r="X57" s="134"/>
      <c r="Y57" s="134"/>
      <c r="Z57" s="134"/>
      <c r="AA57" s="134"/>
      <c r="AB57" s="134"/>
      <c r="AC57" s="134"/>
      <c r="AD57" s="134"/>
      <c r="AE57" s="134"/>
      <c r="AF57" s="134"/>
      <c r="AG57" s="134"/>
      <c r="AH57" s="134"/>
      <c r="AI57" s="134"/>
      <c r="AJ57" s="135"/>
      <c r="AK57" s="189"/>
      <c r="AL57" s="189"/>
      <c r="AM57" s="133" t="str">
        <f>IF([2]回答表!AD49="●",[2]回答表!B128,"")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IF([2]回答表!X50="●","●","")</f>
        <v/>
      </c>
      <c r="O68" s="131"/>
      <c r="P68" s="131"/>
      <c r="Q68" s="132"/>
      <c r="R68" s="119"/>
      <c r="S68" s="119"/>
      <c r="T68" s="119"/>
      <c r="U68" s="133" t="str">
        <f>IF([2]回答表!X50="●",[2]回答表!B138,IF([2]回答表!AA50="●",[2]回答表!B159,""))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IF([2]回答表!X50="●",[2]回答表!S144,IF([2]回答表!AA50="●",[2]回答表!S165,""))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IF([2]回答表!X50="●",[2]回答表!J144,IF([2]回答表!AA50="●",[2]回答表!J165,""))</f>
        <v/>
      </c>
      <c r="AN71" s="83"/>
      <c r="AO71" s="83"/>
      <c r="AP71" s="83"/>
      <c r="AQ71" s="83"/>
      <c r="AR71" s="83"/>
      <c r="AS71" s="83"/>
      <c r="AT71" s="153"/>
      <c r="AU71" s="82" t="str">
        <f>IF([2]回答表!X50="●",[2]回答表!J145,IF([2]回答表!AA50="●",[2]回答表!J166,""))</f>
        <v/>
      </c>
      <c r="AV71" s="83"/>
      <c r="AW71" s="83"/>
      <c r="AX71" s="83"/>
      <c r="AY71" s="83"/>
      <c r="AZ71" s="83"/>
      <c r="BA71" s="83"/>
      <c r="BB71" s="153"/>
      <c r="BC71" s="120"/>
      <c r="BD71" s="109"/>
      <c r="BE71" s="109"/>
      <c r="BF71" s="150" t="str">
        <f>IF([2]回答表!X50="●",[2]回答表!V144,IF([2]回答表!AA50="●",[2]回答表!V165,""))</f>
        <v/>
      </c>
      <c r="BG71" s="151"/>
      <c r="BH71" s="151"/>
      <c r="BI71" s="151"/>
      <c r="BJ71" s="150" t="str">
        <f>IF([2]回答表!X50="●",[2]回答表!V145,IF([2]回答表!AA50="●",[2]回答表!V166,""))</f>
        <v/>
      </c>
      <c r="BK71" s="151"/>
      <c r="BL71" s="151"/>
      <c r="BM71" s="151"/>
      <c r="BN71" s="150" t="str">
        <f>IF([2]回答表!X50="●",[2]回答表!V146,IF([2]回答表!AA50="●",[2]回答表!V167,""))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IF([2]回答表!X50="●",[2]回答表!E149,IF([2]回答表!AA50="●",[2]回答表!E170,""))</f>
        <v/>
      </c>
      <c r="V80" s="182"/>
      <c r="W80" s="182"/>
      <c r="X80" s="182"/>
      <c r="Y80" s="182"/>
      <c r="Z80" s="182"/>
      <c r="AA80" s="182"/>
      <c r="AB80" s="182"/>
      <c r="AC80" s="182"/>
      <c r="AD80" s="182"/>
      <c r="AE80" s="183" t="s">
        <v>33</v>
      </c>
      <c r="AF80" s="183"/>
      <c r="AG80" s="183"/>
      <c r="AH80" s="183"/>
      <c r="AI80" s="183"/>
      <c r="AJ80" s="184"/>
      <c r="AK80" s="136"/>
      <c r="AL80" s="136"/>
      <c r="AM80" s="133" t="str">
        <f>IF([2]回答表!X50="●",[2]回答表!B151,IF([2]回答表!AA50="●",[2]回答表!B172,""))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IF([2]回答表!AD50="●","●","")</f>
        <v/>
      </c>
      <c r="O87" s="131"/>
      <c r="P87" s="131"/>
      <c r="Q87" s="132"/>
      <c r="R87" s="119"/>
      <c r="S87" s="119"/>
      <c r="T87" s="119"/>
      <c r="U87" s="133" t="str">
        <f>IF([2]回答表!AD50="●",[2]回答表!B180,"")</f>
        <v/>
      </c>
      <c r="V87" s="134"/>
      <c r="W87" s="134"/>
      <c r="X87" s="134"/>
      <c r="Y87" s="134"/>
      <c r="Z87" s="134"/>
      <c r="AA87" s="134"/>
      <c r="AB87" s="134"/>
      <c r="AC87" s="134"/>
      <c r="AD87" s="134"/>
      <c r="AE87" s="134"/>
      <c r="AF87" s="134"/>
      <c r="AG87" s="134"/>
      <c r="AH87" s="134"/>
      <c r="AI87" s="134"/>
      <c r="AJ87" s="135"/>
      <c r="AK87" s="189"/>
      <c r="AL87" s="189"/>
      <c r="AM87" s="133" t="str">
        <f>IF([2]回答表!AD50="●",[2]回答表!B186,"")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IF([2]回答表!F18="水道事業",IF([2]回答表!X51="●","●",""),"")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IF([2]回答表!F18="水道事業",IF([2]回答表!X51="●",[2]回答表!B197,IF([2]回答表!AA51="●",[2]回答表!B275,"")),"")</f>
        <v/>
      </c>
      <c r="AN99" s="134"/>
      <c r="AO99" s="134"/>
      <c r="AP99" s="134"/>
      <c r="AQ99" s="134"/>
      <c r="AR99" s="134"/>
      <c r="AS99" s="134"/>
      <c r="AT99" s="134"/>
      <c r="AU99" s="134"/>
      <c r="AV99" s="134"/>
      <c r="AW99" s="134"/>
      <c r="AX99" s="134"/>
      <c r="AY99" s="134"/>
      <c r="AZ99" s="134"/>
      <c r="BA99" s="134"/>
      <c r="BB99" s="134"/>
      <c r="BC99" s="135"/>
      <c r="BD99" s="109"/>
      <c r="BE99" s="109"/>
      <c r="BF99" s="138" t="str">
        <f>IF([2]回答表!F18="水道事業",IF([2]回答表!X51="●",[2]回答表!B256,IF([2]回答表!AA51="●",[2]回答表!B335,"")),"")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IF([2]回答表!F18="水道事業",IF([2]回答表!X51="●",[2]回答表!J205,IF([2]回答表!AA51="●",[2]回答表!J283,"")),"")</f>
        <v/>
      </c>
      <c r="V101" s="83"/>
      <c r="W101" s="83"/>
      <c r="X101" s="83"/>
      <c r="Y101" s="83"/>
      <c r="Z101" s="83"/>
      <c r="AA101" s="83"/>
      <c r="AB101" s="153"/>
      <c r="AC101" s="82" t="str">
        <f>IF([2]回答表!F18="水道事業",IF([2]回答表!X51="●",[2]回答表!J210,IF([2]回答表!AA51="●",[2]回答表!J290,"")),"")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IF([2]回答表!F18="水道事業",IF([2]回答表!X51="●",[2]回答表!E256,IF([2]回答表!AA51="●",[2]回答表!E335,"")),"")</f>
        <v/>
      </c>
      <c r="BG102" s="151"/>
      <c r="BH102" s="151"/>
      <c r="BI102" s="151"/>
      <c r="BJ102" s="150" t="str">
        <f>IF([2]回答表!F18="水道事業",IF([2]回答表!X51="●",[2]回答表!E257,IF([2]回答表!AA51="●",[2]回答表!E336,"")),"")</f>
        <v/>
      </c>
      <c r="BK102" s="151"/>
      <c r="BL102" s="151"/>
      <c r="BM102" s="151"/>
      <c r="BN102" s="150" t="str">
        <f>IF([2]回答表!F18="水道事業",IF([2]回答表!X51="●",[2]回答表!E258,IF([2]回答表!AA51="●",[2]回答表!E337,"")),"")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IF([2]回答表!F18="水道事業",IF([2]回答表!AA51="●","●",""),"")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IF([2]回答表!F18="水道事業",IF([2]回答表!X51="●",[2]回答表!J213,IF([2]回答表!AA51="●",[2]回答表!J293,"")),"")</f>
        <v/>
      </c>
      <c r="V106" s="83"/>
      <c r="W106" s="83"/>
      <c r="X106" s="83"/>
      <c r="Y106" s="83"/>
      <c r="Z106" s="83"/>
      <c r="AA106" s="83"/>
      <c r="AB106" s="153"/>
      <c r="AC106" s="82" t="str">
        <f>IF([2]回答表!F18="水道事業",IF([2]回答表!X51="●",[2]回答表!J217,IF([2]回答表!AA51="●",[2]回答表!J297,"")),"")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IF([2]回答表!F18="水道事業",IF([2]回答表!X51="●",[2]回答表!E265,IF([2]回答表!AA51="●",[2]回答表!E344,"")),"")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IF([2]回答表!F18="水道事業",IF([2]回答表!X51="●",[2]回答表!B267,IF([2]回答表!AA51="●",[2]回答表!B346,"")),"")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IF([2]回答表!F18="水道事業",IF([2]回答表!AD51="●","●",""),"")</f>
        <v/>
      </c>
      <c r="O118" s="131"/>
      <c r="P118" s="131"/>
      <c r="Q118" s="132"/>
      <c r="R118" s="119"/>
      <c r="S118" s="119"/>
      <c r="T118" s="119"/>
      <c r="U118" s="133" t="str">
        <f>IF([2]回答表!F18="水道事業",IF([2]回答表!AD51="●",[2]回答表!B354,""),"")</f>
        <v/>
      </c>
      <c r="V118" s="134"/>
      <c r="W118" s="134"/>
      <c r="X118" s="134"/>
      <c r="Y118" s="134"/>
      <c r="Z118" s="134"/>
      <c r="AA118" s="134"/>
      <c r="AB118" s="134"/>
      <c r="AC118" s="134"/>
      <c r="AD118" s="134"/>
      <c r="AE118" s="134"/>
      <c r="AF118" s="134"/>
      <c r="AG118" s="134"/>
      <c r="AH118" s="134"/>
      <c r="AI118" s="134"/>
      <c r="AJ118" s="135"/>
      <c r="AK118" s="189"/>
      <c r="AL118" s="189"/>
      <c r="AM118" s="133" t="str">
        <f>IF([2]回答表!F18="水道事業",IF([2]回答表!AD51="●",[2]回答表!B360,""),"")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IF([2]回答表!F18="簡易水道事業",IF([2]回答表!X51="●",[2]回答表!B197,IF([2]回答表!AA51="●",[2]回答表!B275,"")),"")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IF([2]回答表!F18="簡易水道事業",IF([2]回答表!X51="●",[2]回答表!B256,IF([2]回答表!AA51="●",[2]回答表!B335,"")),"")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IF([2]回答表!F18="簡易水道事業",IF([2]回答表!X51="●","●",""),"")</f>
        <v/>
      </c>
      <c r="O132" s="131"/>
      <c r="P132" s="131"/>
      <c r="Q132" s="132"/>
      <c r="R132" s="119"/>
      <c r="S132" s="119"/>
      <c r="T132" s="119"/>
      <c r="U132" s="82" t="str">
        <f>IF([2]回答表!F18="簡易水道事業",IF([2]回答表!X51="●",[2]回答表!S224,IF([2]回答表!AA51="●",[2]回答表!S304,"")),"")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IF([2]回答表!F18="簡易水道事業",IF([2]回答表!X51="●",[2]回答表!E256,IF([2]回答表!AA51="●",[2]回答表!E335,"")),"")</f>
        <v/>
      </c>
      <c r="BG133" s="151"/>
      <c r="BH133" s="151"/>
      <c r="BI133" s="151"/>
      <c r="BJ133" s="150" t="str">
        <f>IF([2]回答表!F18="簡易水道事業",IF([2]回答表!X51="●",[2]回答表!E257,IF([2]回答表!AA51="●",[2]回答表!E336,"")),"")</f>
        <v/>
      </c>
      <c r="BK133" s="151"/>
      <c r="BL133" s="151"/>
      <c r="BM133" s="151"/>
      <c r="BN133" s="150" t="str">
        <f>IF([2]回答表!F18="簡易水道事業",IF([2]回答表!X51="●",[2]回答表!E258,IF([2]回答表!AA51="●",[2]回答表!E337,"")),"")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IF([2]回答表!F18="簡易水道事業",IF([2]回答表!X51="●",[2]回答表!S225,IF([2]回答表!AA51="●",[2]回答表!S305,"")),"")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IF([2]回答表!F18="簡易水道事業",IF([2]回答表!AA51="●","●",""),"")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IF([2]回答表!F18="簡易水道事業",IF([2]回答表!X51="●",[2]回答表!S226,IF([2]回答表!AA51="●",[2]回答表!S306,"")),"")</f>
        <v/>
      </c>
      <c r="V142" s="83"/>
      <c r="W142" s="83"/>
      <c r="X142" s="83"/>
      <c r="Y142" s="83"/>
      <c r="Z142" s="83"/>
      <c r="AA142" s="83"/>
      <c r="AB142" s="83"/>
      <c r="AC142" s="83"/>
      <c r="AD142" s="83"/>
      <c r="AE142" s="83"/>
      <c r="AF142" s="83"/>
      <c r="AG142" s="83"/>
      <c r="AH142" s="83"/>
      <c r="AI142" s="83"/>
      <c r="AJ142" s="153"/>
      <c r="AK142" s="68"/>
      <c r="AL142" s="68"/>
      <c r="AM142" s="231" t="str">
        <f>IF([2]回答表!F18="簡易水道事業",IF([2]回答表!X51="●",[2]回答表!Y228,IF([2]回答表!AA51="●",[2]回答表!Y308,"")),"")</f>
        <v/>
      </c>
      <c r="AN142" s="231"/>
      <c r="AO142" s="231"/>
      <c r="AP142" s="231"/>
      <c r="AQ142" s="231"/>
      <c r="AR142" s="231"/>
      <c r="AS142" s="231" t="str">
        <f>IF([2]回答表!F18="簡易水道事業",IF([2]回答表!X51="●",[2]回答表!Y229,IF([2]回答表!AA51="●",[2]回答表!Y309,"")),"")</f>
        <v/>
      </c>
      <c r="AT142" s="231"/>
      <c r="AU142" s="231"/>
      <c r="AV142" s="231"/>
      <c r="AW142" s="231"/>
      <c r="AX142" s="231"/>
      <c r="AY142" s="231" t="str">
        <f>IF([2]回答表!F18="簡易水道事業",IF([2]回答表!X51="●",[2]回答表!Y230,IF([2]回答表!AA51="●",[2]回答表!Y310,"")),"")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IF([2]回答表!F18="簡易水道事業",IF([2]回答表!X51="●",[2]回答表!E265,IF([2]回答表!AA51="●",[2]回答表!E344,"")),"")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IF([2]回答表!F18="簡易水道事業",IF([2]回答表!X51="●",[2]回答表!B267,IF([2]回答表!AA51="●",[2]回答表!B346,"")),"")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IF([2]回答表!F18="簡易水道事業",IF([2]回答表!AD51="●","●",""),"")</f>
        <v/>
      </c>
      <c r="O154" s="131"/>
      <c r="P154" s="131"/>
      <c r="Q154" s="132"/>
      <c r="R154" s="119"/>
      <c r="S154" s="119"/>
      <c r="T154" s="119"/>
      <c r="U154" s="133" t="str">
        <f>IF([2]回答表!F18="簡易水道事業",IF([2]回答表!AD51="●",[2]回答表!B354,""),"")</f>
        <v/>
      </c>
      <c r="V154" s="134"/>
      <c r="W154" s="134"/>
      <c r="X154" s="134"/>
      <c r="Y154" s="134"/>
      <c r="Z154" s="134"/>
      <c r="AA154" s="134"/>
      <c r="AB154" s="134"/>
      <c r="AC154" s="134"/>
      <c r="AD154" s="134"/>
      <c r="AE154" s="134"/>
      <c r="AF154" s="134"/>
      <c r="AG154" s="134"/>
      <c r="AH154" s="134"/>
      <c r="AI154" s="134"/>
      <c r="AJ154" s="135"/>
      <c r="AK154" s="189"/>
      <c r="AL154" s="189"/>
      <c r="AM154" s="133" t="str">
        <f>IF([2]回答表!F18="簡易水道事業",IF([2]回答表!AD51="●",[2]回答表!B360,""),"")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IF([2]回答表!F18="下水道事業",IF([2]回答表!X51="●","●",""),"")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IF([2]回答表!F18="下水道事業",IF([2]回答表!X51="●",[2]回答表!B197,IF([2]回答表!AA51="●",[2]回答表!B275,"")),"")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IF([2]回答表!F18="下水道事業",IF([2]回答表!X51="●",[2]回答表!B256,IF([2]回答表!AA51="●",[2]回答表!B335,"")),"")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IF([2]回答表!F18="下水道事業",IF([2]回答表!X51="●",[2]回答表!N234,IF([2]回答表!AA51="●",[2]回答表!N314,"")),"")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IF([2]回答表!F18="下水道事業",IF([2]回答表!X51="●",[2]回答表!E256,IF([2]回答表!AA51="●",[2]回答表!E335,"")),"")</f>
        <v/>
      </c>
      <c r="BG169" s="151"/>
      <c r="BH169" s="151"/>
      <c r="BI169" s="151"/>
      <c r="BJ169" s="150" t="str">
        <f>IF([2]回答表!F18="下水道事業",IF([2]回答表!X51="●",[2]回答表!E257,IF([2]回答表!AA51="●",[2]回答表!E336,"")),"")</f>
        <v/>
      </c>
      <c r="BK169" s="151"/>
      <c r="BL169" s="151"/>
      <c r="BM169" s="151"/>
      <c r="BN169" s="150" t="str">
        <f>IF([2]回答表!F18="下水道事業",IF([2]回答表!X51="●",[2]回答表!E258,IF([2]回答表!AA51="●",[2]回答表!E337,"")),"")</f>
        <v/>
      </c>
      <c r="BO169" s="151"/>
      <c r="BP169" s="151"/>
      <c r="BQ169" s="152"/>
      <c r="BR169" s="112"/>
      <c r="BX169" s="234" t="str">
        <f>IF([2]回答表!AQ21="下水道事業",IF([2]回答表!BI54="○",[2]回答表!AM200,IF([2]回答表!BL54="○",[2]回答表!AM278,"")),"")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IF([2]回答表!F18="下水道事業",IF([2]回答表!X51="●",[2]回答表!Y236,IF([2]回答表!AA51="●",[2]回答表!Y316,"")),"")</f>
        <v/>
      </c>
      <c r="V174" s="83"/>
      <c r="W174" s="83"/>
      <c r="X174" s="83"/>
      <c r="Y174" s="83"/>
      <c r="Z174" s="83"/>
      <c r="AA174" s="83"/>
      <c r="AB174" s="153"/>
      <c r="AC174" s="82" t="str">
        <f>IF([2]回答表!F18="下水道事業",IF([2]回答表!X51="●",[2]回答表!Y237,IF([2]回答表!AA51="●",[2]回答表!Y317,"")),"")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IF([2]回答表!F18="下水道事業",IF([2]回答表!X51="●",[2]回答表!Y239,IF([2]回答表!AA51="●",[2]回答表!Y319,"")),"")</f>
        <v/>
      </c>
      <c r="V180" s="83"/>
      <c r="W180" s="83"/>
      <c r="X180" s="83"/>
      <c r="Y180" s="83"/>
      <c r="Z180" s="83"/>
      <c r="AA180" s="83"/>
      <c r="AB180" s="153"/>
      <c r="AC180" s="82" t="str">
        <f>IF([2]回答表!F18="下水道事業",IF([2]回答表!X51="●",[2]回答表!Y240,IF([2]回答表!AA51="●",[2]回答表!Y320,"")),"")</f>
        <v/>
      </c>
      <c r="AD180" s="83"/>
      <c r="AE180" s="83"/>
      <c r="AF180" s="83"/>
      <c r="AG180" s="83"/>
      <c r="AH180" s="83"/>
      <c r="AI180" s="83"/>
      <c r="AJ180" s="153"/>
      <c r="AK180" s="82" t="str">
        <f>IF([2]回答表!F18="下水道事業",IF([2]回答表!X51="●",[2]回答表!Y241,IF([2]回答表!AA51="●",[2]回答表!Y321,"")),"")</f>
        <v/>
      </c>
      <c r="AL180" s="83"/>
      <c r="AM180" s="83"/>
      <c r="AN180" s="83"/>
      <c r="AO180" s="83"/>
      <c r="AP180" s="83"/>
      <c r="AQ180" s="83"/>
      <c r="AR180" s="153"/>
      <c r="AS180" s="82" t="str">
        <f>IF([2]回答表!F18="下水道事業",IF([2]回答表!X51="●",[2]回答表!Y242,IF([2]回答表!AA51="●",[2]回答表!Y322,"")),"")</f>
        <v/>
      </c>
      <c r="AT180" s="83"/>
      <c r="AU180" s="83"/>
      <c r="AV180" s="83"/>
      <c r="AW180" s="83"/>
      <c r="AX180" s="83"/>
      <c r="AY180" s="83"/>
      <c r="AZ180" s="153"/>
      <c r="BA180" s="82" t="str">
        <f>IF([2]回答表!F18="下水道事業",IF([2]回答表!X51="●",[2]回答表!Y243,IF([2]回答表!AA51="●",[2]回答表!Y323,"")),"")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IF([2]回答表!F18="下水道事業",IF([2]回答表!AA51="●","●",""),"")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IF([2]回答表!F18="下水道事業",IF([2]回答表!X51="●",[2]回答表!N248,IF([2]回答表!AA51="●",[2]回答表!N328,"")),"")</f>
        <v/>
      </c>
      <c r="V186" s="83"/>
      <c r="W186" s="83"/>
      <c r="X186" s="83"/>
      <c r="Y186" s="83"/>
      <c r="Z186" s="83"/>
      <c r="AA186" s="83"/>
      <c r="AB186" s="153"/>
      <c r="AC186" s="82" t="str">
        <f>IF([2]回答表!F18="下水道事業",IF([2]回答表!X51="●",[2]回答表!N249,IF([2]回答表!AA51="●",[2]回答表!N329,"")),"")</f>
        <v/>
      </c>
      <c r="AD186" s="83"/>
      <c r="AE186" s="83"/>
      <c r="AF186" s="83"/>
      <c r="AG186" s="83"/>
      <c r="AH186" s="83"/>
      <c r="AI186" s="83"/>
      <c r="AJ186" s="153"/>
      <c r="AK186" s="82" t="str">
        <f>IF([2]回答表!F18="下水道事業",IF([2]回答表!X51="●",[2]回答表!N250,IF([2]回答表!AA51="●",[2]回答表!N330,"")),"")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IF([2]回答表!F18="下水道事業",IF([2]回答表!X51="●",[2]回答表!E265,IF([2]回答表!AA51="●",[2]回答表!E344,"")),"")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IF([2]回答表!F18="下水道事業",IF([2]回答表!X51="●",[2]回答表!B267,IF([2]回答表!AA51="●",[2]回答表!B346,"")),"")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IF([2]回答表!F18="下水道事業",IF([2]回答表!AD51="●","●",""),"")</f>
        <v/>
      </c>
      <c r="O198" s="131"/>
      <c r="P198" s="131"/>
      <c r="Q198" s="132"/>
      <c r="R198" s="119"/>
      <c r="S198" s="119"/>
      <c r="T198" s="119"/>
      <c r="U198" s="133" t="str">
        <f>IF([2]回答表!F18="下水道事業",IF([2]回答表!AD51="●",[2]回答表!B354,""),"")</f>
        <v/>
      </c>
      <c r="V198" s="134"/>
      <c r="W198" s="134"/>
      <c r="X198" s="134"/>
      <c r="Y198" s="134"/>
      <c r="Z198" s="134"/>
      <c r="AA198" s="134"/>
      <c r="AB198" s="134"/>
      <c r="AC198" s="134"/>
      <c r="AD198" s="134"/>
      <c r="AE198" s="134"/>
      <c r="AF198" s="134"/>
      <c r="AG198" s="134"/>
      <c r="AH198" s="134"/>
      <c r="AI198" s="134"/>
      <c r="AJ198" s="135"/>
      <c r="AK198" s="189"/>
      <c r="AL198" s="189"/>
      <c r="AM198" s="133" t="str">
        <f>IF([2]回答表!F18="下水道事業",IF([2]回答表!AD51="●",[2]回答表!B360,""),"")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IF([2]回答表!BD18="●",IF([2]回答表!X51="●","●",""),"")</f>
        <v/>
      </c>
      <c r="O210" s="131"/>
      <c r="P210" s="131"/>
      <c r="Q210" s="132"/>
      <c r="R210" s="119"/>
      <c r="S210" s="119"/>
      <c r="T210" s="119"/>
      <c r="U210" s="133" t="str">
        <f>IF([2]回答表!BD18="●",IF([2]回答表!X51="●",[2]回答表!B197,IF([2]回答表!AA51="●",[2]回答表!B275,"")),"")</f>
        <v/>
      </c>
      <c r="V210" s="134"/>
      <c r="W210" s="134"/>
      <c r="X210" s="134"/>
      <c r="Y210" s="134"/>
      <c r="Z210" s="134"/>
      <c r="AA210" s="134"/>
      <c r="AB210" s="134"/>
      <c r="AC210" s="134"/>
      <c r="AD210" s="134"/>
      <c r="AE210" s="134"/>
      <c r="AF210" s="134"/>
      <c r="AG210" s="134"/>
      <c r="AH210" s="134"/>
      <c r="AI210" s="134"/>
      <c r="AJ210" s="135"/>
      <c r="AK210" s="136"/>
      <c r="AL210" s="136"/>
      <c r="AM210" s="138" t="str">
        <f>IF([2]回答表!BD18="●",IF([2]回答表!X51="●",[2]回答表!B256,IF([2]回答表!AA51="●",[2]回答表!B335,"")),"")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IF([2]回答表!BD18="●",IF([2]回答表!X51="●",[2]回答表!E256,IF([2]回答表!AA51="●",[2]回答表!E335,"")),"")</f>
        <v/>
      </c>
      <c r="AN213" s="151"/>
      <c r="AO213" s="151"/>
      <c r="AP213" s="151"/>
      <c r="AQ213" s="150" t="str">
        <f>IF([2]回答表!BD18="●",IF([2]回答表!X51="●",[2]回答表!E257,IF([2]回答表!AA51="●",[2]回答表!E336,"")),"")</f>
        <v/>
      </c>
      <c r="AR213" s="151"/>
      <c r="AS213" s="151"/>
      <c r="AT213" s="151"/>
      <c r="AU213" s="150" t="str">
        <f>IF([2]回答表!BD18="●",IF([2]回答表!X51="●",[2]回答表!E258,IF([2]回答表!AA51="●",[2]回答表!E337,"")),"")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IF([2]回答表!BD18="●",IF([2]回答表!AA51="●","●",""),"")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IF([2]回答表!BD18="●",IF([2]回答表!X51="●",[2]回答表!E265,IF([2]回答表!AA51="●",[2]回答表!E344,"")),"")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IF([2]回答表!BD18="●",IF([2]回答表!X51="●",[2]回答表!B267,IF([2]回答表!AA51="●",[2]回答表!B346,"")),"")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IF([2]回答表!BD18="●",IF([2]回答表!AD51="●","●",""),"")</f>
        <v/>
      </c>
      <c r="O229" s="131"/>
      <c r="P229" s="131"/>
      <c r="Q229" s="132"/>
      <c r="R229" s="119"/>
      <c r="S229" s="119"/>
      <c r="T229" s="119"/>
      <c r="U229" s="133" t="str">
        <f>IF([2]回答表!BD18="●",IF([2]回答表!AD51="●",[2]回答表!B354,""),"")</f>
        <v/>
      </c>
      <c r="V229" s="134"/>
      <c r="W229" s="134"/>
      <c r="X229" s="134"/>
      <c r="Y229" s="134"/>
      <c r="Z229" s="134"/>
      <c r="AA229" s="134"/>
      <c r="AB229" s="134"/>
      <c r="AC229" s="134"/>
      <c r="AD229" s="134"/>
      <c r="AE229" s="134"/>
      <c r="AF229" s="134"/>
      <c r="AG229" s="134"/>
      <c r="AH229" s="134"/>
      <c r="AI229" s="134"/>
      <c r="AJ229" s="135"/>
      <c r="AK229" s="249"/>
      <c r="AL229" s="249"/>
      <c r="AM229" s="133" t="str">
        <f>IF([2]回答表!BD18="●",IF([2]回答表!AD51="●",[2]回答表!B360,""),"")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IF([2]回答表!X52="●","●","")</f>
        <v/>
      </c>
      <c r="O241" s="131"/>
      <c r="P241" s="131"/>
      <c r="Q241" s="132"/>
      <c r="R241" s="119"/>
      <c r="S241" s="119"/>
      <c r="T241" s="119"/>
      <c r="U241" s="133" t="str">
        <f>IF([2]回答表!X52="●",[2]回答表!B371,IF([2]回答表!AA52="●",[2]回答表!B396,""))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IF([2]回答表!X52="●",[2]回答表!U377,IF([2]回答表!AA52="●",[2]回答表!U402,""))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IF([2]回答表!X52="●",[2]回答表!G377,IF([2]回答表!AA52="●",[2]回答表!G402,""))</f>
        <v/>
      </c>
      <c r="AN244" s="83"/>
      <c r="AO244" s="83"/>
      <c r="AP244" s="83"/>
      <c r="AQ244" s="83"/>
      <c r="AR244" s="83"/>
      <c r="AS244" s="83"/>
      <c r="AT244" s="153"/>
      <c r="AU244" s="82" t="str">
        <f>IF([2]回答表!X52="●",[2]回答表!G378,IF([2]回答表!AA52="●",[2]回答表!G403,""))</f>
        <v/>
      </c>
      <c r="AV244" s="83"/>
      <c r="AW244" s="83"/>
      <c r="AX244" s="83"/>
      <c r="AY244" s="83"/>
      <c r="AZ244" s="83"/>
      <c r="BA244" s="83"/>
      <c r="BB244" s="153"/>
      <c r="BC244" s="120"/>
      <c r="BD244" s="109"/>
      <c r="BE244" s="109"/>
      <c r="BF244" s="150" t="str">
        <f>IF([2]回答表!X52="●",[2]回答表!X377,IF([2]回答表!AA52="●",[2]回答表!X402,""))</f>
        <v/>
      </c>
      <c r="BG244" s="151"/>
      <c r="BH244" s="151"/>
      <c r="BI244" s="151"/>
      <c r="BJ244" s="150" t="str">
        <f>IF([2]回答表!X52="●",[2]回答表!X378,IF([2]回答表!AA52="●",[2]回答表!X403,""))</f>
        <v/>
      </c>
      <c r="BK244" s="151"/>
      <c r="BL244" s="151"/>
      <c r="BM244" s="152"/>
      <c r="BN244" s="150" t="str">
        <f>IF([2]回答表!X52="●",[2]回答表!X379,IF([2]回答表!AA52="●",[2]回答表!X404,""))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IF([2]回答表!X52="●",[2]回答表!E386,IF([2]回答表!AA52="●",[2]回答表!E407,""))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IF([2]回答表!X52="●",[2]回答表!B388,IF([2]回答表!AA52="●",[2]回答表!B409,""))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IF([2]回答表!AD52="●","●","")</f>
        <v/>
      </c>
      <c r="O260" s="131"/>
      <c r="P260" s="131"/>
      <c r="Q260" s="132"/>
      <c r="R260" s="119"/>
      <c r="S260" s="119"/>
      <c r="T260" s="119"/>
      <c r="U260" s="133" t="str">
        <f>IF([2]回答表!AD52="●",[2]回答表!B417,"")</f>
        <v/>
      </c>
      <c r="V260" s="134"/>
      <c r="W260" s="134"/>
      <c r="X260" s="134"/>
      <c r="Y260" s="134"/>
      <c r="Z260" s="134"/>
      <c r="AA260" s="134"/>
      <c r="AB260" s="134"/>
      <c r="AC260" s="134"/>
      <c r="AD260" s="134"/>
      <c r="AE260" s="134"/>
      <c r="AF260" s="134"/>
      <c r="AG260" s="134"/>
      <c r="AH260" s="134"/>
      <c r="AI260" s="134"/>
      <c r="AJ260" s="135"/>
      <c r="AK260" s="249"/>
      <c r="AL260" s="249"/>
      <c r="AM260" s="133" t="str">
        <f>IF([2]回答表!AD52="●",[2]回答表!B423,"")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IF([2]回答表!X53="●","●","")</f>
        <v/>
      </c>
      <c r="O272" s="131"/>
      <c r="P272" s="131"/>
      <c r="Q272" s="132"/>
      <c r="R272" s="119"/>
      <c r="S272" s="119"/>
      <c r="T272" s="119"/>
      <c r="U272" s="133" t="str">
        <f>IF([2]回答表!X53="●",[2]回答表!B434,IF([2]回答表!AA53="●",[2]回答表!B465,""))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IF([2]回答表!X53="●",[2]回答表!B440,"")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IF([2]回答表!X53="●",[2]回答表!B446,IF([2]回答表!AA53="●",[2]回答表!B471,""))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IF([2]回答表!X53="●",[2]回答表!E446,IF([2]回答表!AA53="●",[2]回答表!E471,""))</f>
        <v/>
      </c>
      <c r="BG275" s="151"/>
      <c r="BH275" s="151"/>
      <c r="BI275" s="151"/>
      <c r="BJ275" s="150" t="str">
        <f>IF([2]回答表!X53="●",[2]回答表!E447,IF([2]回答表!AA53="●",[2]回答表!E472,""))</f>
        <v/>
      </c>
      <c r="BK275" s="151"/>
      <c r="BL275" s="151"/>
      <c r="BM275" s="152"/>
      <c r="BN275" s="150" t="str">
        <f>IF([2]回答表!X53="●",[2]回答表!E448,IF([2]回答表!AA53="●",[2]回答表!E473,""))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IF([2]回答表!X53="●",[2]回答表!E455,IF([2]回答表!AA53="●",[2]回答表!E476,""))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IF([2]回答表!X53="●",[2]回答表!B457,IF([2]回答表!AA53="●",[2]回答表!B478,""))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IF([2]回答表!AD53="●","●","")</f>
        <v/>
      </c>
      <c r="O291" s="131"/>
      <c r="P291" s="131"/>
      <c r="Q291" s="132"/>
      <c r="R291" s="119"/>
      <c r="S291" s="119"/>
      <c r="T291" s="119"/>
      <c r="U291" s="133" t="str">
        <f>IF([2]回答表!AD53="●",[2]回答表!B486,"")</f>
        <v/>
      </c>
      <c r="V291" s="134"/>
      <c r="W291" s="134"/>
      <c r="X291" s="134"/>
      <c r="Y291" s="134"/>
      <c r="Z291" s="134"/>
      <c r="AA291" s="134"/>
      <c r="AB291" s="134"/>
      <c r="AC291" s="134"/>
      <c r="AD291" s="134"/>
      <c r="AE291" s="134"/>
      <c r="AF291" s="134"/>
      <c r="AG291" s="134"/>
      <c r="AH291" s="134"/>
      <c r="AI291" s="134"/>
      <c r="AJ291" s="135"/>
      <c r="AK291" s="249"/>
      <c r="AL291" s="249"/>
      <c r="AM291" s="133" t="str">
        <f>IF([2]回答表!AD53="●",[2]回答表!B492,"")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IF([2]回答表!X54="●","●","")</f>
        <v/>
      </c>
      <c r="O303" s="131"/>
      <c r="P303" s="131"/>
      <c r="Q303" s="132"/>
      <c r="R303" s="119"/>
      <c r="S303" s="119"/>
      <c r="T303" s="119"/>
      <c r="U303" s="133" t="str">
        <f>IF([2]回答表!X54="●",[2]回答表!B503,IF([2]回答表!AA54="●",[2]回答表!B526,""))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IF([2]回答表!X54="●",[2]回答表!BC510,IF([2]回答表!AA54="●",[2]回答表!BC533,""))</f>
        <v/>
      </c>
      <c r="AR303" s="271"/>
      <c r="AS303" s="271"/>
      <c r="AT303" s="271"/>
      <c r="AU303" s="272" t="s">
        <v>74</v>
      </c>
      <c r="AV303" s="273"/>
      <c r="AW303" s="273"/>
      <c r="AX303" s="274"/>
      <c r="AY303" s="271" t="str">
        <f>IF([2]回答表!X54="●",[2]回答表!BC515,IF([2]回答表!AA54="●",[2]回答表!BC538,""))</f>
        <v/>
      </c>
      <c r="AZ303" s="271"/>
      <c r="BA303" s="271"/>
      <c r="BB303" s="271"/>
      <c r="BC303" s="120"/>
      <c r="BD303" s="109"/>
      <c r="BE303" s="109"/>
      <c r="BF303" s="138" t="str">
        <f>IF([2]回答表!X54="●",[2]回答表!S509,IF([2]回答表!AA54="●",[2]回答表!S532,""))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IF([2]回答表!X54="●",[2]回答表!BC511,IF([2]回答表!AA54="●",[2]回答表!BC534,""))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IF([2]回答表!X54="●",[2]回答表!V509,IF([2]回答表!AA54="●",[2]回答表!V532,""))</f>
        <v/>
      </c>
      <c r="BG306" s="151"/>
      <c r="BH306" s="151"/>
      <c r="BI306" s="151"/>
      <c r="BJ306" s="150" t="str">
        <f>IF([2]回答表!X54="●",[2]回答表!V510,IF([2]回答表!AA54="●",[2]回答表!V533,""))</f>
        <v/>
      </c>
      <c r="BK306" s="151"/>
      <c r="BL306" s="151"/>
      <c r="BM306" s="152"/>
      <c r="BN306" s="150" t="str">
        <f>IF([2]回答表!X54="●",[2]回答表!V511,IF([2]回答表!AA54="●",[2]回答表!V534,""))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IF([2]回答表!X54="●",[2]回答表!BC512,IF([2]回答表!AA54="●",[2]回答表!BC535,""))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IF([2]回答表!X54="●",[2]回答表!BC516,IF([2]回答表!AA54="●",[2]回答表!BC539,""))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IF([2]回答表!X54="●",[2]回答表!BC513,IF([2]回答表!AA54="●",[2]回答表!BC536,""))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IF([2]回答表!X54="●",[2]回答表!BC514,IF([2]回答表!AA54="●",[2]回答表!BC537,""))</f>
        <v/>
      </c>
      <c r="AR311" s="271"/>
      <c r="AS311" s="271"/>
      <c r="AT311" s="271"/>
      <c r="AU311" s="222" t="s">
        <v>80</v>
      </c>
      <c r="AV311" s="223"/>
      <c r="AW311" s="223"/>
      <c r="AX311" s="224"/>
      <c r="AY311" s="281" t="str">
        <f>IF([2]回答表!X54="●",[2]回答表!BC517,IF([2]回答表!AA54="●",[2]回答表!BC540,""))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IF([2]回答表!X54="●",[2]回答表!E516,IF([2]回答表!AA54="●",[2]回答表!E538,""))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IF([2]回答表!X54="●",[2]回答表!B518,IF([2]回答表!AA54="●",[2]回答表!B540,""))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IF([2]回答表!AD54="●","●","")</f>
        <v/>
      </c>
      <c r="O322" s="131"/>
      <c r="P322" s="131"/>
      <c r="Q322" s="132"/>
      <c r="R322" s="119"/>
      <c r="S322" s="119"/>
      <c r="T322" s="119"/>
      <c r="U322" s="133" t="str">
        <f>IF([2]回答表!AD54="●",[2]回答表!B548,"")</f>
        <v/>
      </c>
      <c r="V322" s="134"/>
      <c r="W322" s="134"/>
      <c r="X322" s="134"/>
      <c r="Y322" s="134"/>
      <c r="Z322" s="134"/>
      <c r="AA322" s="134"/>
      <c r="AB322" s="134"/>
      <c r="AC322" s="134"/>
      <c r="AD322" s="134"/>
      <c r="AE322" s="134"/>
      <c r="AF322" s="134"/>
      <c r="AG322" s="134"/>
      <c r="AH322" s="134"/>
      <c r="AI322" s="134"/>
      <c r="AJ322" s="135"/>
      <c r="AK322" s="189"/>
      <c r="AL322" s="189"/>
      <c r="AM322" s="133" t="str">
        <f>IF([2]回答表!AD54="●",[2]回答表!B554,"")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IF([2]回答表!X55="●","●","")</f>
        <v/>
      </c>
      <c r="O333" s="131"/>
      <c r="P333" s="131"/>
      <c r="Q333" s="132"/>
      <c r="R333" s="119"/>
      <c r="S333" s="119"/>
      <c r="T333" s="119"/>
      <c r="U333" s="133" t="str">
        <f>IF([2]回答表!X55="●",[2]回答表!B565,IF([2]回答表!AA55="●",[2]回答表!B590,""))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IF([2]回答表!X55="●",[2]回答表!B575,IF([2]回答表!AA55="●",[2]回答表!B600,""))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IF([2]回答表!X55="●",[2]回答表!G571,IF([2]回答表!AA55="●",[2]回答表!G596,""))</f>
        <v/>
      </c>
      <c r="AN335" s="83"/>
      <c r="AO335" s="83"/>
      <c r="AP335" s="83"/>
      <c r="AQ335" s="83"/>
      <c r="AR335" s="83"/>
      <c r="AS335" s="83"/>
      <c r="AT335" s="153"/>
      <c r="AU335" s="82" t="str">
        <f>IF([2]回答表!X55="●",[2]回答表!G572,IF([2]回答表!AA55="●",[2]回答表!G597,""))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IF([2]回答表!X55="●",[2]回答表!E575,IF([2]回答表!AA55="●",[2]回答表!E600,""))</f>
        <v/>
      </c>
      <c r="BG336" s="151"/>
      <c r="BH336" s="151"/>
      <c r="BI336" s="151"/>
      <c r="BJ336" s="150" t="str">
        <f>IF([2]回答表!X55="●",[2]回答表!E576,IF([2]回答表!AA55="●",[2]回答表!E601,""))</f>
        <v/>
      </c>
      <c r="BK336" s="151"/>
      <c r="BL336" s="151"/>
      <c r="BM336" s="152"/>
      <c r="BN336" s="150" t="str">
        <f>IF([2]回答表!X55="●",[2]回答表!E577,IF([2]回答表!AA55="●",[2]回答表!E602,""))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IF([2]回答表!X55="●",[2]回答表!E580,IF([2]回答表!AA55="●",[2]回答表!E605,""))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IF([2]回答表!X55="●",[2]回答表!B582,IF([2]回答表!AA55="●",[2]回答表!B607,""))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IF([2]回答表!AD55="●","●","")</f>
        <v/>
      </c>
      <c r="O352" s="131"/>
      <c r="P352" s="131"/>
      <c r="Q352" s="132"/>
      <c r="R352" s="119"/>
      <c r="S352" s="119"/>
      <c r="T352" s="119"/>
      <c r="U352" s="133" t="str">
        <f>IF([2]回答表!AD55="●",[2]回答表!B615,"")</f>
        <v/>
      </c>
      <c r="V352" s="134"/>
      <c r="W352" s="134"/>
      <c r="X352" s="134"/>
      <c r="Y352" s="134"/>
      <c r="Z352" s="134"/>
      <c r="AA352" s="134"/>
      <c r="AB352" s="134"/>
      <c r="AC352" s="134"/>
      <c r="AD352" s="134"/>
      <c r="AE352" s="134"/>
      <c r="AF352" s="134"/>
      <c r="AG352" s="134"/>
      <c r="AH352" s="134"/>
      <c r="AI352" s="134"/>
      <c r="AJ352" s="135"/>
      <c r="AK352" s="136"/>
      <c r="AL352" s="136"/>
      <c r="AM352" s="133" t="str">
        <f>IF([2]回答表!AD55="●",[2]回答表!B621,"")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IF([2]回答表!R56="●",[2]回答表!B634,"")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7" priority="2">
      <formula>$BB$25="○"</formula>
    </cfRule>
  </conditionalFormatting>
  <conditionalFormatting sqref="BD28:BD30">
    <cfRule type="expression" dxfId="26" priority="1">
      <formula>$BB$25="○"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02084-0169-4524-ADE6-6C7A6FC244E9}">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IF(COUNTIF([3]回答表!K16,"*")&gt;0,[3]回答表!K16,"")</f>
        <v>大仙市</v>
      </c>
      <c r="D11" s="8"/>
      <c r="E11" s="8"/>
      <c r="F11" s="8"/>
      <c r="G11" s="8"/>
      <c r="H11" s="8"/>
      <c r="I11" s="8"/>
      <c r="J11" s="8"/>
      <c r="K11" s="8"/>
      <c r="L11" s="8"/>
      <c r="M11" s="8"/>
      <c r="N11" s="8"/>
      <c r="O11" s="8"/>
      <c r="P11" s="8"/>
      <c r="Q11" s="8"/>
      <c r="R11" s="8"/>
      <c r="S11" s="8"/>
      <c r="T11" s="8"/>
      <c r="U11" s="22" t="str">
        <f>IF(COUNTIF([3]回答表!F18,"*")&gt;0,[3]回答表!F18,"")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IF(COUNTIF([3]回答表!W18,"*")&gt;0,[3]回答表!W18,"")</f>
        <v>特定地域排水処理施設</v>
      </c>
      <c r="AP11" s="10"/>
      <c r="AQ11" s="10"/>
      <c r="AR11" s="10"/>
      <c r="AS11" s="10"/>
      <c r="AT11" s="10"/>
      <c r="AU11" s="10"/>
      <c r="AV11" s="10"/>
      <c r="AW11" s="10"/>
      <c r="AX11" s="10"/>
      <c r="AY11" s="10"/>
      <c r="AZ11" s="10"/>
      <c r="BA11" s="10"/>
      <c r="BB11" s="10"/>
      <c r="BC11" s="10"/>
      <c r="BD11" s="10"/>
      <c r="BE11" s="10"/>
      <c r="BF11" s="11"/>
      <c r="BG11" s="21" t="str">
        <f>IF(COUNTIF([3]回答表!F20,"*")&gt;0,[3]回答表!F20,"")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IF([3]回答表!R49="●","●","")</f>
        <v/>
      </c>
      <c r="E24" s="80"/>
      <c r="F24" s="80"/>
      <c r="G24" s="80"/>
      <c r="H24" s="80"/>
      <c r="I24" s="80"/>
      <c r="J24" s="81"/>
      <c r="K24" s="79" t="str">
        <f>IF([3]回答表!R50="●","●","")</f>
        <v/>
      </c>
      <c r="L24" s="80"/>
      <c r="M24" s="80"/>
      <c r="N24" s="80"/>
      <c r="O24" s="80"/>
      <c r="P24" s="80"/>
      <c r="Q24" s="81"/>
      <c r="R24" s="79" t="str">
        <f>IF([3]回答表!R51="●","●","")</f>
        <v/>
      </c>
      <c r="S24" s="80"/>
      <c r="T24" s="80"/>
      <c r="U24" s="80"/>
      <c r="V24" s="80"/>
      <c r="W24" s="80"/>
      <c r="X24" s="81"/>
      <c r="Y24" s="79" t="str">
        <f>IF([3]回答表!R52="●","●","")</f>
        <v/>
      </c>
      <c r="Z24" s="80"/>
      <c r="AA24" s="80"/>
      <c r="AB24" s="80"/>
      <c r="AC24" s="80"/>
      <c r="AD24" s="80"/>
      <c r="AE24" s="81"/>
      <c r="AF24" s="79" t="str">
        <f>IF([3]回答表!R53="●","●","")</f>
        <v/>
      </c>
      <c r="AG24" s="80"/>
      <c r="AH24" s="80"/>
      <c r="AI24" s="80"/>
      <c r="AJ24" s="80"/>
      <c r="AK24" s="80"/>
      <c r="AL24" s="81"/>
      <c r="AM24" s="79" t="str">
        <f>IF([3]回答表!R54="●","●","")</f>
        <v/>
      </c>
      <c r="AN24" s="80"/>
      <c r="AO24" s="80"/>
      <c r="AP24" s="80"/>
      <c r="AQ24" s="80"/>
      <c r="AR24" s="80"/>
      <c r="AS24" s="81"/>
      <c r="AT24" s="79" t="str">
        <f>IF([3]回答表!R55="●","●","")</f>
        <v/>
      </c>
      <c r="AU24" s="80"/>
      <c r="AV24" s="80"/>
      <c r="AW24" s="80"/>
      <c r="AX24" s="80"/>
      <c r="AY24" s="80"/>
      <c r="AZ24" s="81"/>
      <c r="BA24" s="68"/>
      <c r="BB24" s="82" t="str">
        <f>IF([3]回答表!R56="●","●","")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IF([3]回答表!X49="●","●","")</f>
        <v/>
      </c>
      <c r="O36" s="131"/>
      <c r="P36" s="131"/>
      <c r="Q36" s="132"/>
      <c r="R36" s="119"/>
      <c r="S36" s="119"/>
      <c r="T36" s="119"/>
      <c r="U36" s="133" t="str">
        <f>IF([3]回答表!X49="●",[3]回答表!B67,IF([3]回答表!AA49="●",[3]回答表!B95,""))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IF([3]回答表!X49="●",[3]回答表!S73,IF([3]回答表!AA49="●",[3]回答表!S101,""))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IF([3]回答表!X49="●",[3]回答表!G73,IF([3]回答表!AA49="●",[3]回答表!G101,""))</f>
        <v/>
      </c>
      <c r="AN38" s="83"/>
      <c r="AO38" s="83"/>
      <c r="AP38" s="83"/>
      <c r="AQ38" s="83"/>
      <c r="AR38" s="83"/>
      <c r="AS38" s="83"/>
      <c r="AT38" s="153"/>
      <c r="AU38" s="82" t="str">
        <f>IF([3]回答表!X49="●",[3]回答表!G74,IF([3]回答表!AA49="●",[3]回答表!G102,""))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IF([3]回答表!X49="●",[3]回答表!V73,IF([3]回答表!AA49="●",[3]回答表!V101,""))</f>
        <v/>
      </c>
      <c r="BG39" s="16"/>
      <c r="BH39" s="16"/>
      <c r="BI39" s="17"/>
      <c r="BJ39" s="150" t="str">
        <f>IF([3]回答表!X49="●",[3]回答表!V74,IF([3]回答表!AA49="●",[3]回答表!V102,""))</f>
        <v/>
      </c>
      <c r="BK39" s="16"/>
      <c r="BL39" s="16"/>
      <c r="BM39" s="17"/>
      <c r="BN39" s="150" t="str">
        <f>IF([3]回答表!X49="●",[3]回答表!V75,IF([3]回答表!AA49="●",[3]回答表!V103,""))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IF([3]回答表!X49="●",[3]回答表!O79,IF([3]回答表!AA49="●",[3]回答表!O107,""))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IF([3]回答表!X49="●",[3]回答表!O80,IF([3]回答表!AA49="●",[3]回答表!O108,""))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IF([3]回答表!X49="●",[3]回答表!O81,IF([3]回答表!AA49="●",[3]回答表!O109,""))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IF([3]回答表!X49="●",[3]回答表!O82,IF([3]回答表!AA49="●",[3]回答表!O110,""))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IF([3]回答表!X49="●",[3]回答表!AG79,IF([3]回答表!AA49="●",[3]回答表!AG107,""))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IF([3]回答表!X49="●",[3]回答表!AG80,IF([3]回答表!AA49="●",[3]回答表!AG108,""))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IF([3]回答表!X49="●",[3]回答表!E85,IF([3]回答表!AA49="●",[3]回答表!E113,""))</f>
        <v/>
      </c>
      <c r="V50" s="182"/>
      <c r="W50" s="182"/>
      <c r="X50" s="182"/>
      <c r="Y50" s="182"/>
      <c r="Z50" s="182"/>
      <c r="AA50" s="182"/>
      <c r="AB50" s="182"/>
      <c r="AC50" s="182"/>
      <c r="AD50" s="182"/>
      <c r="AE50" s="183" t="s">
        <v>33</v>
      </c>
      <c r="AF50" s="183"/>
      <c r="AG50" s="183"/>
      <c r="AH50" s="183"/>
      <c r="AI50" s="183"/>
      <c r="AJ50" s="184"/>
      <c r="AK50" s="136"/>
      <c r="AL50" s="136"/>
      <c r="AM50" s="133" t="str">
        <f>IF([3]回答表!X49="●",[3]回答表!B87,IF([3]回答表!AA49="●",[3]回答表!B115,""))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IF([3]回答表!AD49="●","●","")</f>
        <v/>
      </c>
      <c r="O57" s="131"/>
      <c r="P57" s="131"/>
      <c r="Q57" s="132"/>
      <c r="R57" s="119"/>
      <c r="S57" s="119"/>
      <c r="T57" s="119"/>
      <c r="U57" s="133" t="str">
        <f>IF([3]回答表!AD49="●",[3]回答表!B123,"")</f>
        <v/>
      </c>
      <c r="V57" s="134"/>
      <c r="W57" s="134"/>
      <c r="X57" s="134"/>
      <c r="Y57" s="134"/>
      <c r="Z57" s="134"/>
      <c r="AA57" s="134"/>
      <c r="AB57" s="134"/>
      <c r="AC57" s="134"/>
      <c r="AD57" s="134"/>
      <c r="AE57" s="134"/>
      <c r="AF57" s="134"/>
      <c r="AG57" s="134"/>
      <c r="AH57" s="134"/>
      <c r="AI57" s="134"/>
      <c r="AJ57" s="135"/>
      <c r="AK57" s="189"/>
      <c r="AL57" s="189"/>
      <c r="AM57" s="133" t="str">
        <f>IF([3]回答表!AD49="●",[3]回答表!B128,"")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IF([3]回答表!X50="●","●","")</f>
        <v/>
      </c>
      <c r="O68" s="131"/>
      <c r="P68" s="131"/>
      <c r="Q68" s="132"/>
      <c r="R68" s="119"/>
      <c r="S68" s="119"/>
      <c r="T68" s="119"/>
      <c r="U68" s="133" t="str">
        <f>IF([3]回答表!X50="●",[3]回答表!B138,IF([3]回答表!AA50="●",[3]回答表!B159,""))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IF([3]回答表!X50="●",[3]回答表!S144,IF([3]回答表!AA50="●",[3]回答表!S165,""))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IF([3]回答表!X50="●",[3]回答表!J144,IF([3]回答表!AA50="●",[3]回答表!J165,""))</f>
        <v/>
      </c>
      <c r="AN71" s="83"/>
      <c r="AO71" s="83"/>
      <c r="AP71" s="83"/>
      <c r="AQ71" s="83"/>
      <c r="AR71" s="83"/>
      <c r="AS71" s="83"/>
      <c r="AT71" s="153"/>
      <c r="AU71" s="82" t="str">
        <f>IF([3]回答表!X50="●",[3]回答表!J145,IF([3]回答表!AA50="●",[3]回答表!J166,""))</f>
        <v/>
      </c>
      <c r="AV71" s="83"/>
      <c r="AW71" s="83"/>
      <c r="AX71" s="83"/>
      <c r="AY71" s="83"/>
      <c r="AZ71" s="83"/>
      <c r="BA71" s="83"/>
      <c r="BB71" s="153"/>
      <c r="BC71" s="120"/>
      <c r="BD71" s="109"/>
      <c r="BE71" s="109"/>
      <c r="BF71" s="150" t="str">
        <f>IF([3]回答表!X50="●",[3]回答表!V144,IF([3]回答表!AA50="●",[3]回答表!V165,""))</f>
        <v/>
      </c>
      <c r="BG71" s="151"/>
      <c r="BH71" s="151"/>
      <c r="BI71" s="151"/>
      <c r="BJ71" s="150" t="str">
        <f>IF([3]回答表!X50="●",[3]回答表!V145,IF([3]回答表!AA50="●",[3]回答表!V166,""))</f>
        <v/>
      </c>
      <c r="BK71" s="151"/>
      <c r="BL71" s="151"/>
      <c r="BM71" s="151"/>
      <c r="BN71" s="150" t="str">
        <f>IF([3]回答表!X50="●",[3]回答表!V146,IF([3]回答表!AA50="●",[3]回答表!V167,""))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IF([3]回答表!X50="●",[3]回答表!E149,IF([3]回答表!AA50="●",[3]回答表!E170,""))</f>
        <v/>
      </c>
      <c r="V80" s="182"/>
      <c r="W80" s="182"/>
      <c r="X80" s="182"/>
      <c r="Y80" s="182"/>
      <c r="Z80" s="182"/>
      <c r="AA80" s="182"/>
      <c r="AB80" s="182"/>
      <c r="AC80" s="182"/>
      <c r="AD80" s="182"/>
      <c r="AE80" s="183" t="s">
        <v>33</v>
      </c>
      <c r="AF80" s="183"/>
      <c r="AG80" s="183"/>
      <c r="AH80" s="183"/>
      <c r="AI80" s="183"/>
      <c r="AJ80" s="184"/>
      <c r="AK80" s="136"/>
      <c r="AL80" s="136"/>
      <c r="AM80" s="133" t="str">
        <f>IF([3]回答表!X50="●",[3]回答表!B151,IF([3]回答表!AA50="●",[3]回答表!B172,""))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IF([3]回答表!AD50="●","●","")</f>
        <v/>
      </c>
      <c r="O87" s="131"/>
      <c r="P87" s="131"/>
      <c r="Q87" s="132"/>
      <c r="R87" s="119"/>
      <c r="S87" s="119"/>
      <c r="T87" s="119"/>
      <c r="U87" s="133" t="str">
        <f>IF([3]回答表!AD50="●",[3]回答表!B180,"")</f>
        <v/>
      </c>
      <c r="V87" s="134"/>
      <c r="W87" s="134"/>
      <c r="X87" s="134"/>
      <c r="Y87" s="134"/>
      <c r="Z87" s="134"/>
      <c r="AA87" s="134"/>
      <c r="AB87" s="134"/>
      <c r="AC87" s="134"/>
      <c r="AD87" s="134"/>
      <c r="AE87" s="134"/>
      <c r="AF87" s="134"/>
      <c r="AG87" s="134"/>
      <c r="AH87" s="134"/>
      <c r="AI87" s="134"/>
      <c r="AJ87" s="135"/>
      <c r="AK87" s="189"/>
      <c r="AL87" s="189"/>
      <c r="AM87" s="133" t="str">
        <f>IF([3]回答表!AD50="●",[3]回答表!B186,"")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IF([3]回答表!F18="水道事業",IF([3]回答表!X51="●","●",""),"")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IF([3]回答表!F18="水道事業",IF([3]回答表!X51="●",[3]回答表!B197,IF([3]回答表!AA51="●",[3]回答表!B275,"")),"")</f>
        <v/>
      </c>
      <c r="AN99" s="134"/>
      <c r="AO99" s="134"/>
      <c r="AP99" s="134"/>
      <c r="AQ99" s="134"/>
      <c r="AR99" s="134"/>
      <c r="AS99" s="134"/>
      <c r="AT99" s="134"/>
      <c r="AU99" s="134"/>
      <c r="AV99" s="134"/>
      <c r="AW99" s="134"/>
      <c r="AX99" s="134"/>
      <c r="AY99" s="134"/>
      <c r="AZ99" s="134"/>
      <c r="BA99" s="134"/>
      <c r="BB99" s="134"/>
      <c r="BC99" s="135"/>
      <c r="BD99" s="109"/>
      <c r="BE99" s="109"/>
      <c r="BF99" s="138" t="str">
        <f>IF([3]回答表!F18="水道事業",IF([3]回答表!X51="●",[3]回答表!B256,IF([3]回答表!AA51="●",[3]回答表!B335,"")),"")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IF([3]回答表!F18="水道事業",IF([3]回答表!X51="●",[3]回答表!J205,IF([3]回答表!AA51="●",[3]回答表!J283,"")),"")</f>
        <v/>
      </c>
      <c r="V101" s="83"/>
      <c r="W101" s="83"/>
      <c r="X101" s="83"/>
      <c r="Y101" s="83"/>
      <c r="Z101" s="83"/>
      <c r="AA101" s="83"/>
      <c r="AB101" s="153"/>
      <c r="AC101" s="82" t="str">
        <f>IF([3]回答表!F18="水道事業",IF([3]回答表!X51="●",[3]回答表!J210,IF([3]回答表!AA51="●",[3]回答表!J290,"")),"")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IF([3]回答表!F18="水道事業",IF([3]回答表!X51="●",[3]回答表!E256,IF([3]回答表!AA51="●",[3]回答表!E335,"")),"")</f>
        <v/>
      </c>
      <c r="BG102" s="151"/>
      <c r="BH102" s="151"/>
      <c r="BI102" s="151"/>
      <c r="BJ102" s="150" t="str">
        <f>IF([3]回答表!F18="水道事業",IF([3]回答表!X51="●",[3]回答表!E257,IF([3]回答表!AA51="●",[3]回答表!E336,"")),"")</f>
        <v/>
      </c>
      <c r="BK102" s="151"/>
      <c r="BL102" s="151"/>
      <c r="BM102" s="151"/>
      <c r="BN102" s="150" t="str">
        <f>IF([3]回答表!F18="水道事業",IF([3]回答表!X51="●",[3]回答表!E258,IF([3]回答表!AA51="●",[3]回答表!E337,"")),"")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IF([3]回答表!F18="水道事業",IF([3]回答表!AA51="●","●",""),"")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IF([3]回答表!F18="水道事業",IF([3]回答表!X51="●",[3]回答表!J213,IF([3]回答表!AA51="●",[3]回答表!J293,"")),"")</f>
        <v/>
      </c>
      <c r="V106" s="83"/>
      <c r="W106" s="83"/>
      <c r="X106" s="83"/>
      <c r="Y106" s="83"/>
      <c r="Z106" s="83"/>
      <c r="AA106" s="83"/>
      <c r="AB106" s="153"/>
      <c r="AC106" s="82" t="str">
        <f>IF([3]回答表!F18="水道事業",IF([3]回答表!X51="●",[3]回答表!J217,IF([3]回答表!AA51="●",[3]回答表!J297,"")),"")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IF([3]回答表!F18="水道事業",IF([3]回答表!X51="●",[3]回答表!E265,IF([3]回答表!AA51="●",[3]回答表!E344,"")),"")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IF([3]回答表!F18="水道事業",IF([3]回答表!X51="●",[3]回答表!B267,IF([3]回答表!AA51="●",[3]回答表!B346,"")),"")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IF([3]回答表!F18="水道事業",IF([3]回答表!AD51="●","●",""),"")</f>
        <v/>
      </c>
      <c r="O118" s="131"/>
      <c r="P118" s="131"/>
      <c r="Q118" s="132"/>
      <c r="R118" s="119"/>
      <c r="S118" s="119"/>
      <c r="T118" s="119"/>
      <c r="U118" s="133" t="str">
        <f>IF([3]回答表!F18="水道事業",IF([3]回答表!AD51="●",[3]回答表!B354,""),"")</f>
        <v/>
      </c>
      <c r="V118" s="134"/>
      <c r="W118" s="134"/>
      <c r="X118" s="134"/>
      <c r="Y118" s="134"/>
      <c r="Z118" s="134"/>
      <c r="AA118" s="134"/>
      <c r="AB118" s="134"/>
      <c r="AC118" s="134"/>
      <c r="AD118" s="134"/>
      <c r="AE118" s="134"/>
      <c r="AF118" s="134"/>
      <c r="AG118" s="134"/>
      <c r="AH118" s="134"/>
      <c r="AI118" s="134"/>
      <c r="AJ118" s="135"/>
      <c r="AK118" s="189"/>
      <c r="AL118" s="189"/>
      <c r="AM118" s="133" t="str">
        <f>IF([3]回答表!F18="水道事業",IF([3]回答表!AD51="●",[3]回答表!B360,""),"")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IF([3]回答表!F18="簡易水道事業",IF([3]回答表!X51="●",[3]回答表!B197,IF([3]回答表!AA51="●",[3]回答表!B275,"")),"")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IF([3]回答表!F18="簡易水道事業",IF([3]回答表!X51="●",[3]回答表!B256,IF([3]回答表!AA51="●",[3]回答表!B335,"")),"")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IF([3]回答表!F18="簡易水道事業",IF([3]回答表!X51="●","●",""),"")</f>
        <v/>
      </c>
      <c r="O132" s="131"/>
      <c r="P132" s="131"/>
      <c r="Q132" s="132"/>
      <c r="R132" s="119"/>
      <c r="S132" s="119"/>
      <c r="T132" s="119"/>
      <c r="U132" s="82" t="str">
        <f>IF([3]回答表!F18="簡易水道事業",IF([3]回答表!X51="●",[3]回答表!S224,IF([3]回答表!AA51="●",[3]回答表!S304,"")),"")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IF([3]回答表!F18="簡易水道事業",IF([3]回答表!X51="●",[3]回答表!E256,IF([3]回答表!AA51="●",[3]回答表!E335,"")),"")</f>
        <v/>
      </c>
      <c r="BG133" s="151"/>
      <c r="BH133" s="151"/>
      <c r="BI133" s="151"/>
      <c r="BJ133" s="150" t="str">
        <f>IF([3]回答表!F18="簡易水道事業",IF([3]回答表!X51="●",[3]回答表!E257,IF([3]回答表!AA51="●",[3]回答表!E336,"")),"")</f>
        <v/>
      </c>
      <c r="BK133" s="151"/>
      <c r="BL133" s="151"/>
      <c r="BM133" s="151"/>
      <c r="BN133" s="150" t="str">
        <f>IF([3]回答表!F18="簡易水道事業",IF([3]回答表!X51="●",[3]回答表!E258,IF([3]回答表!AA51="●",[3]回答表!E337,"")),"")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IF([3]回答表!F18="簡易水道事業",IF([3]回答表!X51="●",[3]回答表!S225,IF([3]回答表!AA51="●",[3]回答表!S305,"")),"")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IF([3]回答表!F18="簡易水道事業",IF([3]回答表!AA51="●","●",""),"")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IF([3]回答表!F18="簡易水道事業",IF([3]回答表!X51="●",[3]回答表!S226,IF([3]回答表!AA51="●",[3]回答表!S306,"")),"")</f>
        <v/>
      </c>
      <c r="V142" s="83"/>
      <c r="W142" s="83"/>
      <c r="X142" s="83"/>
      <c r="Y142" s="83"/>
      <c r="Z142" s="83"/>
      <c r="AA142" s="83"/>
      <c r="AB142" s="83"/>
      <c r="AC142" s="83"/>
      <c r="AD142" s="83"/>
      <c r="AE142" s="83"/>
      <c r="AF142" s="83"/>
      <c r="AG142" s="83"/>
      <c r="AH142" s="83"/>
      <c r="AI142" s="83"/>
      <c r="AJ142" s="153"/>
      <c r="AK142" s="68"/>
      <c r="AL142" s="68"/>
      <c r="AM142" s="231" t="str">
        <f>IF([3]回答表!F18="簡易水道事業",IF([3]回答表!X51="●",[3]回答表!Y228,IF([3]回答表!AA51="●",[3]回答表!Y308,"")),"")</f>
        <v/>
      </c>
      <c r="AN142" s="231"/>
      <c r="AO142" s="231"/>
      <c r="AP142" s="231"/>
      <c r="AQ142" s="231"/>
      <c r="AR142" s="231"/>
      <c r="AS142" s="231" t="str">
        <f>IF([3]回答表!F18="簡易水道事業",IF([3]回答表!X51="●",[3]回答表!Y229,IF([3]回答表!AA51="●",[3]回答表!Y309,"")),"")</f>
        <v/>
      </c>
      <c r="AT142" s="231"/>
      <c r="AU142" s="231"/>
      <c r="AV142" s="231"/>
      <c r="AW142" s="231"/>
      <c r="AX142" s="231"/>
      <c r="AY142" s="231" t="str">
        <f>IF([3]回答表!F18="簡易水道事業",IF([3]回答表!X51="●",[3]回答表!Y230,IF([3]回答表!AA51="●",[3]回答表!Y310,"")),"")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IF([3]回答表!F18="簡易水道事業",IF([3]回答表!X51="●",[3]回答表!E265,IF([3]回答表!AA51="●",[3]回答表!E344,"")),"")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IF([3]回答表!F18="簡易水道事業",IF([3]回答表!X51="●",[3]回答表!B267,IF([3]回答表!AA51="●",[3]回答表!B346,"")),"")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IF([3]回答表!F18="簡易水道事業",IF([3]回答表!AD51="●","●",""),"")</f>
        <v/>
      </c>
      <c r="O154" s="131"/>
      <c r="P154" s="131"/>
      <c r="Q154" s="132"/>
      <c r="R154" s="119"/>
      <c r="S154" s="119"/>
      <c r="T154" s="119"/>
      <c r="U154" s="133" t="str">
        <f>IF([3]回答表!F18="簡易水道事業",IF([3]回答表!AD51="●",[3]回答表!B354,""),"")</f>
        <v/>
      </c>
      <c r="V154" s="134"/>
      <c r="W154" s="134"/>
      <c r="X154" s="134"/>
      <c r="Y154" s="134"/>
      <c r="Z154" s="134"/>
      <c r="AA154" s="134"/>
      <c r="AB154" s="134"/>
      <c r="AC154" s="134"/>
      <c r="AD154" s="134"/>
      <c r="AE154" s="134"/>
      <c r="AF154" s="134"/>
      <c r="AG154" s="134"/>
      <c r="AH154" s="134"/>
      <c r="AI154" s="134"/>
      <c r="AJ154" s="135"/>
      <c r="AK154" s="189"/>
      <c r="AL154" s="189"/>
      <c r="AM154" s="133" t="str">
        <f>IF([3]回答表!F18="簡易水道事業",IF([3]回答表!AD51="●",[3]回答表!B360,""),"")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IF([3]回答表!F18="下水道事業",IF([3]回答表!X51="●","●",""),"")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IF([3]回答表!F18="下水道事業",IF([3]回答表!X51="●",[3]回答表!B197,IF([3]回答表!AA51="●",[3]回答表!B275,"")),"")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IF([3]回答表!F18="下水道事業",IF([3]回答表!X51="●",[3]回答表!B256,IF([3]回答表!AA51="●",[3]回答表!B335,"")),"")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IF([3]回答表!F18="下水道事業",IF([3]回答表!X51="●",[3]回答表!N234,IF([3]回答表!AA51="●",[3]回答表!N314,"")),"")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IF([3]回答表!F18="下水道事業",IF([3]回答表!X51="●",[3]回答表!E256,IF([3]回答表!AA51="●",[3]回答表!E335,"")),"")</f>
        <v/>
      </c>
      <c r="BG169" s="151"/>
      <c r="BH169" s="151"/>
      <c r="BI169" s="151"/>
      <c r="BJ169" s="150" t="str">
        <f>IF([3]回答表!F18="下水道事業",IF([3]回答表!X51="●",[3]回答表!E257,IF([3]回答表!AA51="●",[3]回答表!E336,"")),"")</f>
        <v/>
      </c>
      <c r="BK169" s="151"/>
      <c r="BL169" s="151"/>
      <c r="BM169" s="151"/>
      <c r="BN169" s="150" t="str">
        <f>IF([3]回答表!F18="下水道事業",IF([3]回答表!X51="●",[3]回答表!E258,IF([3]回答表!AA51="●",[3]回答表!E337,"")),"")</f>
        <v/>
      </c>
      <c r="BO169" s="151"/>
      <c r="BP169" s="151"/>
      <c r="BQ169" s="152"/>
      <c r="BR169" s="112"/>
      <c r="BX169" s="234" t="str">
        <f>IF([3]回答表!AQ21="下水道事業",IF([3]回答表!BI54="○",[3]回答表!AM200,IF([3]回答表!BL54="○",[3]回答表!AM278,"")),"")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IF([3]回答表!F18="下水道事業",IF([3]回答表!X51="●",[3]回答表!Y236,IF([3]回答表!AA51="●",[3]回答表!Y316,"")),"")</f>
        <v/>
      </c>
      <c r="V174" s="83"/>
      <c r="W174" s="83"/>
      <c r="X174" s="83"/>
      <c r="Y174" s="83"/>
      <c r="Z174" s="83"/>
      <c r="AA174" s="83"/>
      <c r="AB174" s="153"/>
      <c r="AC174" s="82" t="str">
        <f>IF([3]回答表!F18="下水道事業",IF([3]回答表!X51="●",[3]回答表!Y237,IF([3]回答表!AA51="●",[3]回答表!Y317,"")),"")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IF([3]回答表!F18="下水道事業",IF([3]回答表!X51="●",[3]回答表!Y239,IF([3]回答表!AA51="●",[3]回答表!Y319,"")),"")</f>
        <v/>
      </c>
      <c r="V180" s="83"/>
      <c r="W180" s="83"/>
      <c r="X180" s="83"/>
      <c r="Y180" s="83"/>
      <c r="Z180" s="83"/>
      <c r="AA180" s="83"/>
      <c r="AB180" s="153"/>
      <c r="AC180" s="82" t="str">
        <f>IF([3]回答表!F18="下水道事業",IF([3]回答表!X51="●",[3]回答表!Y240,IF([3]回答表!AA51="●",[3]回答表!Y320,"")),"")</f>
        <v/>
      </c>
      <c r="AD180" s="83"/>
      <c r="AE180" s="83"/>
      <c r="AF180" s="83"/>
      <c r="AG180" s="83"/>
      <c r="AH180" s="83"/>
      <c r="AI180" s="83"/>
      <c r="AJ180" s="153"/>
      <c r="AK180" s="82" t="str">
        <f>IF([3]回答表!F18="下水道事業",IF([3]回答表!X51="●",[3]回答表!Y241,IF([3]回答表!AA51="●",[3]回答表!Y321,"")),"")</f>
        <v/>
      </c>
      <c r="AL180" s="83"/>
      <c r="AM180" s="83"/>
      <c r="AN180" s="83"/>
      <c r="AO180" s="83"/>
      <c r="AP180" s="83"/>
      <c r="AQ180" s="83"/>
      <c r="AR180" s="153"/>
      <c r="AS180" s="82" t="str">
        <f>IF([3]回答表!F18="下水道事業",IF([3]回答表!X51="●",[3]回答表!Y242,IF([3]回答表!AA51="●",[3]回答表!Y322,"")),"")</f>
        <v/>
      </c>
      <c r="AT180" s="83"/>
      <c r="AU180" s="83"/>
      <c r="AV180" s="83"/>
      <c r="AW180" s="83"/>
      <c r="AX180" s="83"/>
      <c r="AY180" s="83"/>
      <c r="AZ180" s="153"/>
      <c r="BA180" s="82" t="str">
        <f>IF([3]回答表!F18="下水道事業",IF([3]回答表!X51="●",[3]回答表!Y243,IF([3]回答表!AA51="●",[3]回答表!Y323,"")),"")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IF([3]回答表!F18="下水道事業",IF([3]回答表!AA51="●","●",""),"")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IF([3]回答表!F18="下水道事業",IF([3]回答表!X51="●",[3]回答表!N248,IF([3]回答表!AA51="●",[3]回答表!N328,"")),"")</f>
        <v/>
      </c>
      <c r="V186" s="83"/>
      <c r="W186" s="83"/>
      <c r="X186" s="83"/>
      <c r="Y186" s="83"/>
      <c r="Z186" s="83"/>
      <c r="AA186" s="83"/>
      <c r="AB186" s="153"/>
      <c r="AC186" s="82" t="str">
        <f>IF([3]回答表!F18="下水道事業",IF([3]回答表!X51="●",[3]回答表!N249,IF([3]回答表!AA51="●",[3]回答表!N329,"")),"")</f>
        <v/>
      </c>
      <c r="AD186" s="83"/>
      <c r="AE186" s="83"/>
      <c r="AF186" s="83"/>
      <c r="AG186" s="83"/>
      <c r="AH186" s="83"/>
      <c r="AI186" s="83"/>
      <c r="AJ186" s="153"/>
      <c r="AK186" s="82" t="str">
        <f>IF([3]回答表!F18="下水道事業",IF([3]回答表!X51="●",[3]回答表!N250,IF([3]回答表!AA51="●",[3]回答表!N330,"")),"")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IF([3]回答表!F18="下水道事業",IF([3]回答表!X51="●",[3]回答表!E265,IF([3]回答表!AA51="●",[3]回答表!E344,"")),"")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IF([3]回答表!F18="下水道事業",IF([3]回答表!X51="●",[3]回答表!B267,IF([3]回答表!AA51="●",[3]回答表!B346,"")),"")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IF([3]回答表!F18="下水道事業",IF([3]回答表!AD51="●","●",""),"")</f>
        <v/>
      </c>
      <c r="O198" s="131"/>
      <c r="P198" s="131"/>
      <c r="Q198" s="132"/>
      <c r="R198" s="119"/>
      <c r="S198" s="119"/>
      <c r="T198" s="119"/>
      <c r="U198" s="133" t="str">
        <f>IF([3]回答表!F18="下水道事業",IF([3]回答表!AD51="●",[3]回答表!B354,""),"")</f>
        <v/>
      </c>
      <c r="V198" s="134"/>
      <c r="W198" s="134"/>
      <c r="X198" s="134"/>
      <c r="Y198" s="134"/>
      <c r="Z198" s="134"/>
      <c r="AA198" s="134"/>
      <c r="AB198" s="134"/>
      <c r="AC198" s="134"/>
      <c r="AD198" s="134"/>
      <c r="AE198" s="134"/>
      <c r="AF198" s="134"/>
      <c r="AG198" s="134"/>
      <c r="AH198" s="134"/>
      <c r="AI198" s="134"/>
      <c r="AJ198" s="135"/>
      <c r="AK198" s="189"/>
      <c r="AL198" s="189"/>
      <c r="AM198" s="133" t="str">
        <f>IF([3]回答表!F18="下水道事業",IF([3]回答表!AD51="●",[3]回答表!B360,""),"")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IF([3]回答表!BD18="●",IF([3]回答表!X51="●","●",""),"")</f>
        <v/>
      </c>
      <c r="O210" s="131"/>
      <c r="P210" s="131"/>
      <c r="Q210" s="132"/>
      <c r="R210" s="119"/>
      <c r="S210" s="119"/>
      <c r="T210" s="119"/>
      <c r="U210" s="133" t="str">
        <f>IF([3]回答表!BD18="●",IF([3]回答表!X51="●",[3]回答表!B197,IF([3]回答表!AA51="●",[3]回答表!B275,"")),"")</f>
        <v/>
      </c>
      <c r="V210" s="134"/>
      <c r="W210" s="134"/>
      <c r="X210" s="134"/>
      <c r="Y210" s="134"/>
      <c r="Z210" s="134"/>
      <c r="AA210" s="134"/>
      <c r="AB210" s="134"/>
      <c r="AC210" s="134"/>
      <c r="AD210" s="134"/>
      <c r="AE210" s="134"/>
      <c r="AF210" s="134"/>
      <c r="AG210" s="134"/>
      <c r="AH210" s="134"/>
      <c r="AI210" s="134"/>
      <c r="AJ210" s="135"/>
      <c r="AK210" s="136"/>
      <c r="AL210" s="136"/>
      <c r="AM210" s="138" t="str">
        <f>IF([3]回答表!BD18="●",IF([3]回答表!X51="●",[3]回答表!B256,IF([3]回答表!AA51="●",[3]回答表!B335,"")),"")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IF([3]回答表!BD18="●",IF([3]回答表!X51="●",[3]回答表!E256,IF([3]回答表!AA51="●",[3]回答表!E335,"")),"")</f>
        <v/>
      </c>
      <c r="AN213" s="151"/>
      <c r="AO213" s="151"/>
      <c r="AP213" s="151"/>
      <c r="AQ213" s="150" t="str">
        <f>IF([3]回答表!BD18="●",IF([3]回答表!X51="●",[3]回答表!E257,IF([3]回答表!AA51="●",[3]回答表!E336,"")),"")</f>
        <v/>
      </c>
      <c r="AR213" s="151"/>
      <c r="AS213" s="151"/>
      <c r="AT213" s="151"/>
      <c r="AU213" s="150" t="str">
        <f>IF([3]回答表!BD18="●",IF([3]回答表!X51="●",[3]回答表!E258,IF([3]回答表!AA51="●",[3]回答表!E337,"")),"")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IF([3]回答表!BD18="●",IF([3]回答表!AA51="●","●",""),"")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IF([3]回答表!BD18="●",IF([3]回答表!X51="●",[3]回答表!E265,IF([3]回答表!AA51="●",[3]回答表!E344,"")),"")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IF([3]回答表!BD18="●",IF([3]回答表!X51="●",[3]回答表!B267,IF([3]回答表!AA51="●",[3]回答表!B346,"")),"")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IF([3]回答表!BD18="●",IF([3]回答表!AD51="●","●",""),"")</f>
        <v/>
      </c>
      <c r="O229" s="131"/>
      <c r="P229" s="131"/>
      <c r="Q229" s="132"/>
      <c r="R229" s="119"/>
      <c r="S229" s="119"/>
      <c r="T229" s="119"/>
      <c r="U229" s="133" t="str">
        <f>IF([3]回答表!BD18="●",IF([3]回答表!AD51="●",[3]回答表!B354,""),"")</f>
        <v/>
      </c>
      <c r="V229" s="134"/>
      <c r="W229" s="134"/>
      <c r="X229" s="134"/>
      <c r="Y229" s="134"/>
      <c r="Z229" s="134"/>
      <c r="AA229" s="134"/>
      <c r="AB229" s="134"/>
      <c r="AC229" s="134"/>
      <c r="AD229" s="134"/>
      <c r="AE229" s="134"/>
      <c r="AF229" s="134"/>
      <c r="AG229" s="134"/>
      <c r="AH229" s="134"/>
      <c r="AI229" s="134"/>
      <c r="AJ229" s="135"/>
      <c r="AK229" s="249"/>
      <c r="AL229" s="249"/>
      <c r="AM229" s="133" t="str">
        <f>IF([3]回答表!BD18="●",IF([3]回答表!AD51="●",[3]回答表!B360,""),"")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IF([3]回答表!X52="●","●","")</f>
        <v/>
      </c>
      <c r="O241" s="131"/>
      <c r="P241" s="131"/>
      <c r="Q241" s="132"/>
      <c r="R241" s="119"/>
      <c r="S241" s="119"/>
      <c r="T241" s="119"/>
      <c r="U241" s="133" t="str">
        <f>IF([3]回答表!X52="●",[3]回答表!B371,IF([3]回答表!AA52="●",[3]回答表!B396,""))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IF([3]回答表!X52="●",[3]回答表!U377,IF([3]回答表!AA52="●",[3]回答表!U402,""))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IF([3]回答表!X52="●",[3]回答表!G377,IF([3]回答表!AA52="●",[3]回答表!G402,""))</f>
        <v/>
      </c>
      <c r="AN244" s="83"/>
      <c r="AO244" s="83"/>
      <c r="AP244" s="83"/>
      <c r="AQ244" s="83"/>
      <c r="AR244" s="83"/>
      <c r="AS244" s="83"/>
      <c r="AT244" s="153"/>
      <c r="AU244" s="82" t="str">
        <f>IF([3]回答表!X52="●",[3]回答表!G378,IF([3]回答表!AA52="●",[3]回答表!G403,""))</f>
        <v/>
      </c>
      <c r="AV244" s="83"/>
      <c r="AW244" s="83"/>
      <c r="AX244" s="83"/>
      <c r="AY244" s="83"/>
      <c r="AZ244" s="83"/>
      <c r="BA244" s="83"/>
      <c r="BB244" s="153"/>
      <c r="BC244" s="120"/>
      <c r="BD244" s="109"/>
      <c r="BE244" s="109"/>
      <c r="BF244" s="150" t="str">
        <f>IF([3]回答表!X52="●",[3]回答表!X377,IF([3]回答表!AA52="●",[3]回答表!X402,""))</f>
        <v/>
      </c>
      <c r="BG244" s="151"/>
      <c r="BH244" s="151"/>
      <c r="BI244" s="151"/>
      <c r="BJ244" s="150" t="str">
        <f>IF([3]回答表!X52="●",[3]回答表!X378,IF([3]回答表!AA52="●",[3]回答表!X403,""))</f>
        <v/>
      </c>
      <c r="BK244" s="151"/>
      <c r="BL244" s="151"/>
      <c r="BM244" s="152"/>
      <c r="BN244" s="150" t="str">
        <f>IF([3]回答表!X52="●",[3]回答表!X379,IF([3]回答表!AA52="●",[3]回答表!X404,""))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IF([3]回答表!X52="●",[3]回答表!E386,IF([3]回答表!AA52="●",[3]回答表!E407,""))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IF([3]回答表!X52="●",[3]回答表!B388,IF([3]回答表!AA52="●",[3]回答表!B409,""))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IF([3]回答表!AD52="●","●","")</f>
        <v/>
      </c>
      <c r="O260" s="131"/>
      <c r="P260" s="131"/>
      <c r="Q260" s="132"/>
      <c r="R260" s="119"/>
      <c r="S260" s="119"/>
      <c r="T260" s="119"/>
      <c r="U260" s="133" t="str">
        <f>IF([3]回答表!AD52="●",[3]回答表!B417,"")</f>
        <v/>
      </c>
      <c r="V260" s="134"/>
      <c r="W260" s="134"/>
      <c r="X260" s="134"/>
      <c r="Y260" s="134"/>
      <c r="Z260" s="134"/>
      <c r="AA260" s="134"/>
      <c r="AB260" s="134"/>
      <c r="AC260" s="134"/>
      <c r="AD260" s="134"/>
      <c r="AE260" s="134"/>
      <c r="AF260" s="134"/>
      <c r="AG260" s="134"/>
      <c r="AH260" s="134"/>
      <c r="AI260" s="134"/>
      <c r="AJ260" s="135"/>
      <c r="AK260" s="249"/>
      <c r="AL260" s="249"/>
      <c r="AM260" s="133" t="str">
        <f>IF([3]回答表!AD52="●",[3]回答表!B423,"")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IF([3]回答表!X53="●","●","")</f>
        <v/>
      </c>
      <c r="O272" s="131"/>
      <c r="P272" s="131"/>
      <c r="Q272" s="132"/>
      <c r="R272" s="119"/>
      <c r="S272" s="119"/>
      <c r="T272" s="119"/>
      <c r="U272" s="133" t="str">
        <f>IF([3]回答表!X53="●",[3]回答表!B434,IF([3]回答表!AA53="●",[3]回答表!B465,""))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IF([3]回答表!X53="●",[3]回答表!B440,"")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IF([3]回答表!X53="●",[3]回答表!B446,IF([3]回答表!AA53="●",[3]回答表!B471,""))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IF([3]回答表!X53="●",[3]回答表!E446,IF([3]回答表!AA53="●",[3]回答表!E471,""))</f>
        <v/>
      </c>
      <c r="BG275" s="151"/>
      <c r="BH275" s="151"/>
      <c r="BI275" s="151"/>
      <c r="BJ275" s="150" t="str">
        <f>IF([3]回答表!X53="●",[3]回答表!E447,IF([3]回答表!AA53="●",[3]回答表!E472,""))</f>
        <v/>
      </c>
      <c r="BK275" s="151"/>
      <c r="BL275" s="151"/>
      <c r="BM275" s="152"/>
      <c r="BN275" s="150" t="str">
        <f>IF([3]回答表!X53="●",[3]回答表!E448,IF([3]回答表!AA53="●",[3]回答表!E473,""))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IF([3]回答表!X53="●",[3]回答表!E455,IF([3]回答表!AA53="●",[3]回答表!E476,""))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IF([3]回答表!X53="●",[3]回答表!B457,IF([3]回答表!AA53="●",[3]回答表!B478,""))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IF([3]回答表!AD53="●","●","")</f>
        <v/>
      </c>
      <c r="O291" s="131"/>
      <c r="P291" s="131"/>
      <c r="Q291" s="132"/>
      <c r="R291" s="119"/>
      <c r="S291" s="119"/>
      <c r="T291" s="119"/>
      <c r="U291" s="133" t="str">
        <f>IF([3]回答表!AD53="●",[3]回答表!B486,"")</f>
        <v/>
      </c>
      <c r="V291" s="134"/>
      <c r="W291" s="134"/>
      <c r="X291" s="134"/>
      <c r="Y291" s="134"/>
      <c r="Z291" s="134"/>
      <c r="AA291" s="134"/>
      <c r="AB291" s="134"/>
      <c r="AC291" s="134"/>
      <c r="AD291" s="134"/>
      <c r="AE291" s="134"/>
      <c r="AF291" s="134"/>
      <c r="AG291" s="134"/>
      <c r="AH291" s="134"/>
      <c r="AI291" s="134"/>
      <c r="AJ291" s="135"/>
      <c r="AK291" s="249"/>
      <c r="AL291" s="249"/>
      <c r="AM291" s="133" t="str">
        <f>IF([3]回答表!AD53="●",[3]回答表!B492,"")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IF([3]回答表!X54="●","●","")</f>
        <v/>
      </c>
      <c r="O303" s="131"/>
      <c r="P303" s="131"/>
      <c r="Q303" s="132"/>
      <c r="R303" s="119"/>
      <c r="S303" s="119"/>
      <c r="T303" s="119"/>
      <c r="U303" s="133" t="str">
        <f>IF([3]回答表!X54="●",[3]回答表!B503,IF([3]回答表!AA54="●",[3]回答表!B526,""))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IF([3]回答表!X54="●",[3]回答表!BC510,IF([3]回答表!AA54="●",[3]回答表!BC533,""))</f>
        <v/>
      </c>
      <c r="AR303" s="271"/>
      <c r="AS303" s="271"/>
      <c r="AT303" s="271"/>
      <c r="AU303" s="272" t="s">
        <v>74</v>
      </c>
      <c r="AV303" s="273"/>
      <c r="AW303" s="273"/>
      <c r="AX303" s="274"/>
      <c r="AY303" s="271" t="str">
        <f>IF([3]回答表!X54="●",[3]回答表!BC515,IF([3]回答表!AA54="●",[3]回答表!BC538,""))</f>
        <v/>
      </c>
      <c r="AZ303" s="271"/>
      <c r="BA303" s="271"/>
      <c r="BB303" s="271"/>
      <c r="BC303" s="120"/>
      <c r="BD303" s="109"/>
      <c r="BE303" s="109"/>
      <c r="BF303" s="138" t="str">
        <f>IF([3]回答表!X54="●",[3]回答表!S509,IF([3]回答表!AA54="●",[3]回答表!S532,""))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IF([3]回答表!X54="●",[3]回答表!BC511,IF([3]回答表!AA54="●",[3]回答表!BC534,""))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IF([3]回答表!X54="●",[3]回答表!V509,IF([3]回答表!AA54="●",[3]回答表!V532,""))</f>
        <v/>
      </c>
      <c r="BG306" s="151"/>
      <c r="BH306" s="151"/>
      <c r="BI306" s="151"/>
      <c r="BJ306" s="150" t="str">
        <f>IF([3]回答表!X54="●",[3]回答表!V510,IF([3]回答表!AA54="●",[3]回答表!V533,""))</f>
        <v/>
      </c>
      <c r="BK306" s="151"/>
      <c r="BL306" s="151"/>
      <c r="BM306" s="152"/>
      <c r="BN306" s="150" t="str">
        <f>IF([3]回答表!X54="●",[3]回答表!V511,IF([3]回答表!AA54="●",[3]回答表!V534,""))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IF([3]回答表!X54="●",[3]回答表!BC512,IF([3]回答表!AA54="●",[3]回答表!BC535,""))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IF([3]回答表!X54="●",[3]回答表!BC516,IF([3]回答表!AA54="●",[3]回答表!BC539,""))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IF([3]回答表!X54="●",[3]回答表!BC513,IF([3]回答表!AA54="●",[3]回答表!BC536,""))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IF([3]回答表!X54="●",[3]回答表!BC514,IF([3]回答表!AA54="●",[3]回答表!BC537,""))</f>
        <v/>
      </c>
      <c r="AR311" s="271"/>
      <c r="AS311" s="271"/>
      <c r="AT311" s="271"/>
      <c r="AU311" s="222" t="s">
        <v>80</v>
      </c>
      <c r="AV311" s="223"/>
      <c r="AW311" s="223"/>
      <c r="AX311" s="224"/>
      <c r="AY311" s="281" t="str">
        <f>IF([3]回答表!X54="●",[3]回答表!BC517,IF([3]回答表!AA54="●",[3]回答表!BC540,""))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IF([3]回答表!X54="●",[3]回答表!E516,IF([3]回答表!AA54="●",[3]回答表!E538,""))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IF([3]回答表!X54="●",[3]回答表!B518,IF([3]回答表!AA54="●",[3]回答表!B540,""))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IF([3]回答表!AD54="●","●","")</f>
        <v/>
      </c>
      <c r="O322" s="131"/>
      <c r="P322" s="131"/>
      <c r="Q322" s="132"/>
      <c r="R322" s="119"/>
      <c r="S322" s="119"/>
      <c r="T322" s="119"/>
      <c r="U322" s="133" t="str">
        <f>IF([3]回答表!AD54="●",[3]回答表!B548,"")</f>
        <v/>
      </c>
      <c r="V322" s="134"/>
      <c r="W322" s="134"/>
      <c r="X322" s="134"/>
      <c r="Y322" s="134"/>
      <c r="Z322" s="134"/>
      <c r="AA322" s="134"/>
      <c r="AB322" s="134"/>
      <c r="AC322" s="134"/>
      <c r="AD322" s="134"/>
      <c r="AE322" s="134"/>
      <c r="AF322" s="134"/>
      <c r="AG322" s="134"/>
      <c r="AH322" s="134"/>
      <c r="AI322" s="134"/>
      <c r="AJ322" s="135"/>
      <c r="AK322" s="189"/>
      <c r="AL322" s="189"/>
      <c r="AM322" s="133" t="str">
        <f>IF([3]回答表!AD54="●",[3]回答表!B554,"")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IF([3]回答表!X55="●","●","")</f>
        <v/>
      </c>
      <c r="O333" s="131"/>
      <c r="P333" s="131"/>
      <c r="Q333" s="132"/>
      <c r="R333" s="119"/>
      <c r="S333" s="119"/>
      <c r="T333" s="119"/>
      <c r="U333" s="133" t="str">
        <f>IF([3]回答表!X55="●",[3]回答表!B565,IF([3]回答表!AA55="●",[3]回答表!B590,""))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IF([3]回答表!X55="●",[3]回答表!B575,IF([3]回答表!AA55="●",[3]回答表!B600,""))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IF([3]回答表!X55="●",[3]回答表!G571,IF([3]回答表!AA55="●",[3]回答表!G596,""))</f>
        <v/>
      </c>
      <c r="AN335" s="83"/>
      <c r="AO335" s="83"/>
      <c r="AP335" s="83"/>
      <c r="AQ335" s="83"/>
      <c r="AR335" s="83"/>
      <c r="AS335" s="83"/>
      <c r="AT335" s="153"/>
      <c r="AU335" s="82" t="str">
        <f>IF([3]回答表!X55="●",[3]回答表!G572,IF([3]回答表!AA55="●",[3]回答表!G597,""))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IF([3]回答表!X55="●",[3]回答表!E575,IF([3]回答表!AA55="●",[3]回答表!E600,""))</f>
        <v/>
      </c>
      <c r="BG336" s="151"/>
      <c r="BH336" s="151"/>
      <c r="BI336" s="151"/>
      <c r="BJ336" s="150" t="str">
        <f>IF([3]回答表!X55="●",[3]回答表!E576,IF([3]回答表!AA55="●",[3]回答表!E601,""))</f>
        <v/>
      </c>
      <c r="BK336" s="151"/>
      <c r="BL336" s="151"/>
      <c r="BM336" s="152"/>
      <c r="BN336" s="150" t="str">
        <f>IF([3]回答表!X55="●",[3]回答表!E577,IF([3]回答表!AA55="●",[3]回答表!E602,""))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IF([3]回答表!X55="●",[3]回答表!E580,IF([3]回答表!AA55="●",[3]回答表!E605,""))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IF([3]回答表!X55="●",[3]回答表!B582,IF([3]回答表!AA55="●",[3]回答表!B607,""))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IF([3]回答表!AD55="●","●","")</f>
        <v/>
      </c>
      <c r="O352" s="131"/>
      <c r="P352" s="131"/>
      <c r="Q352" s="132"/>
      <c r="R352" s="119"/>
      <c r="S352" s="119"/>
      <c r="T352" s="119"/>
      <c r="U352" s="133" t="str">
        <f>IF([3]回答表!AD55="●",[3]回答表!B615,"")</f>
        <v/>
      </c>
      <c r="V352" s="134"/>
      <c r="W352" s="134"/>
      <c r="X352" s="134"/>
      <c r="Y352" s="134"/>
      <c r="Z352" s="134"/>
      <c r="AA352" s="134"/>
      <c r="AB352" s="134"/>
      <c r="AC352" s="134"/>
      <c r="AD352" s="134"/>
      <c r="AE352" s="134"/>
      <c r="AF352" s="134"/>
      <c r="AG352" s="134"/>
      <c r="AH352" s="134"/>
      <c r="AI352" s="134"/>
      <c r="AJ352" s="135"/>
      <c r="AK352" s="136"/>
      <c r="AL352" s="136"/>
      <c r="AM352" s="133" t="str">
        <f>IF([3]回答表!AD55="●",[3]回答表!B621,"")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IF([3]回答表!R56="●",[3]回答表!B634,"")</f>
        <v>　現在、当市において、特定地域排水処理施設の事業については完了しており、市町村設置型の浄化槽の維持管理を行っている。健全な事業運営が実施できているため現行の経営体制・手法で継続していく予定であ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D359-8E64-4979-852C-14CC1F77E4A9}">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IF(COUNTIF([4]回答表!K16,"*")&gt;0,[4]回答表!K16,"")</f>
        <v>大仙市</v>
      </c>
      <c r="D11" s="8"/>
      <c r="E11" s="8"/>
      <c r="F11" s="8"/>
      <c r="G11" s="8"/>
      <c r="H11" s="8"/>
      <c r="I11" s="8"/>
      <c r="J11" s="8"/>
      <c r="K11" s="8"/>
      <c r="L11" s="8"/>
      <c r="M11" s="8"/>
      <c r="N11" s="8"/>
      <c r="O11" s="8"/>
      <c r="P11" s="8"/>
      <c r="Q11" s="8"/>
      <c r="R11" s="8"/>
      <c r="S11" s="8"/>
      <c r="T11" s="8"/>
      <c r="U11" s="22" t="str">
        <f>IF(COUNTIF([4]回答表!F18,"*")&gt;0,[4]回答表!F18,"")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IF(COUNTIF([4]回答表!W18,"*")&gt;0,[4]回答表!W18,"")</f>
        <v>特定環境保全公共下水道</v>
      </c>
      <c r="AP11" s="10"/>
      <c r="AQ11" s="10"/>
      <c r="AR11" s="10"/>
      <c r="AS11" s="10"/>
      <c r="AT11" s="10"/>
      <c r="AU11" s="10"/>
      <c r="AV11" s="10"/>
      <c r="AW11" s="10"/>
      <c r="AX11" s="10"/>
      <c r="AY11" s="10"/>
      <c r="AZ11" s="10"/>
      <c r="BA11" s="10"/>
      <c r="BB11" s="10"/>
      <c r="BC11" s="10"/>
      <c r="BD11" s="10"/>
      <c r="BE11" s="10"/>
      <c r="BF11" s="11"/>
      <c r="BG11" s="21" t="str">
        <f>IF(COUNTIF([4]回答表!F20,"*")&gt;0,[4]回答表!F20,"")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IF([4]回答表!R49="●","●","")</f>
        <v/>
      </c>
      <c r="E24" s="80"/>
      <c r="F24" s="80"/>
      <c r="G24" s="80"/>
      <c r="H24" s="80"/>
      <c r="I24" s="80"/>
      <c r="J24" s="81"/>
      <c r="K24" s="79" t="str">
        <f>IF([4]回答表!R50="●","●","")</f>
        <v/>
      </c>
      <c r="L24" s="80"/>
      <c r="M24" s="80"/>
      <c r="N24" s="80"/>
      <c r="O24" s="80"/>
      <c r="P24" s="80"/>
      <c r="Q24" s="81"/>
      <c r="R24" s="79" t="str">
        <f>IF([4]回答表!R51="●","●","")</f>
        <v>●</v>
      </c>
      <c r="S24" s="80"/>
      <c r="T24" s="80"/>
      <c r="U24" s="80"/>
      <c r="V24" s="80"/>
      <c r="W24" s="80"/>
      <c r="X24" s="81"/>
      <c r="Y24" s="79" t="str">
        <f>IF([4]回答表!R52="●","●","")</f>
        <v/>
      </c>
      <c r="Z24" s="80"/>
      <c r="AA24" s="80"/>
      <c r="AB24" s="80"/>
      <c r="AC24" s="80"/>
      <c r="AD24" s="80"/>
      <c r="AE24" s="81"/>
      <c r="AF24" s="79" t="str">
        <f>IF([4]回答表!R53="●","●","")</f>
        <v/>
      </c>
      <c r="AG24" s="80"/>
      <c r="AH24" s="80"/>
      <c r="AI24" s="80"/>
      <c r="AJ24" s="80"/>
      <c r="AK24" s="80"/>
      <c r="AL24" s="81"/>
      <c r="AM24" s="79" t="str">
        <f>IF([4]回答表!R54="●","●","")</f>
        <v/>
      </c>
      <c r="AN24" s="80"/>
      <c r="AO24" s="80"/>
      <c r="AP24" s="80"/>
      <c r="AQ24" s="80"/>
      <c r="AR24" s="80"/>
      <c r="AS24" s="81"/>
      <c r="AT24" s="79" t="str">
        <f>IF([4]回答表!R55="●","●","")</f>
        <v/>
      </c>
      <c r="AU24" s="80"/>
      <c r="AV24" s="80"/>
      <c r="AW24" s="80"/>
      <c r="AX24" s="80"/>
      <c r="AY24" s="80"/>
      <c r="AZ24" s="81"/>
      <c r="BA24" s="68"/>
      <c r="BB24" s="82" t="str">
        <f>IF([4]回答表!R56="●","●","")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IF([4]回答表!X49="●","●","")</f>
        <v/>
      </c>
      <c r="O36" s="131"/>
      <c r="P36" s="131"/>
      <c r="Q36" s="132"/>
      <c r="R36" s="119"/>
      <c r="S36" s="119"/>
      <c r="T36" s="119"/>
      <c r="U36" s="133" t="str">
        <f>IF([4]回答表!X49="●",[4]回答表!B67,IF([4]回答表!AA49="●",[4]回答表!B95,""))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IF([4]回答表!X49="●",[4]回答表!S73,IF([4]回答表!AA49="●",[4]回答表!S101,""))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IF([4]回答表!X49="●",[4]回答表!G73,IF([4]回答表!AA49="●",[4]回答表!G101,""))</f>
        <v/>
      </c>
      <c r="AN38" s="83"/>
      <c r="AO38" s="83"/>
      <c r="AP38" s="83"/>
      <c r="AQ38" s="83"/>
      <c r="AR38" s="83"/>
      <c r="AS38" s="83"/>
      <c r="AT38" s="153"/>
      <c r="AU38" s="82" t="str">
        <f>IF([4]回答表!X49="●",[4]回答表!G74,IF([4]回答表!AA49="●",[4]回答表!G102,""))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IF([4]回答表!X49="●",[4]回答表!V73,IF([4]回答表!AA49="●",[4]回答表!V101,""))</f>
        <v/>
      </c>
      <c r="BG39" s="16"/>
      <c r="BH39" s="16"/>
      <c r="BI39" s="17"/>
      <c r="BJ39" s="150" t="str">
        <f>IF([4]回答表!X49="●",[4]回答表!V74,IF([4]回答表!AA49="●",[4]回答表!V102,""))</f>
        <v/>
      </c>
      <c r="BK39" s="16"/>
      <c r="BL39" s="16"/>
      <c r="BM39" s="17"/>
      <c r="BN39" s="150" t="str">
        <f>IF([4]回答表!X49="●",[4]回答表!V75,IF([4]回答表!AA49="●",[4]回答表!V103,""))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IF([4]回答表!X49="●",[4]回答表!O79,IF([4]回答表!AA49="●",[4]回答表!O107,""))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IF([4]回答表!X49="●",[4]回答表!O80,IF([4]回答表!AA49="●",[4]回答表!O108,""))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IF([4]回答表!X49="●",[4]回答表!O81,IF([4]回答表!AA49="●",[4]回答表!O109,""))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IF([4]回答表!X49="●",[4]回答表!O82,IF([4]回答表!AA49="●",[4]回答表!O110,""))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IF([4]回答表!X49="●",[4]回答表!AG79,IF([4]回答表!AA49="●",[4]回答表!AG107,""))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IF([4]回答表!X49="●",[4]回答表!AG80,IF([4]回答表!AA49="●",[4]回答表!AG108,""))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IF([4]回答表!X49="●",[4]回答表!E85,IF([4]回答表!AA49="●",[4]回答表!E113,""))</f>
        <v/>
      </c>
      <c r="V50" s="182"/>
      <c r="W50" s="182"/>
      <c r="X50" s="182"/>
      <c r="Y50" s="182"/>
      <c r="Z50" s="182"/>
      <c r="AA50" s="182"/>
      <c r="AB50" s="182"/>
      <c r="AC50" s="182"/>
      <c r="AD50" s="182"/>
      <c r="AE50" s="183" t="s">
        <v>33</v>
      </c>
      <c r="AF50" s="183"/>
      <c r="AG50" s="183"/>
      <c r="AH50" s="183"/>
      <c r="AI50" s="183"/>
      <c r="AJ50" s="184"/>
      <c r="AK50" s="136"/>
      <c r="AL50" s="136"/>
      <c r="AM50" s="133" t="str">
        <f>IF([4]回答表!X49="●",[4]回答表!B87,IF([4]回答表!AA49="●",[4]回答表!B115,""))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IF([4]回答表!AD49="●","●","")</f>
        <v/>
      </c>
      <c r="O57" s="131"/>
      <c r="P57" s="131"/>
      <c r="Q57" s="132"/>
      <c r="R57" s="119"/>
      <c r="S57" s="119"/>
      <c r="T57" s="119"/>
      <c r="U57" s="133" t="str">
        <f>IF([4]回答表!AD49="●",[4]回答表!B123,"")</f>
        <v/>
      </c>
      <c r="V57" s="134"/>
      <c r="W57" s="134"/>
      <c r="X57" s="134"/>
      <c r="Y57" s="134"/>
      <c r="Z57" s="134"/>
      <c r="AA57" s="134"/>
      <c r="AB57" s="134"/>
      <c r="AC57" s="134"/>
      <c r="AD57" s="134"/>
      <c r="AE57" s="134"/>
      <c r="AF57" s="134"/>
      <c r="AG57" s="134"/>
      <c r="AH57" s="134"/>
      <c r="AI57" s="134"/>
      <c r="AJ57" s="135"/>
      <c r="AK57" s="189"/>
      <c r="AL57" s="189"/>
      <c r="AM57" s="133" t="str">
        <f>IF([4]回答表!AD49="●",[4]回答表!B128,"")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IF([4]回答表!X50="●","●","")</f>
        <v/>
      </c>
      <c r="O68" s="131"/>
      <c r="P68" s="131"/>
      <c r="Q68" s="132"/>
      <c r="R68" s="119"/>
      <c r="S68" s="119"/>
      <c r="T68" s="119"/>
      <c r="U68" s="133" t="str">
        <f>IF([4]回答表!X50="●",[4]回答表!B138,IF([4]回答表!AA50="●",[4]回答表!B159,""))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IF([4]回答表!X50="●",[4]回答表!S144,IF([4]回答表!AA50="●",[4]回答表!S165,""))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IF([4]回答表!X50="●",[4]回答表!J144,IF([4]回答表!AA50="●",[4]回答表!J165,""))</f>
        <v/>
      </c>
      <c r="AN71" s="83"/>
      <c r="AO71" s="83"/>
      <c r="AP71" s="83"/>
      <c r="AQ71" s="83"/>
      <c r="AR71" s="83"/>
      <c r="AS71" s="83"/>
      <c r="AT71" s="153"/>
      <c r="AU71" s="82" t="str">
        <f>IF([4]回答表!X50="●",[4]回答表!J145,IF([4]回答表!AA50="●",[4]回答表!J166,""))</f>
        <v/>
      </c>
      <c r="AV71" s="83"/>
      <c r="AW71" s="83"/>
      <c r="AX71" s="83"/>
      <c r="AY71" s="83"/>
      <c r="AZ71" s="83"/>
      <c r="BA71" s="83"/>
      <c r="BB71" s="153"/>
      <c r="BC71" s="120"/>
      <c r="BD71" s="109"/>
      <c r="BE71" s="109"/>
      <c r="BF71" s="150" t="str">
        <f>IF([4]回答表!X50="●",[4]回答表!V144,IF([4]回答表!AA50="●",[4]回答表!V165,""))</f>
        <v/>
      </c>
      <c r="BG71" s="151"/>
      <c r="BH71" s="151"/>
      <c r="BI71" s="151"/>
      <c r="BJ71" s="150" t="str">
        <f>IF([4]回答表!X50="●",[4]回答表!V145,IF([4]回答表!AA50="●",[4]回答表!V166,""))</f>
        <v/>
      </c>
      <c r="BK71" s="151"/>
      <c r="BL71" s="151"/>
      <c r="BM71" s="151"/>
      <c r="BN71" s="150" t="str">
        <f>IF([4]回答表!X50="●",[4]回答表!V146,IF([4]回答表!AA50="●",[4]回答表!V167,""))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IF([4]回答表!X50="●",[4]回答表!E149,IF([4]回答表!AA50="●",[4]回答表!E170,""))</f>
        <v/>
      </c>
      <c r="V80" s="182"/>
      <c r="W80" s="182"/>
      <c r="X80" s="182"/>
      <c r="Y80" s="182"/>
      <c r="Z80" s="182"/>
      <c r="AA80" s="182"/>
      <c r="AB80" s="182"/>
      <c r="AC80" s="182"/>
      <c r="AD80" s="182"/>
      <c r="AE80" s="183" t="s">
        <v>33</v>
      </c>
      <c r="AF80" s="183"/>
      <c r="AG80" s="183"/>
      <c r="AH80" s="183"/>
      <c r="AI80" s="183"/>
      <c r="AJ80" s="184"/>
      <c r="AK80" s="136"/>
      <c r="AL80" s="136"/>
      <c r="AM80" s="133" t="str">
        <f>IF([4]回答表!X50="●",[4]回答表!B151,IF([4]回答表!AA50="●",[4]回答表!B172,""))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IF([4]回答表!AD50="●","●","")</f>
        <v/>
      </c>
      <c r="O87" s="131"/>
      <c r="P87" s="131"/>
      <c r="Q87" s="132"/>
      <c r="R87" s="119"/>
      <c r="S87" s="119"/>
      <c r="T87" s="119"/>
      <c r="U87" s="133" t="str">
        <f>IF([4]回答表!AD50="●",[4]回答表!B180,"")</f>
        <v/>
      </c>
      <c r="V87" s="134"/>
      <c r="W87" s="134"/>
      <c r="X87" s="134"/>
      <c r="Y87" s="134"/>
      <c r="Z87" s="134"/>
      <c r="AA87" s="134"/>
      <c r="AB87" s="134"/>
      <c r="AC87" s="134"/>
      <c r="AD87" s="134"/>
      <c r="AE87" s="134"/>
      <c r="AF87" s="134"/>
      <c r="AG87" s="134"/>
      <c r="AH87" s="134"/>
      <c r="AI87" s="134"/>
      <c r="AJ87" s="135"/>
      <c r="AK87" s="189"/>
      <c r="AL87" s="189"/>
      <c r="AM87" s="133" t="str">
        <f>IF([4]回答表!AD50="●",[4]回答表!B186,"")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IF([4]回答表!F18="水道事業",IF([4]回答表!X51="●","●",""),"")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IF([4]回答表!F18="水道事業",IF([4]回答表!X51="●",[4]回答表!B197,IF([4]回答表!AA51="●",[4]回答表!B275,"")),"")</f>
        <v/>
      </c>
      <c r="AN99" s="134"/>
      <c r="AO99" s="134"/>
      <c r="AP99" s="134"/>
      <c r="AQ99" s="134"/>
      <c r="AR99" s="134"/>
      <c r="AS99" s="134"/>
      <c r="AT99" s="134"/>
      <c r="AU99" s="134"/>
      <c r="AV99" s="134"/>
      <c r="AW99" s="134"/>
      <c r="AX99" s="134"/>
      <c r="AY99" s="134"/>
      <c r="AZ99" s="134"/>
      <c r="BA99" s="134"/>
      <c r="BB99" s="134"/>
      <c r="BC99" s="135"/>
      <c r="BD99" s="109"/>
      <c r="BE99" s="109"/>
      <c r="BF99" s="138" t="str">
        <f>IF([4]回答表!F18="水道事業",IF([4]回答表!X51="●",[4]回答表!B256,IF([4]回答表!AA51="●",[4]回答表!B335,"")),"")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IF([4]回答表!F18="水道事業",IF([4]回答表!X51="●",[4]回答表!J205,IF([4]回答表!AA51="●",[4]回答表!J283,"")),"")</f>
        <v/>
      </c>
      <c r="V101" s="83"/>
      <c r="W101" s="83"/>
      <c r="X101" s="83"/>
      <c r="Y101" s="83"/>
      <c r="Z101" s="83"/>
      <c r="AA101" s="83"/>
      <c r="AB101" s="153"/>
      <c r="AC101" s="82" t="str">
        <f>IF([4]回答表!F18="水道事業",IF([4]回答表!X51="●",[4]回答表!J210,IF([4]回答表!AA51="●",[4]回答表!J290,"")),"")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IF([4]回答表!F18="水道事業",IF([4]回答表!X51="●",[4]回答表!E256,IF([4]回答表!AA51="●",[4]回答表!E335,"")),"")</f>
        <v/>
      </c>
      <c r="BG102" s="151"/>
      <c r="BH102" s="151"/>
      <c r="BI102" s="151"/>
      <c r="BJ102" s="150" t="str">
        <f>IF([4]回答表!F18="水道事業",IF([4]回答表!X51="●",[4]回答表!E257,IF([4]回答表!AA51="●",[4]回答表!E336,"")),"")</f>
        <v/>
      </c>
      <c r="BK102" s="151"/>
      <c r="BL102" s="151"/>
      <c r="BM102" s="151"/>
      <c r="BN102" s="150" t="str">
        <f>IF([4]回答表!F18="水道事業",IF([4]回答表!X51="●",[4]回答表!E258,IF([4]回答表!AA51="●",[4]回答表!E337,"")),"")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IF([4]回答表!F18="水道事業",IF([4]回答表!AA51="●","●",""),"")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IF([4]回答表!F18="水道事業",IF([4]回答表!X51="●",[4]回答表!J213,IF([4]回答表!AA51="●",[4]回答表!J293,"")),"")</f>
        <v/>
      </c>
      <c r="V106" s="83"/>
      <c r="W106" s="83"/>
      <c r="X106" s="83"/>
      <c r="Y106" s="83"/>
      <c r="Z106" s="83"/>
      <c r="AA106" s="83"/>
      <c r="AB106" s="153"/>
      <c r="AC106" s="82" t="str">
        <f>IF([4]回答表!F18="水道事業",IF([4]回答表!X51="●",[4]回答表!J217,IF([4]回答表!AA51="●",[4]回答表!J297,"")),"")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IF([4]回答表!F18="水道事業",IF([4]回答表!X51="●",[4]回答表!E265,IF([4]回答表!AA51="●",[4]回答表!E344,"")),"")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IF([4]回答表!F18="水道事業",IF([4]回答表!X51="●",[4]回答表!B267,IF([4]回答表!AA51="●",[4]回答表!B346,"")),"")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IF([4]回答表!F18="水道事業",IF([4]回答表!AD51="●","●",""),"")</f>
        <v/>
      </c>
      <c r="O118" s="131"/>
      <c r="P118" s="131"/>
      <c r="Q118" s="132"/>
      <c r="R118" s="119"/>
      <c r="S118" s="119"/>
      <c r="T118" s="119"/>
      <c r="U118" s="133" t="str">
        <f>IF([4]回答表!F18="水道事業",IF([4]回答表!AD51="●",[4]回答表!B354,""),"")</f>
        <v/>
      </c>
      <c r="V118" s="134"/>
      <c r="W118" s="134"/>
      <c r="X118" s="134"/>
      <c r="Y118" s="134"/>
      <c r="Z118" s="134"/>
      <c r="AA118" s="134"/>
      <c r="AB118" s="134"/>
      <c r="AC118" s="134"/>
      <c r="AD118" s="134"/>
      <c r="AE118" s="134"/>
      <c r="AF118" s="134"/>
      <c r="AG118" s="134"/>
      <c r="AH118" s="134"/>
      <c r="AI118" s="134"/>
      <c r="AJ118" s="135"/>
      <c r="AK118" s="189"/>
      <c r="AL118" s="189"/>
      <c r="AM118" s="133" t="str">
        <f>IF([4]回答表!F18="水道事業",IF([4]回答表!AD51="●",[4]回答表!B360,""),"")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IF([4]回答表!F18="簡易水道事業",IF([4]回答表!X51="●",[4]回答表!B197,IF([4]回答表!AA51="●",[4]回答表!B275,"")),"")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IF([4]回答表!F18="簡易水道事業",IF([4]回答表!X51="●",[4]回答表!B256,IF([4]回答表!AA51="●",[4]回答表!B335,"")),"")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IF([4]回答表!F18="簡易水道事業",IF([4]回答表!X51="●","●",""),"")</f>
        <v/>
      </c>
      <c r="O132" s="131"/>
      <c r="P132" s="131"/>
      <c r="Q132" s="132"/>
      <c r="R132" s="119"/>
      <c r="S132" s="119"/>
      <c r="T132" s="119"/>
      <c r="U132" s="82" t="str">
        <f>IF([4]回答表!F18="簡易水道事業",IF([4]回答表!X51="●",[4]回答表!S224,IF([4]回答表!AA51="●",[4]回答表!S304,"")),"")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IF([4]回答表!F18="簡易水道事業",IF([4]回答表!X51="●",[4]回答表!E256,IF([4]回答表!AA51="●",[4]回答表!E335,"")),"")</f>
        <v/>
      </c>
      <c r="BG133" s="151"/>
      <c r="BH133" s="151"/>
      <c r="BI133" s="151"/>
      <c r="BJ133" s="150" t="str">
        <f>IF([4]回答表!F18="簡易水道事業",IF([4]回答表!X51="●",[4]回答表!E257,IF([4]回答表!AA51="●",[4]回答表!E336,"")),"")</f>
        <v/>
      </c>
      <c r="BK133" s="151"/>
      <c r="BL133" s="151"/>
      <c r="BM133" s="151"/>
      <c r="BN133" s="150" t="str">
        <f>IF([4]回答表!F18="簡易水道事業",IF([4]回答表!X51="●",[4]回答表!E258,IF([4]回答表!AA51="●",[4]回答表!E337,"")),"")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IF([4]回答表!F18="簡易水道事業",IF([4]回答表!X51="●",[4]回答表!S225,IF([4]回答表!AA51="●",[4]回答表!S305,"")),"")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IF([4]回答表!F18="簡易水道事業",IF([4]回答表!AA51="●","●",""),"")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IF([4]回答表!F18="簡易水道事業",IF([4]回答表!X51="●",[4]回答表!S226,IF([4]回答表!AA51="●",[4]回答表!S306,"")),"")</f>
        <v/>
      </c>
      <c r="V142" s="83"/>
      <c r="W142" s="83"/>
      <c r="X142" s="83"/>
      <c r="Y142" s="83"/>
      <c r="Z142" s="83"/>
      <c r="AA142" s="83"/>
      <c r="AB142" s="83"/>
      <c r="AC142" s="83"/>
      <c r="AD142" s="83"/>
      <c r="AE142" s="83"/>
      <c r="AF142" s="83"/>
      <c r="AG142" s="83"/>
      <c r="AH142" s="83"/>
      <c r="AI142" s="83"/>
      <c r="AJ142" s="153"/>
      <c r="AK142" s="68"/>
      <c r="AL142" s="68"/>
      <c r="AM142" s="231" t="str">
        <f>IF([4]回答表!F18="簡易水道事業",IF([4]回答表!X51="●",[4]回答表!Y228,IF([4]回答表!AA51="●",[4]回答表!Y308,"")),"")</f>
        <v/>
      </c>
      <c r="AN142" s="231"/>
      <c r="AO142" s="231"/>
      <c r="AP142" s="231"/>
      <c r="AQ142" s="231"/>
      <c r="AR142" s="231"/>
      <c r="AS142" s="231" t="str">
        <f>IF([4]回答表!F18="簡易水道事業",IF([4]回答表!X51="●",[4]回答表!Y229,IF([4]回答表!AA51="●",[4]回答表!Y309,"")),"")</f>
        <v/>
      </c>
      <c r="AT142" s="231"/>
      <c r="AU142" s="231"/>
      <c r="AV142" s="231"/>
      <c r="AW142" s="231"/>
      <c r="AX142" s="231"/>
      <c r="AY142" s="231" t="str">
        <f>IF([4]回答表!F18="簡易水道事業",IF([4]回答表!X51="●",[4]回答表!Y230,IF([4]回答表!AA51="●",[4]回答表!Y310,"")),"")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IF([4]回答表!F18="簡易水道事業",IF([4]回答表!X51="●",[4]回答表!E265,IF([4]回答表!AA51="●",[4]回答表!E344,"")),"")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IF([4]回答表!F18="簡易水道事業",IF([4]回答表!X51="●",[4]回答表!B267,IF([4]回答表!AA51="●",[4]回答表!B346,"")),"")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IF([4]回答表!F18="簡易水道事業",IF([4]回答表!AD51="●","●",""),"")</f>
        <v/>
      </c>
      <c r="O154" s="131"/>
      <c r="P154" s="131"/>
      <c r="Q154" s="132"/>
      <c r="R154" s="119"/>
      <c r="S154" s="119"/>
      <c r="T154" s="119"/>
      <c r="U154" s="133" t="str">
        <f>IF([4]回答表!F18="簡易水道事業",IF([4]回答表!AD51="●",[4]回答表!B354,""),"")</f>
        <v/>
      </c>
      <c r="V154" s="134"/>
      <c r="W154" s="134"/>
      <c r="X154" s="134"/>
      <c r="Y154" s="134"/>
      <c r="Z154" s="134"/>
      <c r="AA154" s="134"/>
      <c r="AB154" s="134"/>
      <c r="AC154" s="134"/>
      <c r="AD154" s="134"/>
      <c r="AE154" s="134"/>
      <c r="AF154" s="134"/>
      <c r="AG154" s="134"/>
      <c r="AH154" s="134"/>
      <c r="AI154" s="134"/>
      <c r="AJ154" s="135"/>
      <c r="AK154" s="189"/>
      <c r="AL154" s="189"/>
      <c r="AM154" s="133" t="str">
        <f>IF([4]回答表!F18="簡易水道事業",IF([4]回答表!AD51="●",[4]回答表!B360,""),"")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IF([4]回答表!F18="下水道事業",IF([4]回答表!X51="●","●",""),"")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IF([4]回答表!F18="下水道事業",IF([4]回答表!X51="●",[4]回答表!B197,IF([4]回答表!AA51="●",[4]回答表!B275,"")),"")</f>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IF([4]回答表!F18="下水道事業",IF([4]回答表!X51="●",[4]回答表!B256,IF([4]回答表!AA51="●",[4]回答表!B335,"")),"")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IF([4]回答表!F18="下水道事業",IF([4]回答表!X51="●",[4]回答表!N234,IF([4]回答表!AA51="●",[4]回答表!N314,"")),"")</f>
        <v xml:space="preserve">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IF([4]回答表!F18="下水道事業",IF([4]回答表!X51="●",[4]回答表!E256,IF([4]回答表!AA51="●",[4]回答表!E335,"")),"")</f>
        <v>5</v>
      </c>
      <c r="BG169" s="151"/>
      <c r="BH169" s="151"/>
      <c r="BI169" s="151"/>
      <c r="BJ169" s="150">
        <f>IF([4]回答表!F18="下水道事業",IF([4]回答表!X51="●",[4]回答表!E257,IF([4]回答表!AA51="●",[4]回答表!E336,"")),"")</f>
        <v>4</v>
      </c>
      <c r="BK169" s="151"/>
      <c r="BL169" s="151"/>
      <c r="BM169" s="151"/>
      <c r="BN169" s="150">
        <f>IF([4]回答表!F18="下水道事業",IF([4]回答表!X51="●",[4]回答表!E258,IF([4]回答表!AA51="●",[4]回答表!E337,"")),"")</f>
        <v>1</v>
      </c>
      <c r="BO169" s="151"/>
      <c r="BP169" s="151"/>
      <c r="BQ169" s="152"/>
      <c r="BR169" s="112"/>
      <c r="BX169" s="234" t="str">
        <f>IF([4]回答表!AQ21="下水道事業",IF([4]回答表!BI54="○",[4]回答表!AM200,IF([4]回答表!BL54="○",[4]回答表!AM278,"")),"")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IF([4]回答表!F18="下水道事業",IF([4]回答表!X51="●",[4]回答表!Y236,IF([4]回答表!AA51="●",[4]回答表!Y316,"")),"")</f>
        <v xml:space="preserve"> </v>
      </c>
      <c r="V174" s="83"/>
      <c r="W174" s="83"/>
      <c r="X174" s="83"/>
      <c r="Y174" s="83"/>
      <c r="Z174" s="83"/>
      <c r="AA174" s="83"/>
      <c r="AB174" s="153"/>
      <c r="AC174" s="82" t="str">
        <f>IF([4]回答表!F18="下水道事業",IF([4]回答表!X51="●",[4]回答表!Y237,IF([4]回答表!AA51="●",[4]回答表!Y317,"")),"")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IF([4]回答表!F18="下水道事業",IF([4]回答表!X51="●",[4]回答表!Y239,IF([4]回答表!AA51="●",[4]回答表!Y319,"")),"")</f>
        <v xml:space="preserve"> </v>
      </c>
      <c r="V180" s="83"/>
      <c r="W180" s="83"/>
      <c r="X180" s="83"/>
      <c r="Y180" s="83"/>
      <c r="Z180" s="83"/>
      <c r="AA180" s="83"/>
      <c r="AB180" s="153"/>
      <c r="AC180" s="82" t="str">
        <f>IF([4]回答表!F18="下水道事業",IF([4]回答表!X51="●",[4]回答表!Y240,IF([4]回答表!AA51="●",[4]回答表!Y320,"")),"")</f>
        <v xml:space="preserve"> </v>
      </c>
      <c r="AD180" s="83"/>
      <c r="AE180" s="83"/>
      <c r="AF180" s="83"/>
      <c r="AG180" s="83"/>
      <c r="AH180" s="83"/>
      <c r="AI180" s="83"/>
      <c r="AJ180" s="153"/>
      <c r="AK180" s="82" t="str">
        <f>IF([4]回答表!F18="下水道事業",IF([4]回答表!X51="●",[4]回答表!Y241,IF([4]回答表!AA51="●",[4]回答表!Y321,"")),"")</f>
        <v xml:space="preserve"> </v>
      </c>
      <c r="AL180" s="83"/>
      <c r="AM180" s="83"/>
      <c r="AN180" s="83"/>
      <c r="AO180" s="83"/>
      <c r="AP180" s="83"/>
      <c r="AQ180" s="83"/>
      <c r="AR180" s="153"/>
      <c r="AS180" s="82" t="str">
        <f>IF([4]回答表!F18="下水道事業",IF([4]回答表!X51="●",[4]回答表!Y242,IF([4]回答表!AA51="●",[4]回答表!Y322,"")),"")</f>
        <v xml:space="preserve"> </v>
      </c>
      <c r="AT180" s="83"/>
      <c r="AU180" s="83"/>
      <c r="AV180" s="83"/>
      <c r="AW180" s="83"/>
      <c r="AX180" s="83"/>
      <c r="AY180" s="83"/>
      <c r="AZ180" s="153"/>
      <c r="BA180" s="82" t="str">
        <f>IF([4]回答表!F18="下水道事業",IF([4]回答表!X51="●",[4]回答表!Y243,IF([4]回答表!AA51="●",[4]回答表!Y323,"")),"")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IF([4]回答表!F18="下水道事業",IF([4]回答表!AA51="●","●",""),"")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IF([4]回答表!F18="下水道事業",IF([4]回答表!X51="●",[4]回答表!N248,IF([4]回答表!AA51="●",[4]回答表!N328,"")),"")</f>
        <v>●</v>
      </c>
      <c r="V186" s="83"/>
      <c r="W186" s="83"/>
      <c r="X186" s="83"/>
      <c r="Y186" s="83"/>
      <c r="Z186" s="83"/>
      <c r="AA186" s="83"/>
      <c r="AB186" s="153"/>
      <c r="AC186" s="82" t="str">
        <f>IF([4]回答表!F18="下水道事業",IF([4]回答表!X51="●",[4]回答表!N249,IF([4]回答表!AA51="●",[4]回答表!N329,"")),"")</f>
        <v xml:space="preserve"> </v>
      </c>
      <c r="AD186" s="83"/>
      <c r="AE186" s="83"/>
      <c r="AF186" s="83"/>
      <c r="AG186" s="83"/>
      <c r="AH186" s="83"/>
      <c r="AI186" s="83"/>
      <c r="AJ186" s="153"/>
      <c r="AK186" s="82" t="str">
        <f>IF([4]回答表!F18="下水道事業",IF([4]回答表!X51="●",[4]回答表!N250,IF([4]回答表!AA51="●",[4]回答表!N330,"")),"")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IF([4]回答表!F18="下水道事業",IF([4]回答表!X51="●",[4]回答表!E265,IF([4]回答表!AA51="●",[4]回答表!E344,"")),"")</f>
        <v>―</v>
      </c>
      <c r="V191" s="182"/>
      <c r="W191" s="182"/>
      <c r="X191" s="182"/>
      <c r="Y191" s="182"/>
      <c r="Z191" s="182"/>
      <c r="AA191" s="182"/>
      <c r="AB191" s="182"/>
      <c r="AC191" s="182"/>
      <c r="AD191" s="182"/>
      <c r="AE191" s="183" t="s">
        <v>33</v>
      </c>
      <c r="AF191" s="183"/>
      <c r="AG191" s="183"/>
      <c r="AH191" s="183"/>
      <c r="AI191" s="183"/>
      <c r="AJ191" s="184"/>
      <c r="AK191" s="136"/>
      <c r="AL191" s="136"/>
      <c r="AM191" s="133" t="str">
        <f>IF([4]回答表!F18="下水道事業",IF([4]回答表!X51="●",[4]回答表!B267,IF([4]回答表!AA51="●",[4]回答表!B346,"")),"")</f>
        <v>不明</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IF([4]回答表!F18="下水道事業",IF([4]回答表!AD51="●","●",""),"")</f>
        <v/>
      </c>
      <c r="O198" s="131"/>
      <c r="P198" s="131"/>
      <c r="Q198" s="132"/>
      <c r="R198" s="119"/>
      <c r="S198" s="119"/>
      <c r="T198" s="119"/>
      <c r="U198" s="133" t="str">
        <f>IF([4]回答表!F18="下水道事業",IF([4]回答表!AD51="●",[4]回答表!B354,""),"")</f>
        <v/>
      </c>
      <c r="V198" s="134"/>
      <c r="W198" s="134"/>
      <c r="X198" s="134"/>
      <c r="Y198" s="134"/>
      <c r="Z198" s="134"/>
      <c r="AA198" s="134"/>
      <c r="AB198" s="134"/>
      <c r="AC198" s="134"/>
      <c r="AD198" s="134"/>
      <c r="AE198" s="134"/>
      <c r="AF198" s="134"/>
      <c r="AG198" s="134"/>
      <c r="AH198" s="134"/>
      <c r="AI198" s="134"/>
      <c r="AJ198" s="135"/>
      <c r="AK198" s="189"/>
      <c r="AL198" s="189"/>
      <c r="AM198" s="133" t="str">
        <f>IF([4]回答表!F18="下水道事業",IF([4]回答表!AD51="●",[4]回答表!B360,""),"")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IF([4]回答表!BD18="●",IF([4]回答表!X51="●","●",""),"")</f>
        <v/>
      </c>
      <c r="O210" s="131"/>
      <c r="P210" s="131"/>
      <c r="Q210" s="132"/>
      <c r="R210" s="119"/>
      <c r="S210" s="119"/>
      <c r="T210" s="119"/>
      <c r="U210" s="133" t="str">
        <f>IF([4]回答表!BD18="●",IF([4]回答表!X51="●",[4]回答表!B197,IF([4]回答表!AA51="●",[4]回答表!B275,"")),"")</f>
        <v/>
      </c>
      <c r="V210" s="134"/>
      <c r="W210" s="134"/>
      <c r="X210" s="134"/>
      <c r="Y210" s="134"/>
      <c r="Z210" s="134"/>
      <c r="AA210" s="134"/>
      <c r="AB210" s="134"/>
      <c r="AC210" s="134"/>
      <c r="AD210" s="134"/>
      <c r="AE210" s="134"/>
      <c r="AF210" s="134"/>
      <c r="AG210" s="134"/>
      <c r="AH210" s="134"/>
      <c r="AI210" s="134"/>
      <c r="AJ210" s="135"/>
      <c r="AK210" s="136"/>
      <c r="AL210" s="136"/>
      <c r="AM210" s="138" t="str">
        <f>IF([4]回答表!BD18="●",IF([4]回答表!X51="●",[4]回答表!B256,IF([4]回答表!AA51="●",[4]回答表!B335,"")),"")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IF([4]回答表!BD18="●",IF([4]回答表!X51="●",[4]回答表!E256,IF([4]回答表!AA51="●",[4]回答表!E335,"")),"")</f>
        <v/>
      </c>
      <c r="AN213" s="151"/>
      <c r="AO213" s="151"/>
      <c r="AP213" s="151"/>
      <c r="AQ213" s="150" t="str">
        <f>IF([4]回答表!BD18="●",IF([4]回答表!X51="●",[4]回答表!E257,IF([4]回答表!AA51="●",[4]回答表!E336,"")),"")</f>
        <v/>
      </c>
      <c r="AR213" s="151"/>
      <c r="AS213" s="151"/>
      <c r="AT213" s="151"/>
      <c r="AU213" s="150" t="str">
        <f>IF([4]回答表!BD18="●",IF([4]回答表!X51="●",[4]回答表!E258,IF([4]回答表!AA51="●",[4]回答表!E337,"")),"")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IF([4]回答表!BD18="●",IF([4]回答表!AA51="●","●",""),"")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IF([4]回答表!BD18="●",IF([4]回答表!X51="●",[4]回答表!E265,IF([4]回答表!AA51="●",[4]回答表!E344,"")),"")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IF([4]回答表!BD18="●",IF([4]回答表!X51="●",[4]回答表!B267,IF([4]回答表!AA51="●",[4]回答表!B346,"")),"")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IF([4]回答表!BD18="●",IF([4]回答表!AD51="●","●",""),"")</f>
        <v/>
      </c>
      <c r="O229" s="131"/>
      <c r="P229" s="131"/>
      <c r="Q229" s="132"/>
      <c r="R229" s="119"/>
      <c r="S229" s="119"/>
      <c r="T229" s="119"/>
      <c r="U229" s="133" t="str">
        <f>IF([4]回答表!BD18="●",IF([4]回答表!AD51="●",[4]回答表!B354,""),"")</f>
        <v/>
      </c>
      <c r="V229" s="134"/>
      <c r="W229" s="134"/>
      <c r="X229" s="134"/>
      <c r="Y229" s="134"/>
      <c r="Z229" s="134"/>
      <c r="AA229" s="134"/>
      <c r="AB229" s="134"/>
      <c r="AC229" s="134"/>
      <c r="AD229" s="134"/>
      <c r="AE229" s="134"/>
      <c r="AF229" s="134"/>
      <c r="AG229" s="134"/>
      <c r="AH229" s="134"/>
      <c r="AI229" s="134"/>
      <c r="AJ229" s="135"/>
      <c r="AK229" s="249"/>
      <c r="AL229" s="249"/>
      <c r="AM229" s="133" t="str">
        <f>IF([4]回答表!BD18="●",IF([4]回答表!AD51="●",[4]回答表!B360,""),"")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IF([4]回答表!X52="●","●","")</f>
        <v/>
      </c>
      <c r="O241" s="131"/>
      <c r="P241" s="131"/>
      <c r="Q241" s="132"/>
      <c r="R241" s="119"/>
      <c r="S241" s="119"/>
      <c r="T241" s="119"/>
      <c r="U241" s="133" t="str">
        <f>IF([4]回答表!X52="●",[4]回答表!B371,IF([4]回答表!AA52="●",[4]回答表!B396,""))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IF([4]回答表!X52="●",[4]回答表!U377,IF([4]回答表!AA52="●",[4]回答表!U402,""))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IF([4]回答表!X52="●",[4]回答表!G377,IF([4]回答表!AA52="●",[4]回答表!G402,""))</f>
        <v/>
      </c>
      <c r="AN244" s="83"/>
      <c r="AO244" s="83"/>
      <c r="AP244" s="83"/>
      <c r="AQ244" s="83"/>
      <c r="AR244" s="83"/>
      <c r="AS244" s="83"/>
      <c r="AT244" s="153"/>
      <c r="AU244" s="82" t="str">
        <f>IF([4]回答表!X52="●",[4]回答表!G378,IF([4]回答表!AA52="●",[4]回答表!G403,""))</f>
        <v/>
      </c>
      <c r="AV244" s="83"/>
      <c r="AW244" s="83"/>
      <c r="AX244" s="83"/>
      <c r="AY244" s="83"/>
      <c r="AZ244" s="83"/>
      <c r="BA244" s="83"/>
      <c r="BB244" s="153"/>
      <c r="BC244" s="120"/>
      <c r="BD244" s="109"/>
      <c r="BE244" s="109"/>
      <c r="BF244" s="150" t="str">
        <f>IF([4]回答表!X52="●",[4]回答表!X377,IF([4]回答表!AA52="●",[4]回答表!X402,""))</f>
        <v/>
      </c>
      <c r="BG244" s="151"/>
      <c r="BH244" s="151"/>
      <c r="BI244" s="151"/>
      <c r="BJ244" s="150" t="str">
        <f>IF([4]回答表!X52="●",[4]回答表!X378,IF([4]回答表!AA52="●",[4]回答表!X403,""))</f>
        <v/>
      </c>
      <c r="BK244" s="151"/>
      <c r="BL244" s="151"/>
      <c r="BM244" s="152"/>
      <c r="BN244" s="150" t="str">
        <f>IF([4]回答表!X52="●",[4]回答表!X379,IF([4]回答表!AA52="●",[4]回答表!X404,""))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IF([4]回答表!X52="●",[4]回答表!E386,IF([4]回答表!AA52="●",[4]回答表!E407,""))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IF([4]回答表!X52="●",[4]回答表!B388,IF([4]回答表!AA52="●",[4]回答表!B409,""))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IF([4]回答表!AD52="●","●","")</f>
        <v/>
      </c>
      <c r="O260" s="131"/>
      <c r="P260" s="131"/>
      <c r="Q260" s="132"/>
      <c r="R260" s="119"/>
      <c r="S260" s="119"/>
      <c r="T260" s="119"/>
      <c r="U260" s="133" t="str">
        <f>IF([4]回答表!AD52="●",[4]回答表!B417,"")</f>
        <v/>
      </c>
      <c r="V260" s="134"/>
      <c r="W260" s="134"/>
      <c r="X260" s="134"/>
      <c r="Y260" s="134"/>
      <c r="Z260" s="134"/>
      <c r="AA260" s="134"/>
      <c r="AB260" s="134"/>
      <c r="AC260" s="134"/>
      <c r="AD260" s="134"/>
      <c r="AE260" s="134"/>
      <c r="AF260" s="134"/>
      <c r="AG260" s="134"/>
      <c r="AH260" s="134"/>
      <c r="AI260" s="134"/>
      <c r="AJ260" s="135"/>
      <c r="AK260" s="249"/>
      <c r="AL260" s="249"/>
      <c r="AM260" s="133" t="str">
        <f>IF([4]回答表!AD52="●",[4]回答表!B423,"")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IF([4]回答表!X53="●","●","")</f>
        <v/>
      </c>
      <c r="O272" s="131"/>
      <c r="P272" s="131"/>
      <c r="Q272" s="132"/>
      <c r="R272" s="119"/>
      <c r="S272" s="119"/>
      <c r="T272" s="119"/>
      <c r="U272" s="133" t="str">
        <f>IF([4]回答表!X53="●",[4]回答表!B434,IF([4]回答表!AA53="●",[4]回答表!B465,""))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IF([4]回答表!X53="●",[4]回答表!B440,"")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IF([4]回答表!X53="●",[4]回答表!B446,IF([4]回答表!AA53="●",[4]回答表!B471,""))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IF([4]回答表!X53="●",[4]回答表!E446,IF([4]回答表!AA53="●",[4]回答表!E471,""))</f>
        <v/>
      </c>
      <c r="BG275" s="151"/>
      <c r="BH275" s="151"/>
      <c r="BI275" s="151"/>
      <c r="BJ275" s="150" t="str">
        <f>IF([4]回答表!X53="●",[4]回答表!E447,IF([4]回答表!AA53="●",[4]回答表!E472,""))</f>
        <v/>
      </c>
      <c r="BK275" s="151"/>
      <c r="BL275" s="151"/>
      <c r="BM275" s="152"/>
      <c r="BN275" s="150" t="str">
        <f>IF([4]回答表!X53="●",[4]回答表!E448,IF([4]回答表!AA53="●",[4]回答表!E473,""))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IF([4]回答表!X53="●",[4]回答表!E455,IF([4]回答表!AA53="●",[4]回答表!E476,""))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IF([4]回答表!X53="●",[4]回答表!B457,IF([4]回答表!AA53="●",[4]回答表!B478,""))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IF([4]回答表!AD53="●","●","")</f>
        <v/>
      </c>
      <c r="O291" s="131"/>
      <c r="P291" s="131"/>
      <c r="Q291" s="132"/>
      <c r="R291" s="119"/>
      <c r="S291" s="119"/>
      <c r="T291" s="119"/>
      <c r="U291" s="133" t="str">
        <f>IF([4]回答表!AD53="●",[4]回答表!B486,"")</f>
        <v/>
      </c>
      <c r="V291" s="134"/>
      <c r="W291" s="134"/>
      <c r="X291" s="134"/>
      <c r="Y291" s="134"/>
      <c r="Z291" s="134"/>
      <c r="AA291" s="134"/>
      <c r="AB291" s="134"/>
      <c r="AC291" s="134"/>
      <c r="AD291" s="134"/>
      <c r="AE291" s="134"/>
      <c r="AF291" s="134"/>
      <c r="AG291" s="134"/>
      <c r="AH291" s="134"/>
      <c r="AI291" s="134"/>
      <c r="AJ291" s="135"/>
      <c r="AK291" s="249"/>
      <c r="AL291" s="249"/>
      <c r="AM291" s="133" t="str">
        <f>IF([4]回答表!AD53="●",[4]回答表!B492,"")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IF([4]回答表!X54="●","●","")</f>
        <v/>
      </c>
      <c r="O303" s="131"/>
      <c r="P303" s="131"/>
      <c r="Q303" s="132"/>
      <c r="R303" s="119"/>
      <c r="S303" s="119"/>
      <c r="T303" s="119"/>
      <c r="U303" s="133" t="str">
        <f>IF([4]回答表!X54="●",[4]回答表!B503,IF([4]回答表!AA54="●",[4]回答表!B526,""))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IF([4]回答表!X54="●",[4]回答表!BC510,IF([4]回答表!AA54="●",[4]回答表!BC533,""))</f>
        <v/>
      </c>
      <c r="AR303" s="271"/>
      <c r="AS303" s="271"/>
      <c r="AT303" s="271"/>
      <c r="AU303" s="272" t="s">
        <v>74</v>
      </c>
      <c r="AV303" s="273"/>
      <c r="AW303" s="273"/>
      <c r="AX303" s="274"/>
      <c r="AY303" s="271" t="str">
        <f>IF([4]回答表!X54="●",[4]回答表!BC515,IF([4]回答表!AA54="●",[4]回答表!BC538,""))</f>
        <v/>
      </c>
      <c r="AZ303" s="271"/>
      <c r="BA303" s="271"/>
      <c r="BB303" s="271"/>
      <c r="BC303" s="120"/>
      <c r="BD303" s="109"/>
      <c r="BE303" s="109"/>
      <c r="BF303" s="138" t="str">
        <f>IF([4]回答表!X54="●",[4]回答表!S509,IF([4]回答表!AA54="●",[4]回答表!S532,""))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IF([4]回答表!X54="●",[4]回答表!BC511,IF([4]回答表!AA54="●",[4]回答表!BC534,""))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IF([4]回答表!X54="●",[4]回答表!V509,IF([4]回答表!AA54="●",[4]回答表!V532,""))</f>
        <v/>
      </c>
      <c r="BG306" s="151"/>
      <c r="BH306" s="151"/>
      <c r="BI306" s="151"/>
      <c r="BJ306" s="150" t="str">
        <f>IF([4]回答表!X54="●",[4]回答表!V510,IF([4]回答表!AA54="●",[4]回答表!V533,""))</f>
        <v/>
      </c>
      <c r="BK306" s="151"/>
      <c r="BL306" s="151"/>
      <c r="BM306" s="152"/>
      <c r="BN306" s="150" t="str">
        <f>IF([4]回答表!X54="●",[4]回答表!V511,IF([4]回答表!AA54="●",[4]回答表!V534,""))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IF([4]回答表!X54="●",[4]回答表!BC512,IF([4]回答表!AA54="●",[4]回答表!BC535,""))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IF([4]回答表!X54="●",[4]回答表!BC516,IF([4]回答表!AA54="●",[4]回答表!BC539,""))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IF([4]回答表!X54="●",[4]回答表!BC513,IF([4]回答表!AA54="●",[4]回答表!BC536,""))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IF([4]回答表!X54="●",[4]回答表!BC514,IF([4]回答表!AA54="●",[4]回答表!BC537,""))</f>
        <v/>
      </c>
      <c r="AR311" s="271"/>
      <c r="AS311" s="271"/>
      <c r="AT311" s="271"/>
      <c r="AU311" s="222" t="s">
        <v>80</v>
      </c>
      <c r="AV311" s="223"/>
      <c r="AW311" s="223"/>
      <c r="AX311" s="224"/>
      <c r="AY311" s="281" t="str">
        <f>IF([4]回答表!X54="●",[4]回答表!BC517,IF([4]回答表!AA54="●",[4]回答表!BC540,""))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IF([4]回答表!X54="●",[4]回答表!E516,IF([4]回答表!AA54="●",[4]回答表!E538,""))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IF([4]回答表!X54="●",[4]回答表!B518,IF([4]回答表!AA54="●",[4]回答表!B540,""))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IF([4]回答表!AD54="●","●","")</f>
        <v/>
      </c>
      <c r="O322" s="131"/>
      <c r="P322" s="131"/>
      <c r="Q322" s="132"/>
      <c r="R322" s="119"/>
      <c r="S322" s="119"/>
      <c r="T322" s="119"/>
      <c r="U322" s="133" t="str">
        <f>IF([4]回答表!AD54="●",[4]回答表!B548,"")</f>
        <v/>
      </c>
      <c r="V322" s="134"/>
      <c r="W322" s="134"/>
      <c r="X322" s="134"/>
      <c r="Y322" s="134"/>
      <c r="Z322" s="134"/>
      <c r="AA322" s="134"/>
      <c r="AB322" s="134"/>
      <c r="AC322" s="134"/>
      <c r="AD322" s="134"/>
      <c r="AE322" s="134"/>
      <c r="AF322" s="134"/>
      <c r="AG322" s="134"/>
      <c r="AH322" s="134"/>
      <c r="AI322" s="134"/>
      <c r="AJ322" s="135"/>
      <c r="AK322" s="189"/>
      <c r="AL322" s="189"/>
      <c r="AM322" s="133" t="str">
        <f>IF([4]回答表!AD54="●",[4]回答表!B554,"")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IF([4]回答表!X55="●","●","")</f>
        <v/>
      </c>
      <c r="O333" s="131"/>
      <c r="P333" s="131"/>
      <c r="Q333" s="132"/>
      <c r="R333" s="119"/>
      <c r="S333" s="119"/>
      <c r="T333" s="119"/>
      <c r="U333" s="133" t="str">
        <f>IF([4]回答表!X55="●",[4]回答表!B565,IF([4]回答表!AA55="●",[4]回答表!B590,""))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IF([4]回答表!X55="●",[4]回答表!B575,IF([4]回答表!AA55="●",[4]回答表!B600,""))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IF([4]回答表!X55="●",[4]回答表!G571,IF([4]回答表!AA55="●",[4]回答表!G596,""))</f>
        <v/>
      </c>
      <c r="AN335" s="83"/>
      <c r="AO335" s="83"/>
      <c r="AP335" s="83"/>
      <c r="AQ335" s="83"/>
      <c r="AR335" s="83"/>
      <c r="AS335" s="83"/>
      <c r="AT335" s="153"/>
      <c r="AU335" s="82" t="str">
        <f>IF([4]回答表!X55="●",[4]回答表!G572,IF([4]回答表!AA55="●",[4]回答表!G597,""))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IF([4]回答表!X55="●",[4]回答表!E575,IF([4]回答表!AA55="●",[4]回答表!E600,""))</f>
        <v/>
      </c>
      <c r="BG336" s="151"/>
      <c r="BH336" s="151"/>
      <c r="BI336" s="151"/>
      <c r="BJ336" s="150" t="str">
        <f>IF([4]回答表!X55="●",[4]回答表!E576,IF([4]回答表!AA55="●",[4]回答表!E601,""))</f>
        <v/>
      </c>
      <c r="BK336" s="151"/>
      <c r="BL336" s="151"/>
      <c r="BM336" s="152"/>
      <c r="BN336" s="150" t="str">
        <f>IF([4]回答表!X55="●",[4]回答表!E577,IF([4]回答表!AA55="●",[4]回答表!E602,""))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IF([4]回答表!X55="●",[4]回答表!E580,IF([4]回答表!AA55="●",[4]回答表!E605,""))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IF([4]回答表!X55="●",[4]回答表!B582,IF([4]回答表!AA55="●",[4]回答表!B607,""))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IF([4]回答表!AD55="●","●","")</f>
        <v/>
      </c>
      <c r="O352" s="131"/>
      <c r="P352" s="131"/>
      <c r="Q352" s="132"/>
      <c r="R352" s="119"/>
      <c r="S352" s="119"/>
      <c r="T352" s="119"/>
      <c r="U352" s="133" t="str">
        <f>IF([4]回答表!AD55="●",[4]回答表!B615,"")</f>
        <v/>
      </c>
      <c r="V352" s="134"/>
      <c r="W352" s="134"/>
      <c r="X352" s="134"/>
      <c r="Y352" s="134"/>
      <c r="Z352" s="134"/>
      <c r="AA352" s="134"/>
      <c r="AB352" s="134"/>
      <c r="AC352" s="134"/>
      <c r="AD352" s="134"/>
      <c r="AE352" s="134"/>
      <c r="AF352" s="134"/>
      <c r="AG352" s="134"/>
      <c r="AH352" s="134"/>
      <c r="AI352" s="134"/>
      <c r="AJ352" s="135"/>
      <c r="AK352" s="136"/>
      <c r="AL352" s="136"/>
      <c r="AM352" s="133" t="str">
        <f>IF([4]回答表!AD55="●",[4]回答表!B621,"")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IF([4]回答表!R56="●",[4]回答表!B634,"")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1F46E-0055-4D9A-A724-44B8379BEDF6}">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IF(COUNTIF([5]回答表!K16,"*")&gt;0,[5]回答表!K16,"")</f>
        <v>大仙市</v>
      </c>
      <c r="D11" s="8"/>
      <c r="E11" s="8"/>
      <c r="F11" s="8"/>
      <c r="G11" s="8"/>
      <c r="H11" s="8"/>
      <c r="I11" s="8"/>
      <c r="J11" s="8"/>
      <c r="K11" s="8"/>
      <c r="L11" s="8"/>
      <c r="M11" s="8"/>
      <c r="N11" s="8"/>
      <c r="O11" s="8"/>
      <c r="P11" s="8"/>
      <c r="Q11" s="8"/>
      <c r="R11" s="8"/>
      <c r="S11" s="8"/>
      <c r="T11" s="8"/>
      <c r="U11" s="22" t="str">
        <f>IF(COUNTIF([5]回答表!F18,"*")&gt;0,[5]回答表!F18,"")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IF(COUNTIF([5]回答表!W18,"*")&gt;0,[5]回答表!W18,"")</f>
        <v>公共下水道</v>
      </c>
      <c r="AP11" s="10"/>
      <c r="AQ11" s="10"/>
      <c r="AR11" s="10"/>
      <c r="AS11" s="10"/>
      <c r="AT11" s="10"/>
      <c r="AU11" s="10"/>
      <c r="AV11" s="10"/>
      <c r="AW11" s="10"/>
      <c r="AX11" s="10"/>
      <c r="AY11" s="10"/>
      <c r="AZ11" s="10"/>
      <c r="BA11" s="10"/>
      <c r="BB11" s="10"/>
      <c r="BC11" s="10"/>
      <c r="BD11" s="10"/>
      <c r="BE11" s="10"/>
      <c r="BF11" s="11"/>
      <c r="BG11" s="21" t="str">
        <f>IF(COUNTIF([5]回答表!F20,"*")&gt;0,[5]回答表!F20,"")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IF([5]回答表!R49="●","●","")</f>
        <v/>
      </c>
      <c r="E24" s="80"/>
      <c r="F24" s="80"/>
      <c r="G24" s="80"/>
      <c r="H24" s="80"/>
      <c r="I24" s="80"/>
      <c r="J24" s="81"/>
      <c r="K24" s="79" t="str">
        <f>IF([5]回答表!R50="●","●","")</f>
        <v/>
      </c>
      <c r="L24" s="80"/>
      <c r="M24" s="80"/>
      <c r="N24" s="80"/>
      <c r="O24" s="80"/>
      <c r="P24" s="80"/>
      <c r="Q24" s="81"/>
      <c r="R24" s="79" t="str">
        <f>IF([5]回答表!R51="●","●","")</f>
        <v>●</v>
      </c>
      <c r="S24" s="80"/>
      <c r="T24" s="80"/>
      <c r="U24" s="80"/>
      <c r="V24" s="80"/>
      <c r="W24" s="80"/>
      <c r="X24" s="81"/>
      <c r="Y24" s="79" t="str">
        <f>IF([5]回答表!R52="●","●","")</f>
        <v/>
      </c>
      <c r="Z24" s="80"/>
      <c r="AA24" s="80"/>
      <c r="AB24" s="80"/>
      <c r="AC24" s="80"/>
      <c r="AD24" s="80"/>
      <c r="AE24" s="81"/>
      <c r="AF24" s="79" t="str">
        <f>IF([5]回答表!R53="●","●","")</f>
        <v/>
      </c>
      <c r="AG24" s="80"/>
      <c r="AH24" s="80"/>
      <c r="AI24" s="80"/>
      <c r="AJ24" s="80"/>
      <c r="AK24" s="80"/>
      <c r="AL24" s="81"/>
      <c r="AM24" s="79" t="str">
        <f>IF([5]回答表!R54="●","●","")</f>
        <v/>
      </c>
      <c r="AN24" s="80"/>
      <c r="AO24" s="80"/>
      <c r="AP24" s="80"/>
      <c r="AQ24" s="80"/>
      <c r="AR24" s="80"/>
      <c r="AS24" s="81"/>
      <c r="AT24" s="79" t="str">
        <f>IF([5]回答表!R55="●","●","")</f>
        <v/>
      </c>
      <c r="AU24" s="80"/>
      <c r="AV24" s="80"/>
      <c r="AW24" s="80"/>
      <c r="AX24" s="80"/>
      <c r="AY24" s="80"/>
      <c r="AZ24" s="81"/>
      <c r="BA24" s="68"/>
      <c r="BB24" s="82" t="str">
        <f>IF([5]回答表!R56="●","●","")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IF([5]回答表!X49="●","●","")</f>
        <v/>
      </c>
      <c r="O36" s="131"/>
      <c r="P36" s="131"/>
      <c r="Q36" s="132"/>
      <c r="R36" s="119"/>
      <c r="S36" s="119"/>
      <c r="T36" s="119"/>
      <c r="U36" s="133" t="str">
        <f>IF([5]回答表!X49="●",[5]回答表!B67,IF([5]回答表!AA49="●",[5]回答表!B95,""))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IF([5]回答表!X49="●",[5]回答表!S73,IF([5]回答表!AA49="●",[5]回答表!S101,""))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IF([5]回答表!X49="●",[5]回答表!G73,IF([5]回答表!AA49="●",[5]回答表!G101,""))</f>
        <v/>
      </c>
      <c r="AN38" s="83"/>
      <c r="AO38" s="83"/>
      <c r="AP38" s="83"/>
      <c r="AQ38" s="83"/>
      <c r="AR38" s="83"/>
      <c r="AS38" s="83"/>
      <c r="AT38" s="153"/>
      <c r="AU38" s="82" t="str">
        <f>IF([5]回答表!X49="●",[5]回答表!G74,IF([5]回答表!AA49="●",[5]回答表!G102,""))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IF([5]回答表!X49="●",[5]回答表!V73,IF([5]回答表!AA49="●",[5]回答表!V101,""))</f>
        <v/>
      </c>
      <c r="BG39" s="16"/>
      <c r="BH39" s="16"/>
      <c r="BI39" s="17"/>
      <c r="BJ39" s="150" t="str">
        <f>IF([5]回答表!X49="●",[5]回答表!V74,IF([5]回答表!AA49="●",[5]回答表!V102,""))</f>
        <v/>
      </c>
      <c r="BK39" s="16"/>
      <c r="BL39" s="16"/>
      <c r="BM39" s="17"/>
      <c r="BN39" s="150" t="str">
        <f>IF([5]回答表!X49="●",[5]回答表!V75,IF([5]回答表!AA49="●",[5]回答表!V103,""))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IF([5]回答表!X49="●",[5]回答表!O79,IF([5]回答表!AA49="●",[5]回答表!O107,""))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IF([5]回答表!X49="●",[5]回答表!O80,IF([5]回答表!AA49="●",[5]回答表!O108,""))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IF([5]回答表!X49="●",[5]回答表!O81,IF([5]回答表!AA49="●",[5]回答表!O109,""))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IF([5]回答表!X49="●",[5]回答表!O82,IF([5]回答表!AA49="●",[5]回答表!O110,""))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IF([5]回答表!X49="●",[5]回答表!AG79,IF([5]回答表!AA49="●",[5]回答表!AG107,""))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IF([5]回答表!X49="●",[5]回答表!AG80,IF([5]回答表!AA49="●",[5]回答表!AG108,""))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IF([5]回答表!X49="●",[5]回答表!E85,IF([5]回答表!AA49="●",[5]回答表!E113,""))</f>
        <v/>
      </c>
      <c r="V50" s="182"/>
      <c r="W50" s="182"/>
      <c r="X50" s="182"/>
      <c r="Y50" s="182"/>
      <c r="Z50" s="182"/>
      <c r="AA50" s="182"/>
      <c r="AB50" s="182"/>
      <c r="AC50" s="182"/>
      <c r="AD50" s="182"/>
      <c r="AE50" s="183" t="s">
        <v>33</v>
      </c>
      <c r="AF50" s="183"/>
      <c r="AG50" s="183"/>
      <c r="AH50" s="183"/>
      <c r="AI50" s="183"/>
      <c r="AJ50" s="184"/>
      <c r="AK50" s="136"/>
      <c r="AL50" s="136"/>
      <c r="AM50" s="133" t="str">
        <f>IF([5]回答表!X49="●",[5]回答表!B87,IF([5]回答表!AA49="●",[5]回答表!B115,""))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IF([5]回答表!AD49="●","●","")</f>
        <v/>
      </c>
      <c r="O57" s="131"/>
      <c r="P57" s="131"/>
      <c r="Q57" s="132"/>
      <c r="R57" s="119"/>
      <c r="S57" s="119"/>
      <c r="T57" s="119"/>
      <c r="U57" s="133" t="str">
        <f>IF([5]回答表!AD49="●",[5]回答表!B123,"")</f>
        <v/>
      </c>
      <c r="V57" s="134"/>
      <c r="W57" s="134"/>
      <c r="X57" s="134"/>
      <c r="Y57" s="134"/>
      <c r="Z57" s="134"/>
      <c r="AA57" s="134"/>
      <c r="AB57" s="134"/>
      <c r="AC57" s="134"/>
      <c r="AD57" s="134"/>
      <c r="AE57" s="134"/>
      <c r="AF57" s="134"/>
      <c r="AG57" s="134"/>
      <c r="AH57" s="134"/>
      <c r="AI57" s="134"/>
      <c r="AJ57" s="135"/>
      <c r="AK57" s="189"/>
      <c r="AL57" s="189"/>
      <c r="AM57" s="133" t="str">
        <f>IF([5]回答表!AD49="●",[5]回答表!B128,"")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IF([5]回答表!X50="●","●","")</f>
        <v/>
      </c>
      <c r="O68" s="131"/>
      <c r="P68" s="131"/>
      <c r="Q68" s="132"/>
      <c r="R68" s="119"/>
      <c r="S68" s="119"/>
      <c r="T68" s="119"/>
      <c r="U68" s="133" t="str">
        <f>IF([5]回答表!X50="●",[5]回答表!B138,IF([5]回答表!AA50="●",[5]回答表!B159,""))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IF([5]回答表!X50="●",[5]回答表!S144,IF([5]回答表!AA50="●",[5]回答表!S165,""))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IF([5]回答表!X50="●",[5]回答表!J144,IF([5]回答表!AA50="●",[5]回答表!J165,""))</f>
        <v/>
      </c>
      <c r="AN71" s="83"/>
      <c r="AO71" s="83"/>
      <c r="AP71" s="83"/>
      <c r="AQ71" s="83"/>
      <c r="AR71" s="83"/>
      <c r="AS71" s="83"/>
      <c r="AT71" s="153"/>
      <c r="AU71" s="82" t="str">
        <f>IF([5]回答表!X50="●",[5]回答表!J145,IF([5]回答表!AA50="●",[5]回答表!J166,""))</f>
        <v/>
      </c>
      <c r="AV71" s="83"/>
      <c r="AW71" s="83"/>
      <c r="AX71" s="83"/>
      <c r="AY71" s="83"/>
      <c r="AZ71" s="83"/>
      <c r="BA71" s="83"/>
      <c r="BB71" s="153"/>
      <c r="BC71" s="120"/>
      <c r="BD71" s="109"/>
      <c r="BE71" s="109"/>
      <c r="BF71" s="150" t="str">
        <f>IF([5]回答表!X50="●",[5]回答表!V144,IF([5]回答表!AA50="●",[5]回答表!V165,""))</f>
        <v/>
      </c>
      <c r="BG71" s="151"/>
      <c r="BH71" s="151"/>
      <c r="BI71" s="151"/>
      <c r="BJ71" s="150" t="str">
        <f>IF([5]回答表!X50="●",[5]回答表!V145,IF([5]回答表!AA50="●",[5]回答表!V166,""))</f>
        <v/>
      </c>
      <c r="BK71" s="151"/>
      <c r="BL71" s="151"/>
      <c r="BM71" s="151"/>
      <c r="BN71" s="150" t="str">
        <f>IF([5]回答表!X50="●",[5]回答表!V146,IF([5]回答表!AA50="●",[5]回答表!V167,""))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IF([5]回答表!X50="●",[5]回答表!E149,IF([5]回答表!AA50="●",[5]回答表!E170,""))</f>
        <v/>
      </c>
      <c r="V80" s="182"/>
      <c r="W80" s="182"/>
      <c r="X80" s="182"/>
      <c r="Y80" s="182"/>
      <c r="Z80" s="182"/>
      <c r="AA80" s="182"/>
      <c r="AB80" s="182"/>
      <c r="AC80" s="182"/>
      <c r="AD80" s="182"/>
      <c r="AE80" s="183" t="s">
        <v>33</v>
      </c>
      <c r="AF80" s="183"/>
      <c r="AG80" s="183"/>
      <c r="AH80" s="183"/>
      <c r="AI80" s="183"/>
      <c r="AJ80" s="184"/>
      <c r="AK80" s="136"/>
      <c r="AL80" s="136"/>
      <c r="AM80" s="133" t="str">
        <f>IF([5]回答表!X50="●",[5]回答表!B151,IF([5]回答表!AA50="●",[5]回答表!B172,""))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IF([5]回答表!AD50="●","●","")</f>
        <v/>
      </c>
      <c r="O87" s="131"/>
      <c r="P87" s="131"/>
      <c r="Q87" s="132"/>
      <c r="R87" s="119"/>
      <c r="S87" s="119"/>
      <c r="T87" s="119"/>
      <c r="U87" s="133" t="str">
        <f>IF([5]回答表!AD50="●",[5]回答表!B180,"")</f>
        <v/>
      </c>
      <c r="V87" s="134"/>
      <c r="W87" s="134"/>
      <c r="X87" s="134"/>
      <c r="Y87" s="134"/>
      <c r="Z87" s="134"/>
      <c r="AA87" s="134"/>
      <c r="AB87" s="134"/>
      <c r="AC87" s="134"/>
      <c r="AD87" s="134"/>
      <c r="AE87" s="134"/>
      <c r="AF87" s="134"/>
      <c r="AG87" s="134"/>
      <c r="AH87" s="134"/>
      <c r="AI87" s="134"/>
      <c r="AJ87" s="135"/>
      <c r="AK87" s="189"/>
      <c r="AL87" s="189"/>
      <c r="AM87" s="133" t="str">
        <f>IF([5]回答表!AD50="●",[5]回答表!B186,"")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IF([5]回答表!F18="水道事業",IF([5]回答表!X51="●","●",""),"")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IF([5]回答表!F18="水道事業",IF([5]回答表!X51="●",[5]回答表!B197,IF([5]回答表!AA51="●",[5]回答表!B275,"")),"")</f>
        <v/>
      </c>
      <c r="AN99" s="134"/>
      <c r="AO99" s="134"/>
      <c r="AP99" s="134"/>
      <c r="AQ99" s="134"/>
      <c r="AR99" s="134"/>
      <c r="AS99" s="134"/>
      <c r="AT99" s="134"/>
      <c r="AU99" s="134"/>
      <c r="AV99" s="134"/>
      <c r="AW99" s="134"/>
      <c r="AX99" s="134"/>
      <c r="AY99" s="134"/>
      <c r="AZ99" s="134"/>
      <c r="BA99" s="134"/>
      <c r="BB99" s="134"/>
      <c r="BC99" s="135"/>
      <c r="BD99" s="109"/>
      <c r="BE99" s="109"/>
      <c r="BF99" s="138" t="str">
        <f>IF([5]回答表!F18="水道事業",IF([5]回答表!X51="●",[5]回答表!B256,IF([5]回答表!AA51="●",[5]回答表!B335,"")),"")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IF([5]回答表!F18="水道事業",IF([5]回答表!X51="●",[5]回答表!J205,IF([5]回答表!AA51="●",[5]回答表!J283,"")),"")</f>
        <v/>
      </c>
      <c r="V101" s="83"/>
      <c r="W101" s="83"/>
      <c r="X101" s="83"/>
      <c r="Y101" s="83"/>
      <c r="Z101" s="83"/>
      <c r="AA101" s="83"/>
      <c r="AB101" s="153"/>
      <c r="AC101" s="82" t="str">
        <f>IF([5]回答表!F18="水道事業",IF([5]回答表!X51="●",[5]回答表!J210,IF([5]回答表!AA51="●",[5]回答表!J290,"")),"")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IF([5]回答表!F18="水道事業",IF([5]回答表!X51="●",[5]回答表!E256,IF([5]回答表!AA51="●",[5]回答表!E335,"")),"")</f>
        <v/>
      </c>
      <c r="BG102" s="151"/>
      <c r="BH102" s="151"/>
      <c r="BI102" s="151"/>
      <c r="BJ102" s="150" t="str">
        <f>IF([5]回答表!F18="水道事業",IF([5]回答表!X51="●",[5]回答表!E257,IF([5]回答表!AA51="●",[5]回答表!E336,"")),"")</f>
        <v/>
      </c>
      <c r="BK102" s="151"/>
      <c r="BL102" s="151"/>
      <c r="BM102" s="151"/>
      <c r="BN102" s="150" t="str">
        <f>IF([5]回答表!F18="水道事業",IF([5]回答表!X51="●",[5]回答表!E258,IF([5]回答表!AA51="●",[5]回答表!E337,"")),"")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IF([5]回答表!F18="水道事業",IF([5]回答表!AA51="●","●",""),"")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IF([5]回答表!F18="水道事業",IF([5]回答表!X51="●",[5]回答表!J213,IF([5]回答表!AA51="●",[5]回答表!J293,"")),"")</f>
        <v/>
      </c>
      <c r="V106" s="83"/>
      <c r="W106" s="83"/>
      <c r="X106" s="83"/>
      <c r="Y106" s="83"/>
      <c r="Z106" s="83"/>
      <c r="AA106" s="83"/>
      <c r="AB106" s="153"/>
      <c r="AC106" s="82" t="str">
        <f>IF([5]回答表!F18="水道事業",IF([5]回答表!X51="●",[5]回答表!J217,IF([5]回答表!AA51="●",[5]回答表!J297,"")),"")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IF([5]回答表!F18="水道事業",IF([5]回答表!X51="●",[5]回答表!E265,IF([5]回答表!AA51="●",[5]回答表!E344,"")),"")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IF([5]回答表!F18="水道事業",IF([5]回答表!X51="●",[5]回答表!B267,IF([5]回答表!AA51="●",[5]回答表!B346,"")),"")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IF([5]回答表!F18="水道事業",IF([5]回答表!AD51="●","●",""),"")</f>
        <v/>
      </c>
      <c r="O118" s="131"/>
      <c r="P118" s="131"/>
      <c r="Q118" s="132"/>
      <c r="R118" s="119"/>
      <c r="S118" s="119"/>
      <c r="T118" s="119"/>
      <c r="U118" s="133" t="str">
        <f>IF([5]回答表!F18="水道事業",IF([5]回答表!AD51="●",[5]回答表!B354,""),"")</f>
        <v/>
      </c>
      <c r="V118" s="134"/>
      <c r="W118" s="134"/>
      <c r="X118" s="134"/>
      <c r="Y118" s="134"/>
      <c r="Z118" s="134"/>
      <c r="AA118" s="134"/>
      <c r="AB118" s="134"/>
      <c r="AC118" s="134"/>
      <c r="AD118" s="134"/>
      <c r="AE118" s="134"/>
      <c r="AF118" s="134"/>
      <c r="AG118" s="134"/>
      <c r="AH118" s="134"/>
      <c r="AI118" s="134"/>
      <c r="AJ118" s="135"/>
      <c r="AK118" s="189"/>
      <c r="AL118" s="189"/>
      <c r="AM118" s="133" t="str">
        <f>IF([5]回答表!F18="水道事業",IF([5]回答表!AD51="●",[5]回答表!B360,""),"")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IF([5]回答表!F18="簡易水道事業",IF([5]回答表!X51="●",[5]回答表!B197,IF([5]回答表!AA51="●",[5]回答表!B275,"")),"")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IF([5]回答表!F18="簡易水道事業",IF([5]回答表!X51="●",[5]回答表!B256,IF([5]回答表!AA51="●",[5]回答表!B335,"")),"")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IF([5]回答表!F18="簡易水道事業",IF([5]回答表!X51="●","●",""),"")</f>
        <v/>
      </c>
      <c r="O132" s="131"/>
      <c r="P132" s="131"/>
      <c r="Q132" s="132"/>
      <c r="R132" s="119"/>
      <c r="S132" s="119"/>
      <c r="T132" s="119"/>
      <c r="U132" s="82" t="str">
        <f>IF([5]回答表!F18="簡易水道事業",IF([5]回答表!X51="●",[5]回答表!S224,IF([5]回答表!AA51="●",[5]回答表!S304,"")),"")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IF([5]回答表!F18="簡易水道事業",IF([5]回答表!X51="●",[5]回答表!E256,IF([5]回答表!AA51="●",[5]回答表!E335,"")),"")</f>
        <v/>
      </c>
      <c r="BG133" s="151"/>
      <c r="BH133" s="151"/>
      <c r="BI133" s="151"/>
      <c r="BJ133" s="150" t="str">
        <f>IF([5]回答表!F18="簡易水道事業",IF([5]回答表!X51="●",[5]回答表!E257,IF([5]回答表!AA51="●",[5]回答表!E336,"")),"")</f>
        <v/>
      </c>
      <c r="BK133" s="151"/>
      <c r="BL133" s="151"/>
      <c r="BM133" s="151"/>
      <c r="BN133" s="150" t="str">
        <f>IF([5]回答表!F18="簡易水道事業",IF([5]回答表!X51="●",[5]回答表!E258,IF([5]回答表!AA51="●",[5]回答表!E337,"")),"")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IF([5]回答表!F18="簡易水道事業",IF([5]回答表!X51="●",[5]回答表!S225,IF([5]回答表!AA51="●",[5]回答表!S305,"")),"")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IF([5]回答表!F18="簡易水道事業",IF([5]回答表!AA51="●","●",""),"")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IF([5]回答表!F18="簡易水道事業",IF([5]回答表!X51="●",[5]回答表!S226,IF([5]回答表!AA51="●",[5]回答表!S306,"")),"")</f>
        <v/>
      </c>
      <c r="V142" s="83"/>
      <c r="W142" s="83"/>
      <c r="X142" s="83"/>
      <c r="Y142" s="83"/>
      <c r="Z142" s="83"/>
      <c r="AA142" s="83"/>
      <c r="AB142" s="83"/>
      <c r="AC142" s="83"/>
      <c r="AD142" s="83"/>
      <c r="AE142" s="83"/>
      <c r="AF142" s="83"/>
      <c r="AG142" s="83"/>
      <c r="AH142" s="83"/>
      <c r="AI142" s="83"/>
      <c r="AJ142" s="153"/>
      <c r="AK142" s="68"/>
      <c r="AL142" s="68"/>
      <c r="AM142" s="231" t="str">
        <f>IF([5]回答表!F18="簡易水道事業",IF([5]回答表!X51="●",[5]回答表!Y228,IF([5]回答表!AA51="●",[5]回答表!Y308,"")),"")</f>
        <v/>
      </c>
      <c r="AN142" s="231"/>
      <c r="AO142" s="231"/>
      <c r="AP142" s="231"/>
      <c r="AQ142" s="231"/>
      <c r="AR142" s="231"/>
      <c r="AS142" s="231" t="str">
        <f>IF([5]回答表!F18="簡易水道事業",IF([5]回答表!X51="●",[5]回答表!Y229,IF([5]回答表!AA51="●",[5]回答表!Y309,"")),"")</f>
        <v/>
      </c>
      <c r="AT142" s="231"/>
      <c r="AU142" s="231"/>
      <c r="AV142" s="231"/>
      <c r="AW142" s="231"/>
      <c r="AX142" s="231"/>
      <c r="AY142" s="231" t="str">
        <f>IF([5]回答表!F18="簡易水道事業",IF([5]回答表!X51="●",[5]回答表!Y230,IF([5]回答表!AA51="●",[5]回答表!Y310,"")),"")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IF([5]回答表!F18="簡易水道事業",IF([5]回答表!X51="●",[5]回答表!E265,IF([5]回答表!AA51="●",[5]回答表!E344,"")),"")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IF([5]回答表!F18="簡易水道事業",IF([5]回答表!X51="●",[5]回答表!B267,IF([5]回答表!AA51="●",[5]回答表!B346,"")),"")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IF([5]回答表!F18="簡易水道事業",IF([5]回答表!AD51="●","●",""),"")</f>
        <v/>
      </c>
      <c r="O154" s="131"/>
      <c r="P154" s="131"/>
      <c r="Q154" s="132"/>
      <c r="R154" s="119"/>
      <c r="S154" s="119"/>
      <c r="T154" s="119"/>
      <c r="U154" s="133" t="str">
        <f>IF([5]回答表!F18="簡易水道事業",IF([5]回答表!AD51="●",[5]回答表!B354,""),"")</f>
        <v/>
      </c>
      <c r="V154" s="134"/>
      <c r="W154" s="134"/>
      <c r="X154" s="134"/>
      <c r="Y154" s="134"/>
      <c r="Z154" s="134"/>
      <c r="AA154" s="134"/>
      <c r="AB154" s="134"/>
      <c r="AC154" s="134"/>
      <c r="AD154" s="134"/>
      <c r="AE154" s="134"/>
      <c r="AF154" s="134"/>
      <c r="AG154" s="134"/>
      <c r="AH154" s="134"/>
      <c r="AI154" s="134"/>
      <c r="AJ154" s="135"/>
      <c r="AK154" s="189"/>
      <c r="AL154" s="189"/>
      <c r="AM154" s="133" t="str">
        <f>IF([5]回答表!F18="簡易水道事業",IF([5]回答表!AD51="●",[5]回答表!B360,""),"")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IF([5]回答表!F18="下水道事業",IF([5]回答表!X51="●","●",""),"")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IF([5]回答表!F18="下水道事業",IF([5]回答表!X51="●",[5]回答表!B197,IF([5]回答表!AA51="●",[5]回答表!B275,"")),"")</f>
        <v>　各自治体が個別に行っていた汚泥処理を県の流域下水道を核に広域化・共同化し県南を１単位とした広域集約処理することにより、コストを縮減し将来への負担を軽減する。
　廃棄していた汚泥を資源化することで循環型社会の構築に貢献する。</v>
      </c>
      <c r="AN166" s="134"/>
      <c r="AO166" s="134"/>
      <c r="AP166" s="134"/>
      <c r="AQ166" s="134"/>
      <c r="AR166" s="134"/>
      <c r="AS166" s="134"/>
      <c r="AT166" s="134"/>
      <c r="AU166" s="134"/>
      <c r="AV166" s="134"/>
      <c r="AW166" s="134"/>
      <c r="AX166" s="134"/>
      <c r="AY166" s="134"/>
      <c r="AZ166" s="134"/>
      <c r="BA166" s="134"/>
      <c r="BB166" s="134"/>
      <c r="BC166" s="135"/>
      <c r="BD166" s="109"/>
      <c r="BE166" s="109"/>
      <c r="BF166" s="138" t="str">
        <f>IF([5]回答表!F18="下水道事業",IF([5]回答表!X51="●",[5]回答表!B256,IF([5]回答表!AA51="●",[5]回答表!B335,"")),"")</f>
        <v>令和</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IF([5]回答表!F18="下水道事業",IF([5]回答表!X51="●",[5]回答表!N234,IF([5]回答表!AA51="●",[5]回答表!N314,"")),"")</f>
        <v xml:space="preserve">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f>IF([5]回答表!F18="下水道事業",IF([5]回答表!X51="●",[5]回答表!E256,IF([5]回答表!AA51="●",[5]回答表!E335,"")),"")</f>
        <v>5</v>
      </c>
      <c r="BG169" s="151"/>
      <c r="BH169" s="151"/>
      <c r="BI169" s="151"/>
      <c r="BJ169" s="150">
        <f>IF([5]回答表!F18="下水道事業",IF([5]回答表!X51="●",[5]回答表!E257,IF([5]回答表!AA51="●",[5]回答表!E336,"")),"")</f>
        <v>4</v>
      </c>
      <c r="BK169" s="151"/>
      <c r="BL169" s="151"/>
      <c r="BM169" s="151"/>
      <c r="BN169" s="150">
        <f>IF([5]回答表!F18="下水道事業",IF([5]回答表!X51="●",[5]回答表!E258,IF([5]回答表!AA51="●",[5]回答表!E337,"")),"")</f>
        <v>1</v>
      </c>
      <c r="BO169" s="151"/>
      <c r="BP169" s="151"/>
      <c r="BQ169" s="152"/>
      <c r="BR169" s="112"/>
      <c r="BX169" s="234" t="str">
        <f>IF([5]回答表!AQ21="下水道事業",IF([5]回答表!BI54="○",[5]回答表!AM200,IF([5]回答表!BL54="○",[5]回答表!AM278,"")),"")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IF([5]回答表!F18="下水道事業",IF([5]回答表!X51="●",[5]回答表!Y236,IF([5]回答表!AA51="●",[5]回答表!Y316,"")),"")</f>
        <v xml:space="preserve"> </v>
      </c>
      <c r="V174" s="83"/>
      <c r="W174" s="83"/>
      <c r="X174" s="83"/>
      <c r="Y174" s="83"/>
      <c r="Z174" s="83"/>
      <c r="AA174" s="83"/>
      <c r="AB174" s="153"/>
      <c r="AC174" s="82" t="str">
        <f>IF([5]回答表!F18="下水道事業",IF([5]回答表!X51="●",[5]回答表!Y237,IF([5]回答表!AA51="●",[5]回答表!Y317,"")),"")</f>
        <v xml:space="preserve">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IF([5]回答表!F18="下水道事業",IF([5]回答表!X51="●",[5]回答表!Y239,IF([5]回答表!AA51="●",[5]回答表!Y319,"")),"")</f>
        <v xml:space="preserve"> </v>
      </c>
      <c r="V180" s="83"/>
      <c r="W180" s="83"/>
      <c r="X180" s="83"/>
      <c r="Y180" s="83"/>
      <c r="Z180" s="83"/>
      <c r="AA180" s="83"/>
      <c r="AB180" s="153"/>
      <c r="AC180" s="82" t="str">
        <f>IF([5]回答表!F18="下水道事業",IF([5]回答表!X51="●",[5]回答表!Y240,IF([5]回答表!AA51="●",[5]回答表!Y320,"")),"")</f>
        <v xml:space="preserve"> </v>
      </c>
      <c r="AD180" s="83"/>
      <c r="AE180" s="83"/>
      <c r="AF180" s="83"/>
      <c r="AG180" s="83"/>
      <c r="AH180" s="83"/>
      <c r="AI180" s="83"/>
      <c r="AJ180" s="153"/>
      <c r="AK180" s="82" t="str">
        <f>IF([5]回答表!F18="下水道事業",IF([5]回答表!X51="●",[5]回答表!Y241,IF([5]回答表!AA51="●",[5]回答表!Y321,"")),"")</f>
        <v xml:space="preserve"> </v>
      </c>
      <c r="AL180" s="83"/>
      <c r="AM180" s="83"/>
      <c r="AN180" s="83"/>
      <c r="AO180" s="83"/>
      <c r="AP180" s="83"/>
      <c r="AQ180" s="83"/>
      <c r="AR180" s="153"/>
      <c r="AS180" s="82" t="str">
        <f>IF([5]回答表!F18="下水道事業",IF([5]回答表!X51="●",[5]回答表!Y242,IF([5]回答表!AA51="●",[5]回答表!Y322,"")),"")</f>
        <v xml:space="preserve"> </v>
      </c>
      <c r="AT180" s="83"/>
      <c r="AU180" s="83"/>
      <c r="AV180" s="83"/>
      <c r="AW180" s="83"/>
      <c r="AX180" s="83"/>
      <c r="AY180" s="83"/>
      <c r="AZ180" s="153"/>
      <c r="BA180" s="82" t="str">
        <f>IF([5]回答表!F18="下水道事業",IF([5]回答表!X51="●",[5]回答表!Y243,IF([5]回答表!AA51="●",[5]回答表!Y323,"")),"")</f>
        <v xml:space="preserve">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IF([5]回答表!F18="下水道事業",IF([5]回答表!AA51="●","●",""),"")</f>
        <v>●</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IF([5]回答表!F18="下水道事業",IF([5]回答表!X51="●",[5]回答表!N248,IF([5]回答表!AA51="●",[5]回答表!N328,"")),"")</f>
        <v>●</v>
      </c>
      <c r="V186" s="83"/>
      <c r="W186" s="83"/>
      <c r="X186" s="83"/>
      <c r="Y186" s="83"/>
      <c r="Z186" s="83"/>
      <c r="AA186" s="83"/>
      <c r="AB186" s="153"/>
      <c r="AC186" s="82" t="str">
        <f>IF([5]回答表!F18="下水道事業",IF([5]回答表!X51="●",[5]回答表!N249,IF([5]回答表!AA51="●",[5]回答表!N329,"")),"")</f>
        <v xml:space="preserve"> </v>
      </c>
      <c r="AD186" s="83"/>
      <c r="AE186" s="83"/>
      <c r="AF186" s="83"/>
      <c r="AG186" s="83"/>
      <c r="AH186" s="83"/>
      <c r="AI186" s="83"/>
      <c r="AJ186" s="153"/>
      <c r="AK186" s="82" t="str">
        <f>IF([5]回答表!F18="下水道事業",IF([5]回答表!X51="●",[5]回答表!N250,IF([5]回答表!AA51="●",[5]回答表!N330,"")),"")</f>
        <v xml:space="preserve">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IF([5]回答表!F18="下水道事業",IF([5]回答表!X51="●",[5]回答表!E265,IF([5]回答表!AA51="●",[5]回答表!E344,"")),"")</f>
        <v>－</v>
      </c>
      <c r="V191" s="182"/>
      <c r="W191" s="182"/>
      <c r="X191" s="182"/>
      <c r="Y191" s="182"/>
      <c r="Z191" s="182"/>
      <c r="AA191" s="182"/>
      <c r="AB191" s="182"/>
      <c r="AC191" s="182"/>
      <c r="AD191" s="182"/>
      <c r="AE191" s="183" t="s">
        <v>33</v>
      </c>
      <c r="AF191" s="183"/>
      <c r="AG191" s="183"/>
      <c r="AH191" s="183"/>
      <c r="AI191" s="183"/>
      <c r="AJ191" s="184"/>
      <c r="AK191" s="136"/>
      <c r="AL191" s="136"/>
      <c r="AM191" s="133" t="str">
        <f>IF([5]回答表!F18="下水道事業",IF([5]回答表!X51="●",[5]回答表!B267,IF([5]回答表!AA51="●",[5]回答表!B346,"")),"")</f>
        <v>不明</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IF([5]回答表!F18="下水道事業",IF([5]回答表!AD51="●","●",""),"")</f>
        <v/>
      </c>
      <c r="O198" s="131"/>
      <c r="P198" s="131"/>
      <c r="Q198" s="132"/>
      <c r="R198" s="119"/>
      <c r="S198" s="119"/>
      <c r="T198" s="119"/>
      <c r="U198" s="133" t="str">
        <f>IF([5]回答表!F18="下水道事業",IF([5]回答表!AD51="●",[5]回答表!B354,""),"")</f>
        <v/>
      </c>
      <c r="V198" s="134"/>
      <c r="W198" s="134"/>
      <c r="X198" s="134"/>
      <c r="Y198" s="134"/>
      <c r="Z198" s="134"/>
      <c r="AA198" s="134"/>
      <c r="AB198" s="134"/>
      <c r="AC198" s="134"/>
      <c r="AD198" s="134"/>
      <c r="AE198" s="134"/>
      <c r="AF198" s="134"/>
      <c r="AG198" s="134"/>
      <c r="AH198" s="134"/>
      <c r="AI198" s="134"/>
      <c r="AJ198" s="135"/>
      <c r="AK198" s="189"/>
      <c r="AL198" s="189"/>
      <c r="AM198" s="133" t="str">
        <f>IF([5]回答表!F18="下水道事業",IF([5]回答表!AD51="●",[5]回答表!B360,""),"")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IF([5]回答表!BD18="●",IF([5]回答表!X51="●","●",""),"")</f>
        <v/>
      </c>
      <c r="O210" s="131"/>
      <c r="P210" s="131"/>
      <c r="Q210" s="132"/>
      <c r="R210" s="119"/>
      <c r="S210" s="119"/>
      <c r="T210" s="119"/>
      <c r="U210" s="133" t="str">
        <f>IF([5]回答表!BD18="●",IF([5]回答表!X51="●",[5]回答表!B197,IF([5]回答表!AA51="●",[5]回答表!B275,"")),"")</f>
        <v/>
      </c>
      <c r="V210" s="134"/>
      <c r="W210" s="134"/>
      <c r="X210" s="134"/>
      <c r="Y210" s="134"/>
      <c r="Z210" s="134"/>
      <c r="AA210" s="134"/>
      <c r="AB210" s="134"/>
      <c r="AC210" s="134"/>
      <c r="AD210" s="134"/>
      <c r="AE210" s="134"/>
      <c r="AF210" s="134"/>
      <c r="AG210" s="134"/>
      <c r="AH210" s="134"/>
      <c r="AI210" s="134"/>
      <c r="AJ210" s="135"/>
      <c r="AK210" s="136"/>
      <c r="AL210" s="136"/>
      <c r="AM210" s="138" t="str">
        <f>IF([5]回答表!BD18="●",IF([5]回答表!X51="●",[5]回答表!B256,IF([5]回答表!AA51="●",[5]回答表!B335,"")),"")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IF([5]回答表!BD18="●",IF([5]回答表!X51="●",[5]回答表!E256,IF([5]回答表!AA51="●",[5]回答表!E335,"")),"")</f>
        <v/>
      </c>
      <c r="AN213" s="151"/>
      <c r="AO213" s="151"/>
      <c r="AP213" s="151"/>
      <c r="AQ213" s="150" t="str">
        <f>IF([5]回答表!BD18="●",IF([5]回答表!X51="●",[5]回答表!E257,IF([5]回答表!AA51="●",[5]回答表!E336,"")),"")</f>
        <v/>
      </c>
      <c r="AR213" s="151"/>
      <c r="AS213" s="151"/>
      <c r="AT213" s="151"/>
      <c r="AU213" s="150" t="str">
        <f>IF([5]回答表!BD18="●",IF([5]回答表!X51="●",[5]回答表!E258,IF([5]回答表!AA51="●",[5]回答表!E337,"")),"")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IF([5]回答表!BD18="●",IF([5]回答表!AA51="●","●",""),"")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IF([5]回答表!BD18="●",IF([5]回答表!X51="●",[5]回答表!E265,IF([5]回答表!AA51="●",[5]回答表!E344,"")),"")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IF([5]回答表!BD18="●",IF([5]回答表!X51="●",[5]回答表!B267,IF([5]回答表!AA51="●",[5]回答表!B346,"")),"")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IF([5]回答表!BD18="●",IF([5]回答表!AD51="●","●",""),"")</f>
        <v/>
      </c>
      <c r="O229" s="131"/>
      <c r="P229" s="131"/>
      <c r="Q229" s="132"/>
      <c r="R229" s="119"/>
      <c r="S229" s="119"/>
      <c r="T229" s="119"/>
      <c r="U229" s="133" t="str">
        <f>IF([5]回答表!BD18="●",IF([5]回答表!AD51="●",[5]回答表!B354,""),"")</f>
        <v/>
      </c>
      <c r="V229" s="134"/>
      <c r="W229" s="134"/>
      <c r="X229" s="134"/>
      <c r="Y229" s="134"/>
      <c r="Z229" s="134"/>
      <c r="AA229" s="134"/>
      <c r="AB229" s="134"/>
      <c r="AC229" s="134"/>
      <c r="AD229" s="134"/>
      <c r="AE229" s="134"/>
      <c r="AF229" s="134"/>
      <c r="AG229" s="134"/>
      <c r="AH229" s="134"/>
      <c r="AI229" s="134"/>
      <c r="AJ229" s="135"/>
      <c r="AK229" s="249"/>
      <c r="AL229" s="249"/>
      <c r="AM229" s="133" t="str">
        <f>IF([5]回答表!BD18="●",IF([5]回答表!AD51="●",[5]回答表!B360,""),"")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IF([5]回答表!X52="●","●","")</f>
        <v/>
      </c>
      <c r="O241" s="131"/>
      <c r="P241" s="131"/>
      <c r="Q241" s="132"/>
      <c r="R241" s="119"/>
      <c r="S241" s="119"/>
      <c r="T241" s="119"/>
      <c r="U241" s="133" t="str">
        <f>IF([5]回答表!X52="●",[5]回答表!B371,IF([5]回答表!AA52="●",[5]回答表!B396,""))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IF([5]回答表!X52="●",[5]回答表!U377,IF([5]回答表!AA52="●",[5]回答表!U402,""))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IF([5]回答表!X52="●",[5]回答表!G377,IF([5]回答表!AA52="●",[5]回答表!G402,""))</f>
        <v/>
      </c>
      <c r="AN244" s="83"/>
      <c r="AO244" s="83"/>
      <c r="AP244" s="83"/>
      <c r="AQ244" s="83"/>
      <c r="AR244" s="83"/>
      <c r="AS244" s="83"/>
      <c r="AT244" s="153"/>
      <c r="AU244" s="82" t="str">
        <f>IF([5]回答表!X52="●",[5]回答表!G378,IF([5]回答表!AA52="●",[5]回答表!G403,""))</f>
        <v/>
      </c>
      <c r="AV244" s="83"/>
      <c r="AW244" s="83"/>
      <c r="AX244" s="83"/>
      <c r="AY244" s="83"/>
      <c r="AZ244" s="83"/>
      <c r="BA244" s="83"/>
      <c r="BB244" s="153"/>
      <c r="BC244" s="120"/>
      <c r="BD244" s="109"/>
      <c r="BE244" s="109"/>
      <c r="BF244" s="150" t="str">
        <f>IF([5]回答表!X52="●",[5]回答表!X377,IF([5]回答表!AA52="●",[5]回答表!X402,""))</f>
        <v/>
      </c>
      <c r="BG244" s="151"/>
      <c r="BH244" s="151"/>
      <c r="BI244" s="151"/>
      <c r="BJ244" s="150" t="str">
        <f>IF([5]回答表!X52="●",[5]回答表!X378,IF([5]回答表!AA52="●",[5]回答表!X403,""))</f>
        <v/>
      </c>
      <c r="BK244" s="151"/>
      <c r="BL244" s="151"/>
      <c r="BM244" s="152"/>
      <c r="BN244" s="150" t="str">
        <f>IF([5]回答表!X52="●",[5]回答表!X379,IF([5]回答表!AA52="●",[5]回答表!X404,""))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IF([5]回答表!X52="●",[5]回答表!E386,IF([5]回答表!AA52="●",[5]回答表!E407,""))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IF([5]回答表!X52="●",[5]回答表!B388,IF([5]回答表!AA52="●",[5]回答表!B409,""))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IF([5]回答表!AD52="●","●","")</f>
        <v/>
      </c>
      <c r="O260" s="131"/>
      <c r="P260" s="131"/>
      <c r="Q260" s="132"/>
      <c r="R260" s="119"/>
      <c r="S260" s="119"/>
      <c r="T260" s="119"/>
      <c r="U260" s="133" t="str">
        <f>IF([5]回答表!AD52="●",[5]回答表!B417,"")</f>
        <v/>
      </c>
      <c r="V260" s="134"/>
      <c r="W260" s="134"/>
      <c r="X260" s="134"/>
      <c r="Y260" s="134"/>
      <c r="Z260" s="134"/>
      <c r="AA260" s="134"/>
      <c r="AB260" s="134"/>
      <c r="AC260" s="134"/>
      <c r="AD260" s="134"/>
      <c r="AE260" s="134"/>
      <c r="AF260" s="134"/>
      <c r="AG260" s="134"/>
      <c r="AH260" s="134"/>
      <c r="AI260" s="134"/>
      <c r="AJ260" s="135"/>
      <c r="AK260" s="249"/>
      <c r="AL260" s="249"/>
      <c r="AM260" s="133" t="str">
        <f>IF([5]回答表!AD52="●",[5]回答表!B423,"")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IF([5]回答表!X53="●","●","")</f>
        <v/>
      </c>
      <c r="O272" s="131"/>
      <c r="P272" s="131"/>
      <c r="Q272" s="132"/>
      <c r="R272" s="119"/>
      <c r="S272" s="119"/>
      <c r="T272" s="119"/>
      <c r="U272" s="133" t="str">
        <f>IF([5]回答表!X53="●",[5]回答表!B434,IF([5]回答表!AA53="●",[5]回答表!B465,""))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IF([5]回答表!X53="●",[5]回答表!B440,"")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IF([5]回答表!X53="●",[5]回答表!B446,IF([5]回答表!AA53="●",[5]回答表!B471,""))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IF([5]回答表!X53="●",[5]回答表!E446,IF([5]回答表!AA53="●",[5]回答表!E471,""))</f>
        <v/>
      </c>
      <c r="BG275" s="151"/>
      <c r="BH275" s="151"/>
      <c r="BI275" s="151"/>
      <c r="BJ275" s="150" t="str">
        <f>IF([5]回答表!X53="●",[5]回答表!E447,IF([5]回答表!AA53="●",[5]回答表!E472,""))</f>
        <v/>
      </c>
      <c r="BK275" s="151"/>
      <c r="BL275" s="151"/>
      <c r="BM275" s="152"/>
      <c r="BN275" s="150" t="str">
        <f>IF([5]回答表!X53="●",[5]回答表!E448,IF([5]回答表!AA53="●",[5]回答表!E473,""))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IF([5]回答表!X53="●",[5]回答表!E455,IF([5]回答表!AA53="●",[5]回答表!E476,""))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IF([5]回答表!X53="●",[5]回答表!B457,IF([5]回答表!AA53="●",[5]回答表!B478,""))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IF([5]回答表!AD53="●","●","")</f>
        <v/>
      </c>
      <c r="O291" s="131"/>
      <c r="P291" s="131"/>
      <c r="Q291" s="132"/>
      <c r="R291" s="119"/>
      <c r="S291" s="119"/>
      <c r="T291" s="119"/>
      <c r="U291" s="133" t="str">
        <f>IF([5]回答表!AD53="●",[5]回答表!B486,"")</f>
        <v/>
      </c>
      <c r="V291" s="134"/>
      <c r="W291" s="134"/>
      <c r="X291" s="134"/>
      <c r="Y291" s="134"/>
      <c r="Z291" s="134"/>
      <c r="AA291" s="134"/>
      <c r="AB291" s="134"/>
      <c r="AC291" s="134"/>
      <c r="AD291" s="134"/>
      <c r="AE291" s="134"/>
      <c r="AF291" s="134"/>
      <c r="AG291" s="134"/>
      <c r="AH291" s="134"/>
      <c r="AI291" s="134"/>
      <c r="AJ291" s="135"/>
      <c r="AK291" s="249"/>
      <c r="AL291" s="249"/>
      <c r="AM291" s="133" t="str">
        <f>IF([5]回答表!AD53="●",[5]回答表!B492,"")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IF([5]回答表!X54="●","●","")</f>
        <v/>
      </c>
      <c r="O303" s="131"/>
      <c r="P303" s="131"/>
      <c r="Q303" s="132"/>
      <c r="R303" s="119"/>
      <c r="S303" s="119"/>
      <c r="T303" s="119"/>
      <c r="U303" s="133" t="str">
        <f>IF([5]回答表!X54="●",[5]回答表!B503,IF([5]回答表!AA54="●",[5]回答表!B526,""))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IF([5]回答表!X54="●",[5]回答表!BC510,IF([5]回答表!AA54="●",[5]回答表!BC533,""))</f>
        <v/>
      </c>
      <c r="AR303" s="271"/>
      <c r="AS303" s="271"/>
      <c r="AT303" s="271"/>
      <c r="AU303" s="272" t="s">
        <v>74</v>
      </c>
      <c r="AV303" s="273"/>
      <c r="AW303" s="273"/>
      <c r="AX303" s="274"/>
      <c r="AY303" s="271" t="str">
        <f>IF([5]回答表!X54="●",[5]回答表!BC515,IF([5]回答表!AA54="●",[5]回答表!BC538,""))</f>
        <v/>
      </c>
      <c r="AZ303" s="271"/>
      <c r="BA303" s="271"/>
      <c r="BB303" s="271"/>
      <c r="BC303" s="120"/>
      <c r="BD303" s="109"/>
      <c r="BE303" s="109"/>
      <c r="BF303" s="138" t="str">
        <f>IF([5]回答表!X54="●",[5]回答表!S509,IF([5]回答表!AA54="●",[5]回答表!S532,""))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IF([5]回答表!X54="●",[5]回答表!BC511,IF([5]回答表!AA54="●",[5]回答表!BC534,""))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IF([5]回答表!X54="●",[5]回答表!V509,IF([5]回答表!AA54="●",[5]回答表!V532,""))</f>
        <v/>
      </c>
      <c r="BG306" s="151"/>
      <c r="BH306" s="151"/>
      <c r="BI306" s="151"/>
      <c r="BJ306" s="150" t="str">
        <f>IF([5]回答表!X54="●",[5]回答表!V510,IF([5]回答表!AA54="●",[5]回答表!V533,""))</f>
        <v/>
      </c>
      <c r="BK306" s="151"/>
      <c r="BL306" s="151"/>
      <c r="BM306" s="152"/>
      <c r="BN306" s="150" t="str">
        <f>IF([5]回答表!X54="●",[5]回答表!V511,IF([5]回答表!AA54="●",[5]回答表!V534,""))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IF([5]回答表!X54="●",[5]回答表!BC512,IF([5]回答表!AA54="●",[5]回答表!BC535,""))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IF([5]回答表!X54="●",[5]回答表!BC516,IF([5]回答表!AA54="●",[5]回答表!BC539,""))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IF([5]回答表!X54="●",[5]回答表!BC513,IF([5]回答表!AA54="●",[5]回答表!BC536,""))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IF([5]回答表!X54="●",[5]回答表!BC514,IF([5]回答表!AA54="●",[5]回答表!BC537,""))</f>
        <v/>
      </c>
      <c r="AR311" s="271"/>
      <c r="AS311" s="271"/>
      <c r="AT311" s="271"/>
      <c r="AU311" s="222" t="s">
        <v>80</v>
      </c>
      <c r="AV311" s="223"/>
      <c r="AW311" s="223"/>
      <c r="AX311" s="224"/>
      <c r="AY311" s="281" t="str">
        <f>IF([5]回答表!X54="●",[5]回答表!BC517,IF([5]回答表!AA54="●",[5]回答表!BC540,""))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IF([5]回答表!X54="●",[5]回答表!E516,IF([5]回答表!AA54="●",[5]回答表!E538,""))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IF([5]回答表!X54="●",[5]回答表!B518,IF([5]回答表!AA54="●",[5]回答表!B540,""))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IF([5]回答表!AD54="●","●","")</f>
        <v/>
      </c>
      <c r="O322" s="131"/>
      <c r="P322" s="131"/>
      <c r="Q322" s="132"/>
      <c r="R322" s="119"/>
      <c r="S322" s="119"/>
      <c r="T322" s="119"/>
      <c r="U322" s="133" t="str">
        <f>IF([5]回答表!AD54="●",[5]回答表!B548,"")</f>
        <v/>
      </c>
      <c r="V322" s="134"/>
      <c r="W322" s="134"/>
      <c r="X322" s="134"/>
      <c r="Y322" s="134"/>
      <c r="Z322" s="134"/>
      <c r="AA322" s="134"/>
      <c r="AB322" s="134"/>
      <c r="AC322" s="134"/>
      <c r="AD322" s="134"/>
      <c r="AE322" s="134"/>
      <c r="AF322" s="134"/>
      <c r="AG322" s="134"/>
      <c r="AH322" s="134"/>
      <c r="AI322" s="134"/>
      <c r="AJ322" s="135"/>
      <c r="AK322" s="189"/>
      <c r="AL322" s="189"/>
      <c r="AM322" s="133" t="str">
        <f>IF([5]回答表!AD54="●",[5]回答表!B554,"")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IF([5]回答表!X55="●","●","")</f>
        <v/>
      </c>
      <c r="O333" s="131"/>
      <c r="P333" s="131"/>
      <c r="Q333" s="132"/>
      <c r="R333" s="119"/>
      <c r="S333" s="119"/>
      <c r="T333" s="119"/>
      <c r="U333" s="133" t="str">
        <f>IF([5]回答表!X55="●",[5]回答表!B565,IF([5]回答表!AA55="●",[5]回答表!B590,""))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IF([5]回答表!X55="●",[5]回答表!B575,IF([5]回答表!AA55="●",[5]回答表!B600,""))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IF([5]回答表!X55="●",[5]回答表!G571,IF([5]回答表!AA55="●",[5]回答表!G596,""))</f>
        <v/>
      </c>
      <c r="AN335" s="83"/>
      <c r="AO335" s="83"/>
      <c r="AP335" s="83"/>
      <c r="AQ335" s="83"/>
      <c r="AR335" s="83"/>
      <c r="AS335" s="83"/>
      <c r="AT335" s="153"/>
      <c r="AU335" s="82" t="str">
        <f>IF([5]回答表!X55="●",[5]回答表!G572,IF([5]回答表!AA55="●",[5]回答表!G597,""))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IF([5]回答表!X55="●",[5]回答表!E575,IF([5]回答表!AA55="●",[5]回答表!E600,""))</f>
        <v/>
      </c>
      <c r="BG336" s="151"/>
      <c r="BH336" s="151"/>
      <c r="BI336" s="151"/>
      <c r="BJ336" s="150" t="str">
        <f>IF([5]回答表!X55="●",[5]回答表!E576,IF([5]回答表!AA55="●",[5]回答表!E601,""))</f>
        <v/>
      </c>
      <c r="BK336" s="151"/>
      <c r="BL336" s="151"/>
      <c r="BM336" s="152"/>
      <c r="BN336" s="150" t="str">
        <f>IF([5]回答表!X55="●",[5]回答表!E577,IF([5]回答表!AA55="●",[5]回答表!E602,""))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IF([5]回答表!X55="●",[5]回答表!E580,IF([5]回答表!AA55="●",[5]回答表!E605,""))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IF([5]回答表!X55="●",[5]回答表!B582,IF([5]回答表!AA55="●",[5]回答表!B607,""))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IF([5]回答表!AD55="●","●","")</f>
        <v/>
      </c>
      <c r="O352" s="131"/>
      <c r="P352" s="131"/>
      <c r="Q352" s="132"/>
      <c r="R352" s="119"/>
      <c r="S352" s="119"/>
      <c r="T352" s="119"/>
      <c r="U352" s="133" t="str">
        <f>IF([5]回答表!AD55="●",[5]回答表!B615,"")</f>
        <v/>
      </c>
      <c r="V352" s="134"/>
      <c r="W352" s="134"/>
      <c r="X352" s="134"/>
      <c r="Y352" s="134"/>
      <c r="Z352" s="134"/>
      <c r="AA352" s="134"/>
      <c r="AB352" s="134"/>
      <c r="AC352" s="134"/>
      <c r="AD352" s="134"/>
      <c r="AE352" s="134"/>
      <c r="AF352" s="134"/>
      <c r="AG352" s="134"/>
      <c r="AH352" s="134"/>
      <c r="AI352" s="134"/>
      <c r="AJ352" s="135"/>
      <c r="AK352" s="136"/>
      <c r="AL352" s="136"/>
      <c r="AM352" s="133" t="str">
        <f>IF([5]回答表!AD55="●",[5]回答表!B621,"")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IF([5]回答表!R56="●",[5]回答表!B634,"")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E3FA-6ECE-417A-880A-B4F303D674CE}">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IF(COUNTIF([6]回答表!K16,"*")&gt;0,[6]回答表!K16,"")</f>
        <v>大仙市</v>
      </c>
      <c r="D11" s="8"/>
      <c r="E11" s="8"/>
      <c r="F11" s="8"/>
      <c r="G11" s="8"/>
      <c r="H11" s="8"/>
      <c r="I11" s="8"/>
      <c r="J11" s="8"/>
      <c r="K11" s="8"/>
      <c r="L11" s="8"/>
      <c r="M11" s="8"/>
      <c r="N11" s="8"/>
      <c r="O11" s="8"/>
      <c r="P11" s="8"/>
      <c r="Q11" s="8"/>
      <c r="R11" s="8"/>
      <c r="S11" s="8"/>
      <c r="T11" s="8"/>
      <c r="U11" s="22" t="str">
        <f>IF(COUNTIF([6]回答表!F18,"*")&gt;0,[6]回答表!F18,"")</f>
        <v>簡易水道事業</v>
      </c>
      <c r="V11" s="23"/>
      <c r="W11" s="23"/>
      <c r="X11" s="23"/>
      <c r="Y11" s="23"/>
      <c r="Z11" s="23"/>
      <c r="AA11" s="23"/>
      <c r="AB11" s="23"/>
      <c r="AC11" s="23"/>
      <c r="AD11" s="23"/>
      <c r="AE11" s="23"/>
      <c r="AF11" s="10"/>
      <c r="AG11" s="10"/>
      <c r="AH11" s="10"/>
      <c r="AI11" s="10"/>
      <c r="AJ11" s="10"/>
      <c r="AK11" s="10"/>
      <c r="AL11" s="10"/>
      <c r="AM11" s="10"/>
      <c r="AN11" s="11"/>
      <c r="AO11" s="24" t="str">
        <f>IF(COUNTIF([6]回答表!W18,"*")&gt;0,[6]回答表!W18,"")</f>
        <v>―</v>
      </c>
      <c r="AP11" s="10"/>
      <c r="AQ11" s="10"/>
      <c r="AR11" s="10"/>
      <c r="AS11" s="10"/>
      <c r="AT11" s="10"/>
      <c r="AU11" s="10"/>
      <c r="AV11" s="10"/>
      <c r="AW11" s="10"/>
      <c r="AX11" s="10"/>
      <c r="AY11" s="10"/>
      <c r="AZ11" s="10"/>
      <c r="BA11" s="10"/>
      <c r="BB11" s="10"/>
      <c r="BC11" s="10"/>
      <c r="BD11" s="10"/>
      <c r="BE11" s="10"/>
      <c r="BF11" s="11"/>
      <c r="BG11" s="21" t="str">
        <f>IF(COUNTIF([6]回答表!F20,"*")&gt;0,[6]回答表!F20,"")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IF([6]回答表!R49="●","●","")</f>
        <v/>
      </c>
      <c r="E24" s="80"/>
      <c r="F24" s="80"/>
      <c r="G24" s="80"/>
      <c r="H24" s="80"/>
      <c r="I24" s="80"/>
      <c r="J24" s="81"/>
      <c r="K24" s="79" t="str">
        <f>IF([6]回答表!R50="●","●","")</f>
        <v/>
      </c>
      <c r="L24" s="80"/>
      <c r="M24" s="80"/>
      <c r="N24" s="80"/>
      <c r="O24" s="80"/>
      <c r="P24" s="80"/>
      <c r="Q24" s="81"/>
      <c r="R24" s="79" t="str">
        <f>IF([6]回答表!R51="●","●","")</f>
        <v>●</v>
      </c>
      <c r="S24" s="80"/>
      <c r="T24" s="80"/>
      <c r="U24" s="80"/>
      <c r="V24" s="80"/>
      <c r="W24" s="80"/>
      <c r="X24" s="81"/>
      <c r="Y24" s="79" t="str">
        <f>IF([6]回答表!R52="●","●","")</f>
        <v/>
      </c>
      <c r="Z24" s="80"/>
      <c r="AA24" s="80"/>
      <c r="AB24" s="80"/>
      <c r="AC24" s="80"/>
      <c r="AD24" s="80"/>
      <c r="AE24" s="81"/>
      <c r="AF24" s="79" t="str">
        <f>IF([6]回答表!R53="●","●","")</f>
        <v>●</v>
      </c>
      <c r="AG24" s="80"/>
      <c r="AH24" s="80"/>
      <c r="AI24" s="80"/>
      <c r="AJ24" s="80"/>
      <c r="AK24" s="80"/>
      <c r="AL24" s="81"/>
      <c r="AM24" s="79" t="str">
        <f>IF([6]回答表!R54="●","●","")</f>
        <v/>
      </c>
      <c r="AN24" s="80"/>
      <c r="AO24" s="80"/>
      <c r="AP24" s="80"/>
      <c r="AQ24" s="80"/>
      <c r="AR24" s="80"/>
      <c r="AS24" s="81"/>
      <c r="AT24" s="79" t="str">
        <f>IF([6]回答表!R55="●","●","")</f>
        <v/>
      </c>
      <c r="AU24" s="80"/>
      <c r="AV24" s="80"/>
      <c r="AW24" s="80"/>
      <c r="AX24" s="80"/>
      <c r="AY24" s="80"/>
      <c r="AZ24" s="81"/>
      <c r="BA24" s="68"/>
      <c r="BB24" s="82" t="str">
        <f>IF([6]回答表!R56="●","●","")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IF([6]回答表!X49="●","●","")</f>
        <v/>
      </c>
      <c r="O36" s="131"/>
      <c r="P36" s="131"/>
      <c r="Q36" s="132"/>
      <c r="R36" s="119"/>
      <c r="S36" s="119"/>
      <c r="T36" s="119"/>
      <c r="U36" s="133" t="str">
        <f>IF([6]回答表!X49="●",[6]回答表!B67,IF([6]回答表!AA49="●",[6]回答表!B95,""))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IF([6]回答表!X49="●",[6]回答表!S73,IF([6]回答表!AA49="●",[6]回答表!S101,""))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IF([6]回答表!X49="●",[6]回答表!G73,IF([6]回答表!AA49="●",[6]回答表!G101,""))</f>
        <v/>
      </c>
      <c r="AN38" s="83"/>
      <c r="AO38" s="83"/>
      <c r="AP38" s="83"/>
      <c r="AQ38" s="83"/>
      <c r="AR38" s="83"/>
      <c r="AS38" s="83"/>
      <c r="AT38" s="153"/>
      <c r="AU38" s="82" t="str">
        <f>IF([6]回答表!X49="●",[6]回答表!G74,IF([6]回答表!AA49="●",[6]回答表!G102,""))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IF([6]回答表!X49="●",[6]回答表!V73,IF([6]回答表!AA49="●",[6]回答表!V101,""))</f>
        <v/>
      </c>
      <c r="BG39" s="16"/>
      <c r="BH39" s="16"/>
      <c r="BI39" s="17"/>
      <c r="BJ39" s="150" t="str">
        <f>IF([6]回答表!X49="●",[6]回答表!V74,IF([6]回答表!AA49="●",[6]回答表!V102,""))</f>
        <v/>
      </c>
      <c r="BK39" s="16"/>
      <c r="BL39" s="16"/>
      <c r="BM39" s="17"/>
      <c r="BN39" s="150" t="str">
        <f>IF([6]回答表!X49="●",[6]回答表!V75,IF([6]回答表!AA49="●",[6]回答表!V103,""))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IF([6]回答表!X49="●",[6]回答表!O79,IF([6]回答表!AA49="●",[6]回答表!O107,""))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IF([6]回答表!X49="●",[6]回答表!O80,IF([6]回答表!AA49="●",[6]回答表!O108,""))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IF([6]回答表!AA49="●","●","")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IF([6]回答表!X49="●",[6]回答表!O81,IF([6]回答表!AA49="●",[6]回答表!O109,""))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IF([6]回答表!X49="●",[6]回答表!O82,IF([6]回答表!AA49="●",[6]回答表!O110,""))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IF([6]回答表!X49="●",[6]回答表!AG79,IF([6]回答表!AA49="●",[6]回答表!AG107,""))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IF([6]回答表!X49="●",[6]回答表!AG80,IF([6]回答表!AA49="●",[6]回答表!AG108,""))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IF([6]回答表!X49="●",[6]回答表!E85,IF([6]回答表!AA49="●",[6]回答表!E113,""))</f>
        <v/>
      </c>
      <c r="V50" s="182"/>
      <c r="W50" s="182"/>
      <c r="X50" s="182"/>
      <c r="Y50" s="182"/>
      <c r="Z50" s="182"/>
      <c r="AA50" s="182"/>
      <c r="AB50" s="182"/>
      <c r="AC50" s="182"/>
      <c r="AD50" s="182"/>
      <c r="AE50" s="183" t="s">
        <v>33</v>
      </c>
      <c r="AF50" s="183"/>
      <c r="AG50" s="183"/>
      <c r="AH50" s="183"/>
      <c r="AI50" s="183"/>
      <c r="AJ50" s="184"/>
      <c r="AK50" s="136"/>
      <c r="AL50" s="136"/>
      <c r="AM50" s="133" t="str">
        <f>IF([6]回答表!X49="●",[6]回答表!B87,IF([6]回答表!AA49="●",[6]回答表!B115,""))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IF([6]回答表!AD49="●","●","")</f>
        <v/>
      </c>
      <c r="O57" s="131"/>
      <c r="P57" s="131"/>
      <c r="Q57" s="132"/>
      <c r="R57" s="119"/>
      <c r="S57" s="119"/>
      <c r="T57" s="119"/>
      <c r="U57" s="133" t="str">
        <f>IF([6]回答表!AD49="●",[6]回答表!B123,"")</f>
        <v/>
      </c>
      <c r="V57" s="134"/>
      <c r="W57" s="134"/>
      <c r="X57" s="134"/>
      <c r="Y57" s="134"/>
      <c r="Z57" s="134"/>
      <c r="AA57" s="134"/>
      <c r="AB57" s="134"/>
      <c r="AC57" s="134"/>
      <c r="AD57" s="134"/>
      <c r="AE57" s="134"/>
      <c r="AF57" s="134"/>
      <c r="AG57" s="134"/>
      <c r="AH57" s="134"/>
      <c r="AI57" s="134"/>
      <c r="AJ57" s="135"/>
      <c r="AK57" s="189"/>
      <c r="AL57" s="189"/>
      <c r="AM57" s="133" t="str">
        <f>IF([6]回答表!AD49="●",[6]回答表!B128,"")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IF([6]回答表!X50="●","●","")</f>
        <v/>
      </c>
      <c r="O68" s="131"/>
      <c r="P68" s="131"/>
      <c r="Q68" s="132"/>
      <c r="R68" s="119"/>
      <c r="S68" s="119"/>
      <c r="T68" s="119"/>
      <c r="U68" s="133" t="str">
        <f>IF([6]回答表!X50="●",[6]回答表!B138,IF([6]回答表!AA50="●",[6]回答表!B159,""))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IF([6]回答表!X50="●",[6]回答表!S144,IF([6]回答表!AA50="●",[6]回答表!S165,""))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IF([6]回答表!X50="●",[6]回答表!J144,IF([6]回答表!AA50="●",[6]回答表!J165,""))</f>
        <v/>
      </c>
      <c r="AN71" s="83"/>
      <c r="AO71" s="83"/>
      <c r="AP71" s="83"/>
      <c r="AQ71" s="83"/>
      <c r="AR71" s="83"/>
      <c r="AS71" s="83"/>
      <c r="AT71" s="153"/>
      <c r="AU71" s="82" t="str">
        <f>IF([6]回答表!X50="●",[6]回答表!J145,IF([6]回答表!AA50="●",[6]回答表!J166,""))</f>
        <v/>
      </c>
      <c r="AV71" s="83"/>
      <c r="AW71" s="83"/>
      <c r="AX71" s="83"/>
      <c r="AY71" s="83"/>
      <c r="AZ71" s="83"/>
      <c r="BA71" s="83"/>
      <c r="BB71" s="153"/>
      <c r="BC71" s="120"/>
      <c r="BD71" s="109"/>
      <c r="BE71" s="109"/>
      <c r="BF71" s="150" t="str">
        <f>IF([6]回答表!X50="●",[6]回答表!V144,IF([6]回答表!AA50="●",[6]回答表!V165,""))</f>
        <v/>
      </c>
      <c r="BG71" s="151"/>
      <c r="BH71" s="151"/>
      <c r="BI71" s="151"/>
      <c r="BJ71" s="150" t="str">
        <f>IF([6]回答表!X50="●",[6]回答表!V145,IF([6]回答表!AA50="●",[6]回答表!V166,""))</f>
        <v/>
      </c>
      <c r="BK71" s="151"/>
      <c r="BL71" s="151"/>
      <c r="BM71" s="151"/>
      <c r="BN71" s="150" t="str">
        <f>IF([6]回答表!X50="●",[6]回答表!V146,IF([6]回答表!AA50="●",[6]回答表!V167,""))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IF([6]回答表!AA50="●","●","")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IF([6]回答表!X50="●",[6]回答表!E149,IF([6]回答表!AA50="●",[6]回答表!E170,""))</f>
        <v/>
      </c>
      <c r="V80" s="182"/>
      <c r="W80" s="182"/>
      <c r="X80" s="182"/>
      <c r="Y80" s="182"/>
      <c r="Z80" s="182"/>
      <c r="AA80" s="182"/>
      <c r="AB80" s="182"/>
      <c r="AC80" s="182"/>
      <c r="AD80" s="182"/>
      <c r="AE80" s="183" t="s">
        <v>33</v>
      </c>
      <c r="AF80" s="183"/>
      <c r="AG80" s="183"/>
      <c r="AH80" s="183"/>
      <c r="AI80" s="183"/>
      <c r="AJ80" s="184"/>
      <c r="AK80" s="136"/>
      <c r="AL80" s="136"/>
      <c r="AM80" s="133" t="str">
        <f>IF([6]回答表!X50="●",[6]回答表!B151,IF([6]回答表!AA50="●",[6]回答表!B172,""))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IF([6]回答表!AD50="●","●","")</f>
        <v/>
      </c>
      <c r="O87" s="131"/>
      <c r="P87" s="131"/>
      <c r="Q87" s="132"/>
      <c r="R87" s="119"/>
      <c r="S87" s="119"/>
      <c r="T87" s="119"/>
      <c r="U87" s="133" t="str">
        <f>IF([6]回答表!AD50="●",[6]回答表!B180,"")</f>
        <v/>
      </c>
      <c r="V87" s="134"/>
      <c r="W87" s="134"/>
      <c r="X87" s="134"/>
      <c r="Y87" s="134"/>
      <c r="Z87" s="134"/>
      <c r="AA87" s="134"/>
      <c r="AB87" s="134"/>
      <c r="AC87" s="134"/>
      <c r="AD87" s="134"/>
      <c r="AE87" s="134"/>
      <c r="AF87" s="134"/>
      <c r="AG87" s="134"/>
      <c r="AH87" s="134"/>
      <c r="AI87" s="134"/>
      <c r="AJ87" s="135"/>
      <c r="AK87" s="189"/>
      <c r="AL87" s="189"/>
      <c r="AM87" s="133" t="str">
        <f>IF([6]回答表!AD50="●",[6]回答表!B186,"")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IF([6]回答表!F18="水道事業",IF([6]回答表!X51="●","●",""),"")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IF([6]回答表!F18="水道事業",IF([6]回答表!X51="●",[6]回答表!B197,IF([6]回答表!AA51="●",[6]回答表!B275,"")),"")</f>
        <v/>
      </c>
      <c r="AN99" s="134"/>
      <c r="AO99" s="134"/>
      <c r="AP99" s="134"/>
      <c r="AQ99" s="134"/>
      <c r="AR99" s="134"/>
      <c r="AS99" s="134"/>
      <c r="AT99" s="134"/>
      <c r="AU99" s="134"/>
      <c r="AV99" s="134"/>
      <c r="AW99" s="134"/>
      <c r="AX99" s="134"/>
      <c r="AY99" s="134"/>
      <c r="AZ99" s="134"/>
      <c r="BA99" s="134"/>
      <c r="BB99" s="134"/>
      <c r="BC99" s="135"/>
      <c r="BD99" s="109"/>
      <c r="BE99" s="109"/>
      <c r="BF99" s="138" t="str">
        <f>IF([6]回答表!F18="水道事業",IF([6]回答表!X51="●",[6]回答表!B256,IF([6]回答表!AA51="●",[6]回答表!B335,"")),"")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IF([6]回答表!F18="水道事業",IF([6]回答表!X51="●",[6]回答表!J205,IF([6]回答表!AA51="●",[6]回答表!J283,"")),"")</f>
        <v/>
      </c>
      <c r="V101" s="83"/>
      <c r="W101" s="83"/>
      <c r="X101" s="83"/>
      <c r="Y101" s="83"/>
      <c r="Z101" s="83"/>
      <c r="AA101" s="83"/>
      <c r="AB101" s="153"/>
      <c r="AC101" s="82" t="str">
        <f>IF([6]回答表!F18="水道事業",IF([6]回答表!X51="●",[6]回答表!J210,IF([6]回答表!AA51="●",[6]回答表!J290,"")),"")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IF([6]回答表!F18="水道事業",IF([6]回答表!X51="●",[6]回答表!E256,IF([6]回答表!AA51="●",[6]回答表!E335,"")),"")</f>
        <v/>
      </c>
      <c r="BG102" s="151"/>
      <c r="BH102" s="151"/>
      <c r="BI102" s="151"/>
      <c r="BJ102" s="150" t="str">
        <f>IF([6]回答表!F18="水道事業",IF([6]回答表!X51="●",[6]回答表!E257,IF([6]回答表!AA51="●",[6]回答表!E336,"")),"")</f>
        <v/>
      </c>
      <c r="BK102" s="151"/>
      <c r="BL102" s="151"/>
      <c r="BM102" s="151"/>
      <c r="BN102" s="150" t="str">
        <f>IF([6]回答表!F18="水道事業",IF([6]回答表!X51="●",[6]回答表!E258,IF([6]回答表!AA51="●",[6]回答表!E337,"")),"")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IF([6]回答表!F18="水道事業",IF([6]回答表!AA51="●","●",""),"")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IF([6]回答表!F18="水道事業",IF([6]回答表!X51="●",[6]回答表!J213,IF([6]回答表!AA51="●",[6]回答表!J293,"")),"")</f>
        <v/>
      </c>
      <c r="V106" s="83"/>
      <c r="W106" s="83"/>
      <c r="X106" s="83"/>
      <c r="Y106" s="83"/>
      <c r="Z106" s="83"/>
      <c r="AA106" s="83"/>
      <c r="AB106" s="153"/>
      <c r="AC106" s="82" t="str">
        <f>IF([6]回答表!F18="水道事業",IF([6]回答表!X51="●",[6]回答表!J217,IF([6]回答表!AA51="●",[6]回答表!J297,"")),"")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IF([6]回答表!F18="水道事業",IF([6]回答表!X51="●",[6]回答表!E265,IF([6]回答表!AA51="●",[6]回答表!E344,"")),"")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IF([6]回答表!F18="水道事業",IF([6]回答表!X51="●",[6]回答表!B267,IF([6]回答表!AA51="●",[6]回答表!B346,"")),"")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IF([6]回答表!F18="水道事業",IF([6]回答表!AD51="●","●",""),"")</f>
        <v/>
      </c>
      <c r="O118" s="131"/>
      <c r="P118" s="131"/>
      <c r="Q118" s="132"/>
      <c r="R118" s="119"/>
      <c r="S118" s="119"/>
      <c r="T118" s="119"/>
      <c r="U118" s="133" t="str">
        <f>IF([6]回答表!F18="水道事業",IF([6]回答表!AD51="●",[6]回答表!B354,""),"")</f>
        <v/>
      </c>
      <c r="V118" s="134"/>
      <c r="W118" s="134"/>
      <c r="X118" s="134"/>
      <c r="Y118" s="134"/>
      <c r="Z118" s="134"/>
      <c r="AA118" s="134"/>
      <c r="AB118" s="134"/>
      <c r="AC118" s="134"/>
      <c r="AD118" s="134"/>
      <c r="AE118" s="134"/>
      <c r="AF118" s="134"/>
      <c r="AG118" s="134"/>
      <c r="AH118" s="134"/>
      <c r="AI118" s="134"/>
      <c r="AJ118" s="135"/>
      <c r="AK118" s="189"/>
      <c r="AL118" s="189"/>
      <c r="AM118" s="133" t="str">
        <f>IF([6]回答表!F18="水道事業",IF([6]回答表!AD51="●",[6]回答表!B360,""),"")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IF([6]回答表!F18="簡易水道事業",IF([6]回答表!X51="●",[6]回答表!B197,IF([6]回答表!AA51="●",[6]回答表!B275,"")),"")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IF([6]回答表!F18="簡易水道事業",IF([6]回答表!X51="●",[6]回答表!B256,IF([6]回答表!AA51="●",[6]回答表!B335,"")),"")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IF([6]回答表!F18="簡易水道事業",IF([6]回答表!X51="●","●",""),"")</f>
        <v/>
      </c>
      <c r="O132" s="131"/>
      <c r="P132" s="131"/>
      <c r="Q132" s="132"/>
      <c r="R132" s="119"/>
      <c r="S132" s="119"/>
      <c r="T132" s="119"/>
      <c r="U132" s="82" t="str">
        <f>IF([6]回答表!F18="簡易水道事業",IF([6]回答表!X51="●",[6]回答表!S224,IF([6]回答表!AA51="●",[6]回答表!S304,"")),"")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IF([6]回答表!F18="簡易水道事業",IF([6]回答表!X51="●",[6]回答表!E256,IF([6]回答表!AA51="●",[6]回答表!E335,"")),"")</f>
        <v/>
      </c>
      <c r="BG133" s="151"/>
      <c r="BH133" s="151"/>
      <c r="BI133" s="151"/>
      <c r="BJ133" s="150" t="str">
        <f>IF([6]回答表!F18="簡易水道事業",IF([6]回答表!X51="●",[6]回答表!E257,IF([6]回答表!AA51="●",[6]回答表!E336,"")),"")</f>
        <v/>
      </c>
      <c r="BK133" s="151"/>
      <c r="BL133" s="151"/>
      <c r="BM133" s="151"/>
      <c r="BN133" s="150" t="str">
        <f>IF([6]回答表!F18="簡易水道事業",IF([6]回答表!X51="●",[6]回答表!E258,IF([6]回答表!AA51="●",[6]回答表!E337,"")),"")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IF([6]回答表!F18="簡易水道事業",IF([6]回答表!X51="●",[6]回答表!S225,IF([6]回答表!AA51="●",[6]回答表!S305,"")),"")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IF([6]回答表!F18="簡易水道事業",IF([6]回答表!AA51="●","●",""),"")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IF([6]回答表!F18="簡易水道事業",IF([6]回答表!X51="●",[6]回答表!S226,IF([6]回答表!AA51="●",[6]回答表!S306,"")),"")</f>
        <v/>
      </c>
      <c r="V142" s="83"/>
      <c r="W142" s="83"/>
      <c r="X142" s="83"/>
      <c r="Y142" s="83"/>
      <c r="Z142" s="83"/>
      <c r="AA142" s="83"/>
      <c r="AB142" s="83"/>
      <c r="AC142" s="83"/>
      <c r="AD142" s="83"/>
      <c r="AE142" s="83"/>
      <c r="AF142" s="83"/>
      <c r="AG142" s="83"/>
      <c r="AH142" s="83"/>
      <c r="AI142" s="83"/>
      <c r="AJ142" s="153"/>
      <c r="AK142" s="68"/>
      <c r="AL142" s="68"/>
      <c r="AM142" s="231" t="str">
        <f>IF([6]回答表!F18="簡易水道事業",IF([6]回答表!X51="●",[6]回答表!Y228,IF([6]回答表!AA51="●",[6]回答表!Y308,"")),"")</f>
        <v/>
      </c>
      <c r="AN142" s="231"/>
      <c r="AO142" s="231"/>
      <c r="AP142" s="231"/>
      <c r="AQ142" s="231"/>
      <c r="AR142" s="231"/>
      <c r="AS142" s="231" t="str">
        <f>IF([6]回答表!F18="簡易水道事業",IF([6]回答表!X51="●",[6]回答表!Y229,IF([6]回答表!AA51="●",[6]回答表!Y309,"")),"")</f>
        <v/>
      </c>
      <c r="AT142" s="231"/>
      <c r="AU142" s="231"/>
      <c r="AV142" s="231"/>
      <c r="AW142" s="231"/>
      <c r="AX142" s="231"/>
      <c r="AY142" s="231" t="str">
        <f>IF([6]回答表!F18="簡易水道事業",IF([6]回答表!X51="●",[6]回答表!Y230,IF([6]回答表!AA51="●",[6]回答表!Y310,"")),"")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IF([6]回答表!F18="簡易水道事業",IF([6]回答表!X51="●",[6]回答表!E265,IF([6]回答表!AA51="●",[6]回答表!E344,"")),"")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IF([6]回答表!F18="簡易水道事業",IF([6]回答表!X51="●",[6]回答表!B267,IF([6]回答表!AA51="●",[6]回答表!B346,"")),"")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IF([6]回答表!F18="簡易水道事業",IF([6]回答表!AD51="●","●",""),"")</f>
        <v>●</v>
      </c>
      <c r="O154" s="131"/>
      <c r="P154" s="131"/>
      <c r="Q154" s="132"/>
      <c r="R154" s="119"/>
      <c r="S154" s="119"/>
      <c r="T154" s="119"/>
      <c r="U154" s="133" t="str">
        <f>IF([6]回答表!F18="簡易水道事業",IF([6]回答表!AD51="●",[6]回答表!B354,""),"")</f>
        <v>令和４年１月１９日に「秋田県水道広域化推進プラン策定に係る説明会（仙北圏域・雄平圏域）」に参加。事務局（県）と各市町村で広域化推進に向けたプラン策定について検討を進めている。本プランの目的は、「効果的と思われる広域化手法を絞り込む」ことである。（本プランの検討は、「広域化ありき」で進めるものではない。）</v>
      </c>
      <c r="V154" s="134"/>
      <c r="W154" s="134"/>
      <c r="X154" s="134"/>
      <c r="Y154" s="134"/>
      <c r="Z154" s="134"/>
      <c r="AA154" s="134"/>
      <c r="AB154" s="134"/>
      <c r="AC154" s="134"/>
      <c r="AD154" s="134"/>
      <c r="AE154" s="134"/>
      <c r="AF154" s="134"/>
      <c r="AG154" s="134"/>
      <c r="AH154" s="134"/>
      <c r="AI154" s="134"/>
      <c r="AJ154" s="135"/>
      <c r="AK154" s="189"/>
      <c r="AL154" s="189"/>
      <c r="AM154" s="133" t="str">
        <f>IF([6]回答表!F18="簡易水道事業",IF([6]回答表!AD51="●",[6]回答表!B360,""),"")</f>
        <v>これまでに現状や将来見通しを把握し、各市町村と状況を共有している。現在は、分析結果や意見等を基に広域化シミュレーションパターンの設定を検討している。今後は、得られたシミュレーション結果から推進方針を決定していく。</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IF([6]回答表!F18="下水道事業",IF([6]回答表!X51="●","●",""),"")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IF([6]回答表!F18="下水道事業",IF([6]回答表!X51="●",[6]回答表!B197,IF([6]回答表!AA51="●",[6]回答表!B275,"")),"")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IF([6]回答表!F18="下水道事業",IF([6]回答表!X51="●",[6]回答表!B256,IF([6]回答表!AA51="●",[6]回答表!B335,"")),"")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IF([6]回答表!F18="下水道事業",IF([6]回答表!X51="●",[6]回答表!N234,IF([6]回答表!AA51="●",[6]回答表!N314,"")),"")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IF([6]回答表!F18="下水道事業",IF([6]回答表!X51="●",[6]回答表!E256,IF([6]回答表!AA51="●",[6]回答表!E335,"")),"")</f>
        <v/>
      </c>
      <c r="BG169" s="151"/>
      <c r="BH169" s="151"/>
      <c r="BI169" s="151"/>
      <c r="BJ169" s="150" t="str">
        <f>IF([6]回答表!F18="下水道事業",IF([6]回答表!X51="●",[6]回答表!E257,IF([6]回答表!AA51="●",[6]回答表!E336,"")),"")</f>
        <v/>
      </c>
      <c r="BK169" s="151"/>
      <c r="BL169" s="151"/>
      <c r="BM169" s="151"/>
      <c r="BN169" s="150" t="str">
        <f>IF([6]回答表!F18="下水道事業",IF([6]回答表!X51="●",[6]回答表!E258,IF([6]回答表!AA51="●",[6]回答表!E337,"")),"")</f>
        <v/>
      </c>
      <c r="BO169" s="151"/>
      <c r="BP169" s="151"/>
      <c r="BQ169" s="152"/>
      <c r="BR169" s="112"/>
      <c r="BX169" s="234" t="str">
        <f>IF([6]回答表!AQ21="下水道事業",IF([6]回答表!BI54="○",[6]回答表!AM200,IF([6]回答表!BL54="○",[6]回答表!AM278,"")),"")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IF([6]回答表!F18="下水道事業",IF([6]回答表!X51="●",[6]回答表!Y236,IF([6]回答表!AA51="●",[6]回答表!Y316,"")),"")</f>
        <v/>
      </c>
      <c r="V174" s="83"/>
      <c r="W174" s="83"/>
      <c r="X174" s="83"/>
      <c r="Y174" s="83"/>
      <c r="Z174" s="83"/>
      <c r="AA174" s="83"/>
      <c r="AB174" s="153"/>
      <c r="AC174" s="82" t="str">
        <f>IF([6]回答表!F18="下水道事業",IF([6]回答表!X51="●",[6]回答表!Y237,IF([6]回答表!AA51="●",[6]回答表!Y317,"")),"")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IF([6]回答表!F18="下水道事業",IF([6]回答表!X51="●",[6]回答表!Y239,IF([6]回答表!AA51="●",[6]回答表!Y319,"")),"")</f>
        <v/>
      </c>
      <c r="V180" s="83"/>
      <c r="W180" s="83"/>
      <c r="X180" s="83"/>
      <c r="Y180" s="83"/>
      <c r="Z180" s="83"/>
      <c r="AA180" s="83"/>
      <c r="AB180" s="153"/>
      <c r="AC180" s="82" t="str">
        <f>IF([6]回答表!F18="下水道事業",IF([6]回答表!X51="●",[6]回答表!Y240,IF([6]回答表!AA51="●",[6]回答表!Y320,"")),"")</f>
        <v/>
      </c>
      <c r="AD180" s="83"/>
      <c r="AE180" s="83"/>
      <c r="AF180" s="83"/>
      <c r="AG180" s="83"/>
      <c r="AH180" s="83"/>
      <c r="AI180" s="83"/>
      <c r="AJ180" s="153"/>
      <c r="AK180" s="82" t="str">
        <f>IF([6]回答表!F18="下水道事業",IF([6]回答表!X51="●",[6]回答表!Y241,IF([6]回答表!AA51="●",[6]回答表!Y321,"")),"")</f>
        <v/>
      </c>
      <c r="AL180" s="83"/>
      <c r="AM180" s="83"/>
      <c r="AN180" s="83"/>
      <c r="AO180" s="83"/>
      <c r="AP180" s="83"/>
      <c r="AQ180" s="83"/>
      <c r="AR180" s="153"/>
      <c r="AS180" s="82" t="str">
        <f>IF([6]回答表!F18="下水道事業",IF([6]回答表!X51="●",[6]回答表!Y242,IF([6]回答表!AA51="●",[6]回答表!Y322,"")),"")</f>
        <v/>
      </c>
      <c r="AT180" s="83"/>
      <c r="AU180" s="83"/>
      <c r="AV180" s="83"/>
      <c r="AW180" s="83"/>
      <c r="AX180" s="83"/>
      <c r="AY180" s="83"/>
      <c r="AZ180" s="153"/>
      <c r="BA180" s="82" t="str">
        <f>IF([6]回答表!F18="下水道事業",IF([6]回答表!X51="●",[6]回答表!Y243,IF([6]回答表!AA51="●",[6]回答表!Y323,"")),"")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IF([6]回答表!F18="下水道事業",IF([6]回答表!AA51="●","●",""),"")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IF([6]回答表!F18="下水道事業",IF([6]回答表!X51="●",[6]回答表!N248,IF([6]回答表!AA51="●",[6]回答表!N328,"")),"")</f>
        <v/>
      </c>
      <c r="V186" s="83"/>
      <c r="W186" s="83"/>
      <c r="X186" s="83"/>
      <c r="Y186" s="83"/>
      <c r="Z186" s="83"/>
      <c r="AA186" s="83"/>
      <c r="AB186" s="153"/>
      <c r="AC186" s="82" t="str">
        <f>IF([6]回答表!F18="下水道事業",IF([6]回答表!X51="●",[6]回答表!N249,IF([6]回答表!AA51="●",[6]回答表!N329,"")),"")</f>
        <v/>
      </c>
      <c r="AD186" s="83"/>
      <c r="AE186" s="83"/>
      <c r="AF186" s="83"/>
      <c r="AG186" s="83"/>
      <c r="AH186" s="83"/>
      <c r="AI186" s="83"/>
      <c r="AJ186" s="153"/>
      <c r="AK186" s="82" t="str">
        <f>IF([6]回答表!F18="下水道事業",IF([6]回答表!X51="●",[6]回答表!N250,IF([6]回答表!AA51="●",[6]回答表!N330,"")),"")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IF([6]回答表!F18="下水道事業",IF([6]回答表!X51="●",[6]回答表!E265,IF([6]回答表!AA51="●",[6]回答表!E344,"")),"")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IF([6]回答表!F18="下水道事業",IF([6]回答表!X51="●",[6]回答表!B267,IF([6]回答表!AA51="●",[6]回答表!B346,"")),"")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IF([6]回答表!F18="下水道事業",IF([6]回答表!AD51="●","●",""),"")</f>
        <v/>
      </c>
      <c r="O198" s="131"/>
      <c r="P198" s="131"/>
      <c r="Q198" s="132"/>
      <c r="R198" s="119"/>
      <c r="S198" s="119"/>
      <c r="T198" s="119"/>
      <c r="U198" s="133" t="str">
        <f>IF([6]回答表!F18="下水道事業",IF([6]回答表!AD51="●",[6]回答表!B354,""),"")</f>
        <v/>
      </c>
      <c r="V198" s="134"/>
      <c r="W198" s="134"/>
      <c r="X198" s="134"/>
      <c r="Y198" s="134"/>
      <c r="Z198" s="134"/>
      <c r="AA198" s="134"/>
      <c r="AB198" s="134"/>
      <c r="AC198" s="134"/>
      <c r="AD198" s="134"/>
      <c r="AE198" s="134"/>
      <c r="AF198" s="134"/>
      <c r="AG198" s="134"/>
      <c r="AH198" s="134"/>
      <c r="AI198" s="134"/>
      <c r="AJ198" s="135"/>
      <c r="AK198" s="189"/>
      <c r="AL198" s="189"/>
      <c r="AM198" s="133" t="str">
        <f>IF([6]回答表!F18="下水道事業",IF([6]回答表!AD51="●",[6]回答表!B360,""),"")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IF([6]回答表!BD18="●",IF([6]回答表!X51="●","●",""),"")</f>
        <v/>
      </c>
      <c r="O210" s="131"/>
      <c r="P210" s="131"/>
      <c r="Q210" s="132"/>
      <c r="R210" s="119"/>
      <c r="S210" s="119"/>
      <c r="T210" s="119"/>
      <c r="U210" s="133" t="str">
        <f>IF([6]回答表!BD18="●",IF([6]回答表!X51="●",[6]回答表!B197,IF([6]回答表!AA51="●",[6]回答表!B275,"")),"")</f>
        <v/>
      </c>
      <c r="V210" s="134"/>
      <c r="W210" s="134"/>
      <c r="X210" s="134"/>
      <c r="Y210" s="134"/>
      <c r="Z210" s="134"/>
      <c r="AA210" s="134"/>
      <c r="AB210" s="134"/>
      <c r="AC210" s="134"/>
      <c r="AD210" s="134"/>
      <c r="AE210" s="134"/>
      <c r="AF210" s="134"/>
      <c r="AG210" s="134"/>
      <c r="AH210" s="134"/>
      <c r="AI210" s="134"/>
      <c r="AJ210" s="135"/>
      <c r="AK210" s="136"/>
      <c r="AL210" s="136"/>
      <c r="AM210" s="138" t="str">
        <f>IF([6]回答表!BD18="●",IF([6]回答表!X51="●",[6]回答表!B256,IF([6]回答表!AA51="●",[6]回答表!B335,"")),"")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IF([6]回答表!BD18="●",IF([6]回答表!X51="●",[6]回答表!E256,IF([6]回答表!AA51="●",[6]回答表!E335,"")),"")</f>
        <v/>
      </c>
      <c r="AN213" s="151"/>
      <c r="AO213" s="151"/>
      <c r="AP213" s="151"/>
      <c r="AQ213" s="150" t="str">
        <f>IF([6]回答表!BD18="●",IF([6]回答表!X51="●",[6]回答表!E257,IF([6]回答表!AA51="●",[6]回答表!E336,"")),"")</f>
        <v/>
      </c>
      <c r="AR213" s="151"/>
      <c r="AS213" s="151"/>
      <c r="AT213" s="151"/>
      <c r="AU213" s="150" t="str">
        <f>IF([6]回答表!BD18="●",IF([6]回答表!X51="●",[6]回答表!E258,IF([6]回答表!AA51="●",[6]回答表!E337,"")),"")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IF([6]回答表!BD18="●",IF([6]回答表!AA51="●","●",""),"")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IF([6]回答表!BD18="●",IF([6]回答表!X51="●",[6]回答表!E265,IF([6]回答表!AA51="●",[6]回答表!E344,"")),"")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IF([6]回答表!BD18="●",IF([6]回答表!X51="●",[6]回答表!B267,IF([6]回答表!AA51="●",[6]回答表!B346,"")),"")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IF([6]回答表!BD18="●",IF([6]回答表!AD51="●","●",""),"")</f>
        <v/>
      </c>
      <c r="O229" s="131"/>
      <c r="P229" s="131"/>
      <c r="Q229" s="132"/>
      <c r="R229" s="119"/>
      <c r="S229" s="119"/>
      <c r="T229" s="119"/>
      <c r="U229" s="133" t="str">
        <f>IF([6]回答表!BD18="●",IF([6]回答表!AD51="●",[6]回答表!B354,""),"")</f>
        <v/>
      </c>
      <c r="V229" s="134"/>
      <c r="W229" s="134"/>
      <c r="X229" s="134"/>
      <c r="Y229" s="134"/>
      <c r="Z229" s="134"/>
      <c r="AA229" s="134"/>
      <c r="AB229" s="134"/>
      <c r="AC229" s="134"/>
      <c r="AD229" s="134"/>
      <c r="AE229" s="134"/>
      <c r="AF229" s="134"/>
      <c r="AG229" s="134"/>
      <c r="AH229" s="134"/>
      <c r="AI229" s="134"/>
      <c r="AJ229" s="135"/>
      <c r="AK229" s="249"/>
      <c r="AL229" s="249"/>
      <c r="AM229" s="133" t="str">
        <f>IF([6]回答表!BD18="●",IF([6]回答表!AD51="●",[6]回答表!B360,""),"")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IF([6]回答表!X52="●","●","")</f>
        <v/>
      </c>
      <c r="O241" s="131"/>
      <c r="P241" s="131"/>
      <c r="Q241" s="132"/>
      <c r="R241" s="119"/>
      <c r="S241" s="119"/>
      <c r="T241" s="119"/>
      <c r="U241" s="133" t="str">
        <f>IF([6]回答表!X52="●",[6]回答表!B371,IF([6]回答表!AA52="●",[6]回答表!B396,""))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IF([6]回答表!X52="●",[6]回答表!U377,IF([6]回答表!AA52="●",[6]回答表!U402,""))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IF([6]回答表!X52="●",[6]回答表!G377,IF([6]回答表!AA52="●",[6]回答表!G402,""))</f>
        <v/>
      </c>
      <c r="AN244" s="83"/>
      <c r="AO244" s="83"/>
      <c r="AP244" s="83"/>
      <c r="AQ244" s="83"/>
      <c r="AR244" s="83"/>
      <c r="AS244" s="83"/>
      <c r="AT244" s="153"/>
      <c r="AU244" s="82" t="str">
        <f>IF([6]回答表!X52="●",[6]回答表!G378,IF([6]回答表!AA52="●",[6]回答表!G403,""))</f>
        <v/>
      </c>
      <c r="AV244" s="83"/>
      <c r="AW244" s="83"/>
      <c r="AX244" s="83"/>
      <c r="AY244" s="83"/>
      <c r="AZ244" s="83"/>
      <c r="BA244" s="83"/>
      <c r="BB244" s="153"/>
      <c r="BC244" s="120"/>
      <c r="BD244" s="109"/>
      <c r="BE244" s="109"/>
      <c r="BF244" s="150" t="str">
        <f>IF([6]回答表!X52="●",[6]回答表!X377,IF([6]回答表!AA52="●",[6]回答表!X402,""))</f>
        <v/>
      </c>
      <c r="BG244" s="151"/>
      <c r="BH244" s="151"/>
      <c r="BI244" s="151"/>
      <c r="BJ244" s="150" t="str">
        <f>IF([6]回答表!X52="●",[6]回答表!X378,IF([6]回答表!AA52="●",[6]回答表!X403,""))</f>
        <v/>
      </c>
      <c r="BK244" s="151"/>
      <c r="BL244" s="151"/>
      <c r="BM244" s="152"/>
      <c r="BN244" s="150" t="str">
        <f>IF([6]回答表!X52="●",[6]回答表!X379,IF([6]回答表!AA52="●",[6]回答表!X404,""))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IF([6]回答表!AA52="●","●","")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IF([6]回答表!X52="●",[6]回答表!E386,IF([6]回答表!AA52="●",[6]回答表!E407,""))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IF([6]回答表!X52="●",[6]回答表!B388,IF([6]回答表!AA52="●",[6]回答表!B409,""))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IF([6]回答表!AD52="●","●","")</f>
        <v/>
      </c>
      <c r="O260" s="131"/>
      <c r="P260" s="131"/>
      <c r="Q260" s="132"/>
      <c r="R260" s="119"/>
      <c r="S260" s="119"/>
      <c r="T260" s="119"/>
      <c r="U260" s="133" t="str">
        <f>IF([6]回答表!AD52="●",[6]回答表!B417,"")</f>
        <v/>
      </c>
      <c r="V260" s="134"/>
      <c r="W260" s="134"/>
      <c r="X260" s="134"/>
      <c r="Y260" s="134"/>
      <c r="Z260" s="134"/>
      <c r="AA260" s="134"/>
      <c r="AB260" s="134"/>
      <c r="AC260" s="134"/>
      <c r="AD260" s="134"/>
      <c r="AE260" s="134"/>
      <c r="AF260" s="134"/>
      <c r="AG260" s="134"/>
      <c r="AH260" s="134"/>
      <c r="AI260" s="134"/>
      <c r="AJ260" s="135"/>
      <c r="AK260" s="249"/>
      <c r="AL260" s="249"/>
      <c r="AM260" s="133" t="str">
        <f>IF([6]回答表!AD52="●",[6]回答表!B423,"")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IF([6]回答表!X53="●","●","")</f>
        <v/>
      </c>
      <c r="O272" s="131"/>
      <c r="P272" s="131"/>
      <c r="Q272" s="132"/>
      <c r="R272" s="119"/>
      <c r="S272" s="119"/>
      <c r="T272" s="119"/>
      <c r="U272" s="133" t="str">
        <f>IF([6]回答表!X53="●",[6]回答表!B434,IF([6]回答表!AA53="●",[6]回答表!B465,""))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IF([6]回答表!X53="●",[6]回答表!B440,"")</f>
        <v/>
      </c>
      <c r="AO272" s="262"/>
      <c r="AP272" s="262"/>
      <c r="AQ272" s="262"/>
      <c r="AR272" s="262"/>
      <c r="AS272" s="262"/>
      <c r="AT272" s="262"/>
      <c r="AU272" s="262"/>
      <c r="AV272" s="262"/>
      <c r="AW272" s="262"/>
      <c r="AX272" s="262"/>
      <c r="AY272" s="262"/>
      <c r="AZ272" s="262"/>
      <c r="BA272" s="262"/>
      <c r="BB272" s="263"/>
      <c r="BC272" s="120"/>
      <c r="BD272" s="109"/>
      <c r="BE272" s="109"/>
      <c r="BF272" s="138" t="str">
        <f>IF([6]回答表!X53="●",[6]回答表!B446,IF([6]回答表!AA53="●",[6]回答表!B471,""))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IF([6]回答表!X53="●",[6]回答表!E446,IF([6]回答表!AA53="●",[6]回答表!E471,""))</f>
        <v/>
      </c>
      <c r="BG275" s="151"/>
      <c r="BH275" s="151"/>
      <c r="BI275" s="151"/>
      <c r="BJ275" s="150" t="str">
        <f>IF([6]回答表!X53="●",[6]回答表!E447,IF([6]回答表!AA53="●",[6]回答表!E472,""))</f>
        <v/>
      </c>
      <c r="BK275" s="151"/>
      <c r="BL275" s="151"/>
      <c r="BM275" s="152"/>
      <c r="BN275" s="150" t="str">
        <f>IF([6]回答表!X53="●",[6]回答表!E448,IF([6]回答表!AA53="●",[6]回答表!E473,""))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IF([6]回答表!AA53="●","●","")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IF([6]回答表!X53="●",[6]回答表!E455,IF([6]回答表!AA53="●",[6]回答表!E476,""))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IF([6]回答表!X53="●",[6]回答表!B457,IF([6]回答表!AA53="●",[6]回答表!B478,""))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IF([6]回答表!AD53="●","●","")</f>
        <v>●</v>
      </c>
      <c r="O291" s="131"/>
      <c r="P291" s="131"/>
      <c r="Q291" s="132"/>
      <c r="R291" s="119"/>
      <c r="S291" s="119"/>
      <c r="T291" s="119"/>
      <c r="U291" s="133" t="str">
        <f>IF([6]回答表!AD53="●",[6]回答表!B486,"")</f>
        <v>水道局が抱える課題として、①職員の技術継承、②老朽施設の更新や、適正規模での施設統廃合などが挙げられ、「大仙市水道施設運転管理等包括業務委託」の検討委員会を設置した。</v>
      </c>
      <c r="V291" s="134"/>
      <c r="W291" s="134"/>
      <c r="X291" s="134"/>
      <c r="Y291" s="134"/>
      <c r="Z291" s="134"/>
      <c r="AA291" s="134"/>
      <c r="AB291" s="134"/>
      <c r="AC291" s="134"/>
      <c r="AD291" s="134"/>
      <c r="AE291" s="134"/>
      <c r="AF291" s="134"/>
      <c r="AG291" s="134"/>
      <c r="AH291" s="134"/>
      <c r="AI291" s="134"/>
      <c r="AJ291" s="135"/>
      <c r="AK291" s="249"/>
      <c r="AL291" s="249"/>
      <c r="AM291" s="133" t="str">
        <f>IF([6]回答表!AD53="●",[6]回答表!B492,"")</f>
        <v>発注支援業務委託により、現況把握（施設の特徴、修繕履歴、現状の課題等の確認）、事業費の算出、プロポーザル実施支援について、検討・協議を重ねている。今後は先進地視察を実施予定である。包括業務を委託した際に生じる収支ギャップにどのように対応していくかを課題としている。</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IF([6]回答表!X54="●","●","")</f>
        <v/>
      </c>
      <c r="O303" s="131"/>
      <c r="P303" s="131"/>
      <c r="Q303" s="132"/>
      <c r="R303" s="119"/>
      <c r="S303" s="119"/>
      <c r="T303" s="119"/>
      <c r="U303" s="133" t="str">
        <f>IF([6]回答表!X54="●",[6]回答表!B503,IF([6]回答表!AA54="●",[6]回答表!B526,""))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IF([6]回答表!X54="●",[6]回答表!BC510,IF([6]回答表!AA54="●",[6]回答表!BC533,""))</f>
        <v/>
      </c>
      <c r="AR303" s="271"/>
      <c r="AS303" s="271"/>
      <c r="AT303" s="271"/>
      <c r="AU303" s="272" t="s">
        <v>74</v>
      </c>
      <c r="AV303" s="273"/>
      <c r="AW303" s="273"/>
      <c r="AX303" s="274"/>
      <c r="AY303" s="271" t="str">
        <f>IF([6]回答表!X54="●",[6]回答表!BC515,IF([6]回答表!AA54="●",[6]回答表!BC538,""))</f>
        <v/>
      </c>
      <c r="AZ303" s="271"/>
      <c r="BA303" s="271"/>
      <c r="BB303" s="271"/>
      <c r="BC303" s="120"/>
      <c r="BD303" s="109"/>
      <c r="BE303" s="109"/>
      <c r="BF303" s="138" t="str">
        <f>IF([6]回答表!X54="●",[6]回答表!S509,IF([6]回答表!AA54="●",[6]回答表!S532,""))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IF([6]回答表!X54="●",[6]回答表!BC511,IF([6]回答表!AA54="●",[6]回答表!BC534,""))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IF([6]回答表!X54="●",[6]回答表!V509,IF([6]回答表!AA54="●",[6]回答表!V532,""))</f>
        <v/>
      </c>
      <c r="BG306" s="151"/>
      <c r="BH306" s="151"/>
      <c r="BI306" s="151"/>
      <c r="BJ306" s="150" t="str">
        <f>IF([6]回答表!X54="●",[6]回答表!V510,IF([6]回答表!AA54="●",[6]回答表!V533,""))</f>
        <v/>
      </c>
      <c r="BK306" s="151"/>
      <c r="BL306" s="151"/>
      <c r="BM306" s="152"/>
      <c r="BN306" s="150" t="str">
        <f>IF([6]回答表!X54="●",[6]回答表!V511,IF([6]回答表!AA54="●",[6]回答表!V534,""))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IF([6]回答表!X54="●",[6]回答表!BC512,IF([6]回答表!AA54="●",[6]回答表!BC535,""))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IF([6]回答表!X54="●",[6]回答表!BC516,IF([6]回答表!AA54="●",[6]回答表!BC539,""))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IF([6]回答表!AA54="●","●","")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IF([6]回答表!X54="●",[6]回答表!BC513,IF([6]回答表!AA54="●",[6]回答表!BC536,""))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IF([6]回答表!X54="●",[6]回答表!BC514,IF([6]回答表!AA54="●",[6]回答表!BC537,""))</f>
        <v/>
      </c>
      <c r="AR311" s="271"/>
      <c r="AS311" s="271"/>
      <c r="AT311" s="271"/>
      <c r="AU311" s="222" t="s">
        <v>80</v>
      </c>
      <c r="AV311" s="223"/>
      <c r="AW311" s="223"/>
      <c r="AX311" s="224"/>
      <c r="AY311" s="281" t="str">
        <f>IF([6]回答表!X54="●",[6]回答表!BC517,IF([6]回答表!AA54="●",[6]回答表!BC540,""))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IF([6]回答表!X54="●",[6]回答表!E516,IF([6]回答表!AA54="●",[6]回答表!E538,""))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IF([6]回答表!X54="●",[6]回答表!B518,IF([6]回答表!AA54="●",[6]回答表!B540,""))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IF([6]回答表!AD54="●","●","")</f>
        <v/>
      </c>
      <c r="O322" s="131"/>
      <c r="P322" s="131"/>
      <c r="Q322" s="132"/>
      <c r="R322" s="119"/>
      <c r="S322" s="119"/>
      <c r="T322" s="119"/>
      <c r="U322" s="133" t="str">
        <f>IF([6]回答表!AD54="●",[6]回答表!B548,"")</f>
        <v/>
      </c>
      <c r="V322" s="134"/>
      <c r="W322" s="134"/>
      <c r="X322" s="134"/>
      <c r="Y322" s="134"/>
      <c r="Z322" s="134"/>
      <c r="AA322" s="134"/>
      <c r="AB322" s="134"/>
      <c r="AC322" s="134"/>
      <c r="AD322" s="134"/>
      <c r="AE322" s="134"/>
      <c r="AF322" s="134"/>
      <c r="AG322" s="134"/>
      <c r="AH322" s="134"/>
      <c r="AI322" s="134"/>
      <c r="AJ322" s="135"/>
      <c r="AK322" s="189"/>
      <c r="AL322" s="189"/>
      <c r="AM322" s="133" t="str">
        <f>IF([6]回答表!AD54="●",[6]回答表!B554,"")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IF([6]回答表!X55="●","●","")</f>
        <v/>
      </c>
      <c r="O333" s="131"/>
      <c r="P333" s="131"/>
      <c r="Q333" s="132"/>
      <c r="R333" s="119"/>
      <c r="S333" s="119"/>
      <c r="T333" s="119"/>
      <c r="U333" s="133" t="str">
        <f>IF([6]回答表!X55="●",[6]回答表!B565,IF([6]回答表!AA55="●",[6]回答表!B590,""))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IF([6]回答表!X55="●",[6]回答表!B575,IF([6]回答表!AA55="●",[6]回答表!B600,""))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IF([6]回答表!X55="●",[6]回答表!G571,IF([6]回答表!AA55="●",[6]回答表!G596,""))</f>
        <v/>
      </c>
      <c r="AN335" s="83"/>
      <c r="AO335" s="83"/>
      <c r="AP335" s="83"/>
      <c r="AQ335" s="83"/>
      <c r="AR335" s="83"/>
      <c r="AS335" s="83"/>
      <c r="AT335" s="153"/>
      <c r="AU335" s="82" t="str">
        <f>IF([6]回答表!X55="●",[6]回答表!G572,IF([6]回答表!AA55="●",[6]回答表!G597,""))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IF([6]回答表!X55="●",[6]回答表!E575,IF([6]回答表!AA55="●",[6]回答表!E600,""))</f>
        <v/>
      </c>
      <c r="BG336" s="151"/>
      <c r="BH336" s="151"/>
      <c r="BI336" s="151"/>
      <c r="BJ336" s="150" t="str">
        <f>IF([6]回答表!X55="●",[6]回答表!E576,IF([6]回答表!AA55="●",[6]回答表!E601,""))</f>
        <v/>
      </c>
      <c r="BK336" s="151"/>
      <c r="BL336" s="151"/>
      <c r="BM336" s="152"/>
      <c r="BN336" s="150" t="str">
        <f>IF([6]回答表!X55="●",[6]回答表!E577,IF([6]回答表!AA55="●",[6]回答表!E602,""))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IF([6]回答表!AA55="●","●","")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IF([6]回答表!X55="●",[6]回答表!E580,IF([6]回答表!AA55="●",[6]回答表!E605,""))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IF([6]回答表!X55="●",[6]回答表!B582,IF([6]回答表!AA55="●",[6]回答表!B607,""))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IF([6]回答表!AD55="●","●","")</f>
        <v/>
      </c>
      <c r="O352" s="131"/>
      <c r="P352" s="131"/>
      <c r="Q352" s="132"/>
      <c r="R352" s="119"/>
      <c r="S352" s="119"/>
      <c r="T352" s="119"/>
      <c r="U352" s="133" t="str">
        <f>IF([6]回答表!AD55="●",[6]回答表!B615,"")</f>
        <v/>
      </c>
      <c r="V352" s="134"/>
      <c r="W352" s="134"/>
      <c r="X352" s="134"/>
      <c r="Y352" s="134"/>
      <c r="Z352" s="134"/>
      <c r="AA352" s="134"/>
      <c r="AB352" s="134"/>
      <c r="AC352" s="134"/>
      <c r="AD352" s="134"/>
      <c r="AE352" s="134"/>
      <c r="AF352" s="134"/>
      <c r="AG352" s="134"/>
      <c r="AH352" s="134"/>
      <c r="AI352" s="134"/>
      <c r="AJ352" s="135"/>
      <c r="AK352" s="136"/>
      <c r="AL352" s="136"/>
      <c r="AM352" s="133" t="str">
        <f>IF([6]回答表!AD55="●",[6]回答表!B621,"")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IF([6]回答表!R56="●",[6]回答表!B634,"")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D466F-6D48-40D8-8338-B972B15749C9}">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IF(COUNTIF([7]回答表!K16,"*")&gt;0,[7]回答表!K16,"")</f>
        <v>大仙市</v>
      </c>
      <c r="D11" s="8"/>
      <c r="E11" s="8"/>
      <c r="F11" s="8"/>
      <c r="G11" s="8"/>
      <c r="H11" s="8"/>
      <c r="I11" s="8"/>
      <c r="J11" s="8"/>
      <c r="K11" s="8"/>
      <c r="L11" s="8"/>
      <c r="M11" s="8"/>
      <c r="N11" s="8"/>
      <c r="O11" s="8"/>
      <c r="P11" s="8"/>
      <c r="Q11" s="8"/>
      <c r="R11" s="8"/>
      <c r="S11" s="8"/>
      <c r="T11" s="8"/>
      <c r="U11" s="22" t="str">
        <f>IF(COUNTIF([7]回答表!F18,"*")&gt;0,[7]回答表!F18,"")</f>
        <v>水道事業</v>
      </c>
      <c r="V11" s="23"/>
      <c r="W11" s="23"/>
      <c r="X11" s="23"/>
      <c r="Y11" s="23"/>
      <c r="Z11" s="23"/>
      <c r="AA11" s="23"/>
      <c r="AB11" s="23"/>
      <c r="AC11" s="23"/>
      <c r="AD11" s="23"/>
      <c r="AE11" s="23"/>
      <c r="AF11" s="10"/>
      <c r="AG11" s="10"/>
      <c r="AH11" s="10"/>
      <c r="AI11" s="10"/>
      <c r="AJ11" s="10"/>
      <c r="AK11" s="10"/>
      <c r="AL11" s="10"/>
      <c r="AM11" s="10"/>
      <c r="AN11" s="11"/>
      <c r="AO11" s="24" t="str">
        <f>IF(COUNTIF([7]回答表!W18,"*")&gt;0,[7]回答表!W18,"")</f>
        <v>―</v>
      </c>
      <c r="AP11" s="10"/>
      <c r="AQ11" s="10"/>
      <c r="AR11" s="10"/>
      <c r="AS11" s="10"/>
      <c r="AT11" s="10"/>
      <c r="AU11" s="10"/>
      <c r="AV11" s="10"/>
      <c r="AW11" s="10"/>
      <c r="AX11" s="10"/>
      <c r="AY11" s="10"/>
      <c r="AZ11" s="10"/>
      <c r="BA11" s="10"/>
      <c r="BB11" s="10"/>
      <c r="BC11" s="10"/>
      <c r="BD11" s="10"/>
      <c r="BE11" s="10"/>
      <c r="BF11" s="11"/>
      <c r="BG11" s="21" t="str">
        <f>IF(COUNTIF([7]回答表!F20,"*")&gt;0,[7]回答表!F20,"")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IF([7]回答表!R49="●","●","")</f>
        <v/>
      </c>
      <c r="E24" s="80"/>
      <c r="F24" s="80"/>
      <c r="G24" s="80"/>
      <c r="H24" s="80"/>
      <c r="I24" s="80"/>
      <c r="J24" s="81"/>
      <c r="K24" s="79" t="str">
        <f>IF([7]回答表!R50="●","●","")</f>
        <v/>
      </c>
      <c r="L24" s="80"/>
      <c r="M24" s="80"/>
      <c r="N24" s="80"/>
      <c r="O24" s="80"/>
      <c r="P24" s="80"/>
      <c r="Q24" s="81"/>
      <c r="R24" s="79" t="str">
        <f>IF([7]回答表!R51="●","●","")</f>
        <v>●</v>
      </c>
      <c r="S24" s="80"/>
      <c r="T24" s="80"/>
      <c r="U24" s="80"/>
      <c r="V24" s="80"/>
      <c r="W24" s="80"/>
      <c r="X24" s="81"/>
      <c r="Y24" s="79" t="str">
        <f>IF([7]回答表!R52="●","●","")</f>
        <v/>
      </c>
      <c r="Z24" s="80"/>
      <c r="AA24" s="80"/>
      <c r="AB24" s="80"/>
      <c r="AC24" s="80"/>
      <c r="AD24" s="80"/>
      <c r="AE24" s="81"/>
      <c r="AF24" s="79" t="str">
        <f>IF([7]回答表!R53="●","●","")</f>
        <v>●</v>
      </c>
      <c r="AG24" s="80"/>
      <c r="AH24" s="80"/>
      <c r="AI24" s="80"/>
      <c r="AJ24" s="80"/>
      <c r="AK24" s="80"/>
      <c r="AL24" s="81"/>
      <c r="AM24" s="79" t="str">
        <f>IF([7]回答表!R54="●","●","")</f>
        <v/>
      </c>
      <c r="AN24" s="80"/>
      <c r="AO24" s="80"/>
      <c r="AP24" s="80"/>
      <c r="AQ24" s="80"/>
      <c r="AR24" s="80"/>
      <c r="AS24" s="81"/>
      <c r="AT24" s="79" t="str">
        <f>IF([7]回答表!R55="●","●","")</f>
        <v/>
      </c>
      <c r="AU24" s="80"/>
      <c r="AV24" s="80"/>
      <c r="AW24" s="80"/>
      <c r="AX24" s="80"/>
      <c r="AY24" s="80"/>
      <c r="AZ24" s="81"/>
      <c r="BA24" s="68"/>
      <c r="BB24" s="82" t="str">
        <f>IF([7]回答表!R56="●","●","")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IF([7]回答表!X49="●","●","")</f>
        <v/>
      </c>
      <c r="O36" s="131"/>
      <c r="P36" s="131"/>
      <c r="Q36" s="132"/>
      <c r="R36" s="119"/>
      <c r="S36" s="119"/>
      <c r="T36" s="119"/>
      <c r="U36" s="133" t="str">
        <f>IF([7]回答表!X49="●",[7]回答表!B67,IF([7]回答表!AA49="●",[7]回答表!B95,""))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IF([7]回答表!X49="●",[7]回答表!S73,IF([7]回答表!AA49="●",[7]回答表!S101,""))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IF([7]回答表!X49="●",[7]回答表!G73,IF([7]回答表!AA49="●",[7]回答表!G101,""))</f>
        <v/>
      </c>
      <c r="AN38" s="83"/>
      <c r="AO38" s="83"/>
      <c r="AP38" s="83"/>
      <c r="AQ38" s="83"/>
      <c r="AR38" s="83"/>
      <c r="AS38" s="83"/>
      <c r="AT38" s="153"/>
      <c r="AU38" s="82" t="str">
        <f>IF([7]回答表!X49="●",[7]回答表!G74,IF([7]回答表!AA49="●",[7]回答表!G102,""))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IF([7]回答表!X49="●",[7]回答表!V73,IF([7]回答表!AA49="●",[7]回答表!V101,""))</f>
        <v/>
      </c>
      <c r="BG39" s="16"/>
      <c r="BH39" s="16"/>
      <c r="BI39" s="17"/>
      <c r="BJ39" s="150" t="str">
        <f>IF([7]回答表!X49="●",[7]回答表!V74,IF([7]回答表!AA49="●",[7]回答表!V102,""))</f>
        <v/>
      </c>
      <c r="BK39" s="16"/>
      <c r="BL39" s="16"/>
      <c r="BM39" s="17"/>
      <c r="BN39" s="150" t="str">
        <f>IF([7]回答表!X49="●",[7]回答表!V75,IF([7]回答表!AA49="●",[7]回答表!V103,""))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IF([7]回答表!X49="●",[7]回答表!O79,IF([7]回答表!AA49="●",[7]回答表!O107,""))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IF([7]回答表!X49="●",[7]回答表!O80,IF([7]回答表!AA49="●",[7]回答表!O108,""))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IF([7]回答表!AA49="●","●","")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IF([7]回答表!X49="●",[7]回答表!O81,IF([7]回答表!AA49="●",[7]回答表!O109,""))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IF([7]回答表!X49="●",[7]回答表!O82,IF([7]回答表!AA49="●",[7]回答表!O110,""))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IF([7]回答表!X49="●",[7]回答表!AG79,IF([7]回答表!AA49="●",[7]回答表!AG107,""))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IF([7]回答表!X49="●",[7]回答表!AG80,IF([7]回答表!AA49="●",[7]回答表!AG108,""))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IF([7]回答表!X49="●",[7]回答表!E85,IF([7]回答表!AA49="●",[7]回答表!E113,""))</f>
        <v/>
      </c>
      <c r="V50" s="182"/>
      <c r="W50" s="182"/>
      <c r="X50" s="182"/>
      <c r="Y50" s="182"/>
      <c r="Z50" s="182"/>
      <c r="AA50" s="182"/>
      <c r="AB50" s="182"/>
      <c r="AC50" s="182"/>
      <c r="AD50" s="182"/>
      <c r="AE50" s="183" t="s">
        <v>33</v>
      </c>
      <c r="AF50" s="183"/>
      <c r="AG50" s="183"/>
      <c r="AH50" s="183"/>
      <c r="AI50" s="183"/>
      <c r="AJ50" s="184"/>
      <c r="AK50" s="136"/>
      <c r="AL50" s="136"/>
      <c r="AM50" s="133" t="str">
        <f>IF([7]回答表!X49="●",[7]回答表!B87,IF([7]回答表!AA49="●",[7]回答表!B115,""))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IF([7]回答表!AD49="●","●","")</f>
        <v/>
      </c>
      <c r="O57" s="131"/>
      <c r="P57" s="131"/>
      <c r="Q57" s="132"/>
      <c r="R57" s="119"/>
      <c r="S57" s="119"/>
      <c r="T57" s="119"/>
      <c r="U57" s="133" t="str">
        <f>IF([7]回答表!AD49="●",[7]回答表!B123,"")</f>
        <v/>
      </c>
      <c r="V57" s="134"/>
      <c r="W57" s="134"/>
      <c r="X57" s="134"/>
      <c r="Y57" s="134"/>
      <c r="Z57" s="134"/>
      <c r="AA57" s="134"/>
      <c r="AB57" s="134"/>
      <c r="AC57" s="134"/>
      <c r="AD57" s="134"/>
      <c r="AE57" s="134"/>
      <c r="AF57" s="134"/>
      <c r="AG57" s="134"/>
      <c r="AH57" s="134"/>
      <c r="AI57" s="134"/>
      <c r="AJ57" s="135"/>
      <c r="AK57" s="189"/>
      <c r="AL57" s="189"/>
      <c r="AM57" s="133" t="str">
        <f>IF([7]回答表!AD49="●",[7]回答表!B128,"")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IF([7]回答表!X50="●","●","")</f>
        <v/>
      </c>
      <c r="O68" s="131"/>
      <c r="P68" s="131"/>
      <c r="Q68" s="132"/>
      <c r="R68" s="119"/>
      <c r="S68" s="119"/>
      <c r="T68" s="119"/>
      <c r="U68" s="133" t="str">
        <f>IF([7]回答表!X50="●",[7]回答表!B138,IF([7]回答表!AA50="●",[7]回答表!B159,""))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IF([7]回答表!X50="●",[7]回答表!S144,IF([7]回答表!AA50="●",[7]回答表!S165,""))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IF([7]回答表!X50="●",[7]回答表!J144,IF([7]回答表!AA50="●",[7]回答表!J165,""))</f>
        <v/>
      </c>
      <c r="AN71" s="83"/>
      <c r="AO71" s="83"/>
      <c r="AP71" s="83"/>
      <c r="AQ71" s="83"/>
      <c r="AR71" s="83"/>
      <c r="AS71" s="83"/>
      <c r="AT71" s="153"/>
      <c r="AU71" s="82" t="str">
        <f>IF([7]回答表!X50="●",[7]回答表!J145,IF([7]回答表!AA50="●",[7]回答表!J166,""))</f>
        <v/>
      </c>
      <c r="AV71" s="83"/>
      <c r="AW71" s="83"/>
      <c r="AX71" s="83"/>
      <c r="AY71" s="83"/>
      <c r="AZ71" s="83"/>
      <c r="BA71" s="83"/>
      <c r="BB71" s="153"/>
      <c r="BC71" s="120"/>
      <c r="BD71" s="109"/>
      <c r="BE71" s="109"/>
      <c r="BF71" s="150" t="str">
        <f>IF([7]回答表!X50="●",[7]回答表!V144,IF([7]回答表!AA50="●",[7]回答表!V165,""))</f>
        <v/>
      </c>
      <c r="BG71" s="151"/>
      <c r="BH71" s="151"/>
      <c r="BI71" s="151"/>
      <c r="BJ71" s="150" t="str">
        <f>IF([7]回答表!X50="●",[7]回答表!V145,IF([7]回答表!AA50="●",[7]回答表!V166,""))</f>
        <v/>
      </c>
      <c r="BK71" s="151"/>
      <c r="BL71" s="151"/>
      <c r="BM71" s="151"/>
      <c r="BN71" s="150" t="str">
        <f>IF([7]回答表!X50="●",[7]回答表!V146,IF([7]回答表!AA50="●",[7]回答表!V167,""))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IF([7]回答表!AA50="●","●","")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IF([7]回答表!X50="●",[7]回答表!E149,IF([7]回答表!AA50="●",[7]回答表!E170,""))</f>
        <v/>
      </c>
      <c r="V80" s="182"/>
      <c r="W80" s="182"/>
      <c r="X80" s="182"/>
      <c r="Y80" s="182"/>
      <c r="Z80" s="182"/>
      <c r="AA80" s="182"/>
      <c r="AB80" s="182"/>
      <c r="AC80" s="182"/>
      <c r="AD80" s="182"/>
      <c r="AE80" s="183" t="s">
        <v>33</v>
      </c>
      <c r="AF80" s="183"/>
      <c r="AG80" s="183"/>
      <c r="AH80" s="183"/>
      <c r="AI80" s="183"/>
      <c r="AJ80" s="184"/>
      <c r="AK80" s="136"/>
      <c r="AL80" s="136"/>
      <c r="AM80" s="133" t="str">
        <f>IF([7]回答表!X50="●",[7]回答表!B151,IF([7]回答表!AA50="●",[7]回答表!B172,""))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IF([7]回答表!AD50="●","●","")</f>
        <v/>
      </c>
      <c r="O87" s="131"/>
      <c r="P87" s="131"/>
      <c r="Q87" s="132"/>
      <c r="R87" s="119"/>
      <c r="S87" s="119"/>
      <c r="T87" s="119"/>
      <c r="U87" s="133" t="str">
        <f>IF([7]回答表!AD50="●",[7]回答表!B180,"")</f>
        <v/>
      </c>
      <c r="V87" s="134"/>
      <c r="W87" s="134"/>
      <c r="X87" s="134"/>
      <c r="Y87" s="134"/>
      <c r="Z87" s="134"/>
      <c r="AA87" s="134"/>
      <c r="AB87" s="134"/>
      <c r="AC87" s="134"/>
      <c r="AD87" s="134"/>
      <c r="AE87" s="134"/>
      <c r="AF87" s="134"/>
      <c r="AG87" s="134"/>
      <c r="AH87" s="134"/>
      <c r="AI87" s="134"/>
      <c r="AJ87" s="135"/>
      <c r="AK87" s="189"/>
      <c r="AL87" s="189"/>
      <c r="AM87" s="133" t="str">
        <f>IF([7]回答表!AD50="●",[7]回答表!B186,"")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IF([7]回答表!F18="水道事業",IF([7]回答表!X51="●","●",""),"")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IF([7]回答表!F18="水道事業",IF([7]回答表!X51="●",[7]回答表!B197,IF([7]回答表!AA51="●",[7]回答表!B275,"")),"")</f>
        <v/>
      </c>
      <c r="AN99" s="134"/>
      <c r="AO99" s="134"/>
      <c r="AP99" s="134"/>
      <c r="AQ99" s="134"/>
      <c r="AR99" s="134"/>
      <c r="AS99" s="134"/>
      <c r="AT99" s="134"/>
      <c r="AU99" s="134"/>
      <c r="AV99" s="134"/>
      <c r="AW99" s="134"/>
      <c r="AX99" s="134"/>
      <c r="AY99" s="134"/>
      <c r="AZ99" s="134"/>
      <c r="BA99" s="134"/>
      <c r="BB99" s="134"/>
      <c r="BC99" s="135"/>
      <c r="BD99" s="109"/>
      <c r="BE99" s="109"/>
      <c r="BF99" s="138" t="str">
        <f>IF([7]回答表!F18="水道事業",IF([7]回答表!X51="●",[7]回答表!B256,IF([7]回答表!AA51="●",[7]回答表!B335,"")),"")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IF([7]回答表!F18="水道事業",IF([7]回答表!X51="●",[7]回答表!J205,IF([7]回答表!AA51="●",[7]回答表!J283,"")),"")</f>
        <v/>
      </c>
      <c r="V101" s="83"/>
      <c r="W101" s="83"/>
      <c r="X101" s="83"/>
      <c r="Y101" s="83"/>
      <c r="Z101" s="83"/>
      <c r="AA101" s="83"/>
      <c r="AB101" s="153"/>
      <c r="AC101" s="82" t="str">
        <f>IF([7]回答表!F18="水道事業",IF([7]回答表!X51="●",[7]回答表!J210,IF([7]回答表!AA51="●",[7]回答表!J290,"")),"")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IF([7]回答表!F18="水道事業",IF([7]回答表!X51="●",[7]回答表!E256,IF([7]回答表!AA51="●",[7]回答表!E335,"")),"")</f>
        <v/>
      </c>
      <c r="BG102" s="151"/>
      <c r="BH102" s="151"/>
      <c r="BI102" s="151"/>
      <c r="BJ102" s="150" t="str">
        <f>IF([7]回答表!F18="水道事業",IF([7]回答表!X51="●",[7]回答表!E257,IF([7]回答表!AA51="●",[7]回答表!E336,"")),"")</f>
        <v/>
      </c>
      <c r="BK102" s="151"/>
      <c r="BL102" s="151"/>
      <c r="BM102" s="151"/>
      <c r="BN102" s="150" t="str">
        <f>IF([7]回答表!F18="水道事業",IF([7]回答表!X51="●",[7]回答表!E258,IF([7]回答表!AA51="●",[7]回答表!E337,"")),"")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IF([7]回答表!F18="水道事業",IF([7]回答表!AA51="●","●",""),"")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IF([7]回答表!F18="水道事業",IF([7]回答表!X51="●",[7]回答表!J213,IF([7]回答表!AA51="●",[7]回答表!J293,"")),"")</f>
        <v/>
      </c>
      <c r="V106" s="83"/>
      <c r="W106" s="83"/>
      <c r="X106" s="83"/>
      <c r="Y106" s="83"/>
      <c r="Z106" s="83"/>
      <c r="AA106" s="83"/>
      <c r="AB106" s="153"/>
      <c r="AC106" s="82" t="str">
        <f>IF([7]回答表!F18="水道事業",IF([7]回答表!X51="●",[7]回答表!J217,IF([7]回答表!AA51="●",[7]回答表!J297,"")),"")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IF([7]回答表!F18="水道事業",IF([7]回答表!X51="●",[7]回答表!E265,IF([7]回答表!AA51="●",[7]回答表!E344,"")),"")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IF([7]回答表!F18="水道事業",IF([7]回答表!X51="●",[7]回答表!B267,IF([7]回答表!AA51="●",[7]回答表!B346,"")),"")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IF([7]回答表!F18="水道事業",IF([7]回答表!AD51="●","●",""),"")</f>
        <v>●</v>
      </c>
      <c r="O118" s="131"/>
      <c r="P118" s="131"/>
      <c r="Q118" s="132"/>
      <c r="R118" s="119"/>
      <c r="S118" s="119"/>
      <c r="T118" s="119"/>
      <c r="U118" s="133" t="str">
        <f>IF([7]回答表!F18="水道事業",IF([7]回答表!AD51="●",[7]回答表!B354,""),"")</f>
        <v>令和４年１月１９日に「秋田県水道広域化推進プラン策定に係る説明会（仙北圏域・雄平圏域）」に参加。事務局（県）と各市町村で広域化推進に向けたプラン策定について検討を進めている。本プランの目的は、「効果的と思われる広域化手法を絞り込む」ことである。（本プランの検討は、「広域化ありき」で進めるものではない。）</v>
      </c>
      <c r="V118" s="134"/>
      <c r="W118" s="134"/>
      <c r="X118" s="134"/>
      <c r="Y118" s="134"/>
      <c r="Z118" s="134"/>
      <c r="AA118" s="134"/>
      <c r="AB118" s="134"/>
      <c r="AC118" s="134"/>
      <c r="AD118" s="134"/>
      <c r="AE118" s="134"/>
      <c r="AF118" s="134"/>
      <c r="AG118" s="134"/>
      <c r="AH118" s="134"/>
      <c r="AI118" s="134"/>
      <c r="AJ118" s="135"/>
      <c r="AK118" s="189"/>
      <c r="AL118" s="189"/>
      <c r="AM118" s="133" t="str">
        <f>IF([7]回答表!F18="水道事業",IF([7]回答表!AD51="●",[7]回答表!B360,""),"")</f>
        <v>これまでに現状や将来見通しを把握し、各市町村と状況を共有している。現在は、分析結果や意見等を基に広域化シミュレーションパターンの設定を検討している。今後は、得られたシミュレーション結果から推進方針を決定していく。</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IF([7]回答表!F18="簡易水道事業",IF([7]回答表!X51="●",[7]回答表!B197,IF([7]回答表!AA51="●",[7]回答表!B275,"")),"")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IF([7]回答表!F18="簡易水道事業",IF([7]回答表!X51="●",[7]回答表!B256,IF([7]回答表!AA51="●",[7]回答表!B335,"")),"")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IF([7]回答表!F18="簡易水道事業",IF([7]回答表!X51="●","●",""),"")</f>
        <v/>
      </c>
      <c r="O132" s="131"/>
      <c r="P132" s="131"/>
      <c r="Q132" s="132"/>
      <c r="R132" s="119"/>
      <c r="S132" s="119"/>
      <c r="T132" s="119"/>
      <c r="U132" s="82" t="str">
        <f>IF([7]回答表!F18="簡易水道事業",IF([7]回答表!X51="●",[7]回答表!S224,IF([7]回答表!AA51="●",[7]回答表!S304,"")),"")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IF([7]回答表!F18="簡易水道事業",IF([7]回答表!X51="●",[7]回答表!E256,IF([7]回答表!AA51="●",[7]回答表!E335,"")),"")</f>
        <v/>
      </c>
      <c r="BG133" s="151"/>
      <c r="BH133" s="151"/>
      <c r="BI133" s="151"/>
      <c r="BJ133" s="150" t="str">
        <f>IF([7]回答表!F18="簡易水道事業",IF([7]回答表!X51="●",[7]回答表!E257,IF([7]回答表!AA51="●",[7]回答表!E336,"")),"")</f>
        <v/>
      </c>
      <c r="BK133" s="151"/>
      <c r="BL133" s="151"/>
      <c r="BM133" s="151"/>
      <c r="BN133" s="150" t="str">
        <f>IF([7]回答表!F18="簡易水道事業",IF([7]回答表!X51="●",[7]回答表!E258,IF([7]回答表!AA51="●",[7]回答表!E337,"")),"")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IF([7]回答表!F18="簡易水道事業",IF([7]回答表!X51="●",[7]回答表!S225,IF([7]回答表!AA51="●",[7]回答表!S305,"")),"")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IF([7]回答表!F18="簡易水道事業",IF([7]回答表!AA51="●","●",""),"")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IF([7]回答表!F18="簡易水道事業",IF([7]回答表!X51="●",[7]回答表!S226,IF([7]回答表!AA51="●",[7]回答表!S306,"")),"")</f>
        <v/>
      </c>
      <c r="V142" s="83"/>
      <c r="W142" s="83"/>
      <c r="X142" s="83"/>
      <c r="Y142" s="83"/>
      <c r="Z142" s="83"/>
      <c r="AA142" s="83"/>
      <c r="AB142" s="83"/>
      <c r="AC142" s="83"/>
      <c r="AD142" s="83"/>
      <c r="AE142" s="83"/>
      <c r="AF142" s="83"/>
      <c r="AG142" s="83"/>
      <c r="AH142" s="83"/>
      <c r="AI142" s="83"/>
      <c r="AJ142" s="153"/>
      <c r="AK142" s="68"/>
      <c r="AL142" s="68"/>
      <c r="AM142" s="231" t="str">
        <f>IF([7]回答表!F18="簡易水道事業",IF([7]回答表!X51="●",[7]回答表!Y228,IF([7]回答表!AA51="●",[7]回答表!Y308,"")),"")</f>
        <v/>
      </c>
      <c r="AN142" s="231"/>
      <c r="AO142" s="231"/>
      <c r="AP142" s="231"/>
      <c r="AQ142" s="231"/>
      <c r="AR142" s="231"/>
      <c r="AS142" s="231" t="str">
        <f>IF([7]回答表!F18="簡易水道事業",IF([7]回答表!X51="●",[7]回答表!Y229,IF([7]回答表!AA51="●",[7]回答表!Y309,"")),"")</f>
        <v/>
      </c>
      <c r="AT142" s="231"/>
      <c r="AU142" s="231"/>
      <c r="AV142" s="231"/>
      <c r="AW142" s="231"/>
      <c r="AX142" s="231"/>
      <c r="AY142" s="231" t="str">
        <f>IF([7]回答表!F18="簡易水道事業",IF([7]回答表!X51="●",[7]回答表!Y230,IF([7]回答表!AA51="●",[7]回答表!Y310,"")),"")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IF([7]回答表!F18="簡易水道事業",IF([7]回答表!X51="●",[7]回答表!E265,IF([7]回答表!AA51="●",[7]回答表!E344,"")),"")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IF([7]回答表!F18="簡易水道事業",IF([7]回答表!X51="●",[7]回答表!B267,IF([7]回答表!AA51="●",[7]回答表!B346,"")),"")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IF([7]回答表!F18="簡易水道事業",IF([7]回答表!AD51="●","●",""),"")</f>
        <v/>
      </c>
      <c r="O154" s="131"/>
      <c r="P154" s="131"/>
      <c r="Q154" s="132"/>
      <c r="R154" s="119"/>
      <c r="S154" s="119"/>
      <c r="T154" s="119"/>
      <c r="U154" s="133" t="str">
        <f>IF([7]回答表!F18="簡易水道事業",IF([7]回答表!AD51="●",[7]回答表!B354,""),"")</f>
        <v/>
      </c>
      <c r="V154" s="134"/>
      <c r="W154" s="134"/>
      <c r="X154" s="134"/>
      <c r="Y154" s="134"/>
      <c r="Z154" s="134"/>
      <c r="AA154" s="134"/>
      <c r="AB154" s="134"/>
      <c r="AC154" s="134"/>
      <c r="AD154" s="134"/>
      <c r="AE154" s="134"/>
      <c r="AF154" s="134"/>
      <c r="AG154" s="134"/>
      <c r="AH154" s="134"/>
      <c r="AI154" s="134"/>
      <c r="AJ154" s="135"/>
      <c r="AK154" s="189"/>
      <c r="AL154" s="189"/>
      <c r="AM154" s="133" t="str">
        <f>IF([7]回答表!F18="簡易水道事業",IF([7]回答表!AD51="●",[7]回答表!B360,""),"")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IF([7]回答表!F18="下水道事業",IF([7]回答表!X51="●","●",""),"")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IF([7]回答表!F18="下水道事業",IF([7]回答表!X51="●",[7]回答表!B197,IF([7]回答表!AA51="●",[7]回答表!B275,"")),"")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IF([7]回答表!F18="下水道事業",IF([7]回答表!X51="●",[7]回答表!B256,IF([7]回答表!AA51="●",[7]回答表!B335,"")),"")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IF([7]回答表!F18="下水道事業",IF([7]回答表!X51="●",[7]回答表!N234,IF([7]回答表!AA51="●",[7]回答表!N314,"")),"")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IF([7]回答表!F18="下水道事業",IF([7]回答表!X51="●",[7]回答表!E256,IF([7]回答表!AA51="●",[7]回答表!E335,"")),"")</f>
        <v/>
      </c>
      <c r="BG169" s="151"/>
      <c r="BH169" s="151"/>
      <c r="BI169" s="151"/>
      <c r="BJ169" s="150" t="str">
        <f>IF([7]回答表!F18="下水道事業",IF([7]回答表!X51="●",[7]回答表!E257,IF([7]回答表!AA51="●",[7]回答表!E336,"")),"")</f>
        <v/>
      </c>
      <c r="BK169" s="151"/>
      <c r="BL169" s="151"/>
      <c r="BM169" s="151"/>
      <c r="BN169" s="150" t="str">
        <f>IF([7]回答表!F18="下水道事業",IF([7]回答表!X51="●",[7]回答表!E258,IF([7]回答表!AA51="●",[7]回答表!E337,"")),"")</f>
        <v/>
      </c>
      <c r="BO169" s="151"/>
      <c r="BP169" s="151"/>
      <c r="BQ169" s="152"/>
      <c r="BR169" s="112"/>
      <c r="BX169" s="234" t="str">
        <f>IF([7]回答表!AQ21="下水道事業",IF([7]回答表!BI54="○",[7]回答表!AM200,IF([7]回答表!BL54="○",[7]回答表!AM278,"")),"")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IF([7]回答表!F18="下水道事業",IF([7]回答表!X51="●",[7]回答表!Y236,IF([7]回答表!AA51="●",[7]回答表!Y316,"")),"")</f>
        <v/>
      </c>
      <c r="V174" s="83"/>
      <c r="W174" s="83"/>
      <c r="X174" s="83"/>
      <c r="Y174" s="83"/>
      <c r="Z174" s="83"/>
      <c r="AA174" s="83"/>
      <c r="AB174" s="153"/>
      <c r="AC174" s="82" t="str">
        <f>IF([7]回答表!F18="下水道事業",IF([7]回答表!X51="●",[7]回答表!Y237,IF([7]回答表!AA51="●",[7]回答表!Y317,"")),"")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IF([7]回答表!F18="下水道事業",IF([7]回答表!X51="●",[7]回答表!Y239,IF([7]回答表!AA51="●",[7]回答表!Y319,"")),"")</f>
        <v/>
      </c>
      <c r="V180" s="83"/>
      <c r="W180" s="83"/>
      <c r="X180" s="83"/>
      <c r="Y180" s="83"/>
      <c r="Z180" s="83"/>
      <c r="AA180" s="83"/>
      <c r="AB180" s="153"/>
      <c r="AC180" s="82" t="str">
        <f>IF([7]回答表!F18="下水道事業",IF([7]回答表!X51="●",[7]回答表!Y240,IF([7]回答表!AA51="●",[7]回答表!Y320,"")),"")</f>
        <v/>
      </c>
      <c r="AD180" s="83"/>
      <c r="AE180" s="83"/>
      <c r="AF180" s="83"/>
      <c r="AG180" s="83"/>
      <c r="AH180" s="83"/>
      <c r="AI180" s="83"/>
      <c r="AJ180" s="153"/>
      <c r="AK180" s="82" t="str">
        <f>IF([7]回答表!F18="下水道事業",IF([7]回答表!X51="●",[7]回答表!Y241,IF([7]回答表!AA51="●",[7]回答表!Y321,"")),"")</f>
        <v/>
      </c>
      <c r="AL180" s="83"/>
      <c r="AM180" s="83"/>
      <c r="AN180" s="83"/>
      <c r="AO180" s="83"/>
      <c r="AP180" s="83"/>
      <c r="AQ180" s="83"/>
      <c r="AR180" s="153"/>
      <c r="AS180" s="82" t="str">
        <f>IF([7]回答表!F18="下水道事業",IF([7]回答表!X51="●",[7]回答表!Y242,IF([7]回答表!AA51="●",[7]回答表!Y322,"")),"")</f>
        <v/>
      </c>
      <c r="AT180" s="83"/>
      <c r="AU180" s="83"/>
      <c r="AV180" s="83"/>
      <c r="AW180" s="83"/>
      <c r="AX180" s="83"/>
      <c r="AY180" s="83"/>
      <c r="AZ180" s="153"/>
      <c r="BA180" s="82" t="str">
        <f>IF([7]回答表!F18="下水道事業",IF([7]回答表!X51="●",[7]回答表!Y243,IF([7]回答表!AA51="●",[7]回答表!Y323,"")),"")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IF([7]回答表!F18="下水道事業",IF([7]回答表!AA51="●","●",""),"")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IF([7]回答表!F18="下水道事業",IF([7]回答表!X51="●",[7]回答表!N248,IF([7]回答表!AA51="●",[7]回答表!N328,"")),"")</f>
        <v/>
      </c>
      <c r="V186" s="83"/>
      <c r="W186" s="83"/>
      <c r="X186" s="83"/>
      <c r="Y186" s="83"/>
      <c r="Z186" s="83"/>
      <c r="AA186" s="83"/>
      <c r="AB186" s="153"/>
      <c r="AC186" s="82" t="str">
        <f>IF([7]回答表!F18="下水道事業",IF([7]回答表!X51="●",[7]回答表!N249,IF([7]回答表!AA51="●",[7]回答表!N329,"")),"")</f>
        <v/>
      </c>
      <c r="AD186" s="83"/>
      <c r="AE186" s="83"/>
      <c r="AF186" s="83"/>
      <c r="AG186" s="83"/>
      <c r="AH186" s="83"/>
      <c r="AI186" s="83"/>
      <c r="AJ186" s="153"/>
      <c r="AK186" s="82" t="str">
        <f>IF([7]回答表!F18="下水道事業",IF([7]回答表!X51="●",[7]回答表!N250,IF([7]回答表!AA51="●",[7]回答表!N330,"")),"")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IF([7]回答表!F18="下水道事業",IF([7]回答表!X51="●",[7]回答表!E265,IF([7]回答表!AA51="●",[7]回答表!E344,"")),"")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IF([7]回答表!F18="下水道事業",IF([7]回答表!X51="●",[7]回答表!B267,IF([7]回答表!AA51="●",[7]回答表!B346,"")),"")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IF([7]回答表!F18="下水道事業",IF([7]回答表!AD51="●","●",""),"")</f>
        <v/>
      </c>
      <c r="O198" s="131"/>
      <c r="P198" s="131"/>
      <c r="Q198" s="132"/>
      <c r="R198" s="119"/>
      <c r="S198" s="119"/>
      <c r="T198" s="119"/>
      <c r="U198" s="133" t="str">
        <f>IF([7]回答表!F18="下水道事業",IF([7]回答表!AD51="●",[7]回答表!B354,""),"")</f>
        <v/>
      </c>
      <c r="V198" s="134"/>
      <c r="W198" s="134"/>
      <c r="X198" s="134"/>
      <c r="Y198" s="134"/>
      <c r="Z198" s="134"/>
      <c r="AA198" s="134"/>
      <c r="AB198" s="134"/>
      <c r="AC198" s="134"/>
      <c r="AD198" s="134"/>
      <c r="AE198" s="134"/>
      <c r="AF198" s="134"/>
      <c r="AG198" s="134"/>
      <c r="AH198" s="134"/>
      <c r="AI198" s="134"/>
      <c r="AJ198" s="135"/>
      <c r="AK198" s="189"/>
      <c r="AL198" s="189"/>
      <c r="AM198" s="133" t="str">
        <f>IF([7]回答表!F18="下水道事業",IF([7]回答表!AD51="●",[7]回答表!B360,""),"")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IF([7]回答表!BD18="●",IF([7]回答表!X51="●","●",""),"")</f>
        <v/>
      </c>
      <c r="O210" s="131"/>
      <c r="P210" s="131"/>
      <c r="Q210" s="132"/>
      <c r="R210" s="119"/>
      <c r="S210" s="119"/>
      <c r="T210" s="119"/>
      <c r="U210" s="133" t="str">
        <f>IF([7]回答表!BD18="●",IF([7]回答表!X51="●",[7]回答表!B197,IF([7]回答表!AA51="●",[7]回答表!B275,"")),"")</f>
        <v/>
      </c>
      <c r="V210" s="134"/>
      <c r="W210" s="134"/>
      <c r="X210" s="134"/>
      <c r="Y210" s="134"/>
      <c r="Z210" s="134"/>
      <c r="AA210" s="134"/>
      <c r="AB210" s="134"/>
      <c r="AC210" s="134"/>
      <c r="AD210" s="134"/>
      <c r="AE210" s="134"/>
      <c r="AF210" s="134"/>
      <c r="AG210" s="134"/>
      <c r="AH210" s="134"/>
      <c r="AI210" s="134"/>
      <c r="AJ210" s="135"/>
      <c r="AK210" s="136"/>
      <c r="AL210" s="136"/>
      <c r="AM210" s="138" t="str">
        <f>IF([7]回答表!BD18="●",IF([7]回答表!X51="●",[7]回答表!B256,IF([7]回答表!AA51="●",[7]回答表!B335,"")),"")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IF([7]回答表!BD18="●",IF([7]回答表!X51="●",[7]回答表!E256,IF([7]回答表!AA51="●",[7]回答表!E335,"")),"")</f>
        <v/>
      </c>
      <c r="AN213" s="151"/>
      <c r="AO213" s="151"/>
      <c r="AP213" s="151"/>
      <c r="AQ213" s="150" t="str">
        <f>IF([7]回答表!BD18="●",IF([7]回答表!X51="●",[7]回答表!E257,IF([7]回答表!AA51="●",[7]回答表!E336,"")),"")</f>
        <v/>
      </c>
      <c r="AR213" s="151"/>
      <c r="AS213" s="151"/>
      <c r="AT213" s="151"/>
      <c r="AU213" s="150" t="str">
        <f>IF([7]回答表!BD18="●",IF([7]回答表!X51="●",[7]回答表!E258,IF([7]回答表!AA51="●",[7]回答表!E337,"")),"")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IF([7]回答表!BD18="●",IF([7]回答表!AA51="●","●",""),"")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IF([7]回答表!BD18="●",IF([7]回答表!X51="●",[7]回答表!E265,IF([7]回答表!AA51="●",[7]回答表!E344,"")),"")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IF([7]回答表!BD18="●",IF([7]回答表!X51="●",[7]回答表!B267,IF([7]回答表!AA51="●",[7]回答表!B346,"")),"")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IF([7]回答表!BD18="●",IF([7]回答表!AD51="●","●",""),"")</f>
        <v/>
      </c>
      <c r="O229" s="131"/>
      <c r="P229" s="131"/>
      <c r="Q229" s="132"/>
      <c r="R229" s="119"/>
      <c r="S229" s="119"/>
      <c r="T229" s="119"/>
      <c r="U229" s="133" t="str">
        <f>IF([7]回答表!BD18="●",IF([7]回答表!AD51="●",[7]回答表!B354,""),"")</f>
        <v/>
      </c>
      <c r="V229" s="134"/>
      <c r="W229" s="134"/>
      <c r="X229" s="134"/>
      <c r="Y229" s="134"/>
      <c r="Z229" s="134"/>
      <c r="AA229" s="134"/>
      <c r="AB229" s="134"/>
      <c r="AC229" s="134"/>
      <c r="AD229" s="134"/>
      <c r="AE229" s="134"/>
      <c r="AF229" s="134"/>
      <c r="AG229" s="134"/>
      <c r="AH229" s="134"/>
      <c r="AI229" s="134"/>
      <c r="AJ229" s="135"/>
      <c r="AK229" s="249"/>
      <c r="AL229" s="249"/>
      <c r="AM229" s="133" t="str">
        <f>IF([7]回答表!BD18="●",IF([7]回答表!AD51="●",[7]回答表!B360,""),"")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IF([7]回答表!X52="●","●","")</f>
        <v/>
      </c>
      <c r="O241" s="131"/>
      <c r="P241" s="131"/>
      <c r="Q241" s="132"/>
      <c r="R241" s="119"/>
      <c r="S241" s="119"/>
      <c r="T241" s="119"/>
      <c r="U241" s="133" t="str">
        <f>IF([7]回答表!X52="●",[7]回答表!B371,IF([7]回答表!AA52="●",[7]回答表!B396,""))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IF([7]回答表!X52="●",[7]回答表!U377,IF([7]回答表!AA52="●",[7]回答表!U402,""))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IF([7]回答表!X52="●",[7]回答表!G377,IF([7]回答表!AA52="●",[7]回答表!G402,""))</f>
        <v/>
      </c>
      <c r="AN244" s="83"/>
      <c r="AO244" s="83"/>
      <c r="AP244" s="83"/>
      <c r="AQ244" s="83"/>
      <c r="AR244" s="83"/>
      <c r="AS244" s="83"/>
      <c r="AT244" s="153"/>
      <c r="AU244" s="82" t="str">
        <f>IF([7]回答表!X52="●",[7]回答表!G378,IF([7]回答表!AA52="●",[7]回答表!G403,""))</f>
        <v/>
      </c>
      <c r="AV244" s="83"/>
      <c r="AW244" s="83"/>
      <c r="AX244" s="83"/>
      <c r="AY244" s="83"/>
      <c r="AZ244" s="83"/>
      <c r="BA244" s="83"/>
      <c r="BB244" s="153"/>
      <c r="BC244" s="120"/>
      <c r="BD244" s="109"/>
      <c r="BE244" s="109"/>
      <c r="BF244" s="150" t="str">
        <f>IF([7]回答表!X52="●",[7]回答表!X377,IF([7]回答表!AA52="●",[7]回答表!X402,""))</f>
        <v/>
      </c>
      <c r="BG244" s="151"/>
      <c r="BH244" s="151"/>
      <c r="BI244" s="151"/>
      <c r="BJ244" s="150" t="str">
        <f>IF([7]回答表!X52="●",[7]回答表!X378,IF([7]回答表!AA52="●",[7]回答表!X403,""))</f>
        <v/>
      </c>
      <c r="BK244" s="151"/>
      <c r="BL244" s="151"/>
      <c r="BM244" s="152"/>
      <c r="BN244" s="150" t="str">
        <f>IF([7]回答表!X52="●",[7]回答表!X379,IF([7]回答表!AA52="●",[7]回答表!X404,""))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IF([7]回答表!AA52="●","●","")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IF([7]回答表!X52="●",[7]回答表!E386,IF([7]回答表!AA52="●",[7]回答表!E407,""))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IF([7]回答表!X52="●",[7]回答表!B388,IF([7]回答表!AA52="●",[7]回答表!B409,""))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IF([7]回答表!AD52="●","●","")</f>
        <v/>
      </c>
      <c r="O260" s="131"/>
      <c r="P260" s="131"/>
      <c r="Q260" s="132"/>
      <c r="R260" s="119"/>
      <c r="S260" s="119"/>
      <c r="T260" s="119"/>
      <c r="U260" s="133" t="str">
        <f>IF([7]回答表!AD52="●",[7]回答表!B417,"")</f>
        <v/>
      </c>
      <c r="V260" s="134"/>
      <c r="W260" s="134"/>
      <c r="X260" s="134"/>
      <c r="Y260" s="134"/>
      <c r="Z260" s="134"/>
      <c r="AA260" s="134"/>
      <c r="AB260" s="134"/>
      <c r="AC260" s="134"/>
      <c r="AD260" s="134"/>
      <c r="AE260" s="134"/>
      <c r="AF260" s="134"/>
      <c r="AG260" s="134"/>
      <c r="AH260" s="134"/>
      <c r="AI260" s="134"/>
      <c r="AJ260" s="135"/>
      <c r="AK260" s="249"/>
      <c r="AL260" s="249"/>
      <c r="AM260" s="133" t="str">
        <f>IF([7]回答表!AD52="●",[7]回答表!B423,"")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IF([7]回答表!X53="●","●","")</f>
        <v/>
      </c>
      <c r="O272" s="131"/>
      <c r="P272" s="131"/>
      <c r="Q272" s="132"/>
      <c r="R272" s="119"/>
      <c r="S272" s="119"/>
      <c r="T272" s="119"/>
      <c r="U272" s="133" t="str">
        <f>IF([7]回答表!X53="●",[7]回答表!B434,IF([7]回答表!AA53="●",[7]回答表!B465,""))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IF([7]回答表!X53="●",[7]回答表!B440,"")</f>
        <v/>
      </c>
      <c r="AO272" s="262"/>
      <c r="AP272" s="262"/>
      <c r="AQ272" s="262"/>
      <c r="AR272" s="262"/>
      <c r="AS272" s="262"/>
      <c r="AT272" s="262"/>
      <c r="AU272" s="262"/>
      <c r="AV272" s="262"/>
      <c r="AW272" s="262"/>
      <c r="AX272" s="262"/>
      <c r="AY272" s="262"/>
      <c r="AZ272" s="262"/>
      <c r="BA272" s="262"/>
      <c r="BB272" s="263"/>
      <c r="BC272" s="120"/>
      <c r="BD272" s="109"/>
      <c r="BE272" s="109"/>
      <c r="BF272" s="138" t="str">
        <f>IF([7]回答表!X53="●",[7]回答表!B446,IF([7]回答表!AA53="●",[7]回答表!B471,""))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IF([7]回答表!X53="●",[7]回答表!E446,IF([7]回答表!AA53="●",[7]回答表!E471,""))</f>
        <v/>
      </c>
      <c r="BG275" s="151"/>
      <c r="BH275" s="151"/>
      <c r="BI275" s="151"/>
      <c r="BJ275" s="150" t="str">
        <f>IF([7]回答表!X53="●",[7]回答表!E447,IF([7]回答表!AA53="●",[7]回答表!E472,""))</f>
        <v/>
      </c>
      <c r="BK275" s="151"/>
      <c r="BL275" s="151"/>
      <c r="BM275" s="152"/>
      <c r="BN275" s="150" t="str">
        <f>IF([7]回答表!X53="●",[7]回答表!E448,IF([7]回答表!AA53="●",[7]回答表!E473,""))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IF([7]回答表!AA53="●","●","")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IF([7]回答表!X53="●",[7]回答表!E455,IF([7]回答表!AA53="●",[7]回答表!E476,""))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IF([7]回答表!X53="●",[7]回答表!B457,IF([7]回答表!AA53="●",[7]回答表!B478,""))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IF([7]回答表!AD53="●","●","")</f>
        <v>●</v>
      </c>
      <c r="O291" s="131"/>
      <c r="P291" s="131"/>
      <c r="Q291" s="132"/>
      <c r="R291" s="119"/>
      <c r="S291" s="119"/>
      <c r="T291" s="119"/>
      <c r="U291" s="133" t="str">
        <f>IF([7]回答表!AD53="●",[7]回答表!B486,"")</f>
        <v>水道局が抱える課題として、①職員の技術継承、②老朽施設の更新や、適正規模での施設統廃合などが挙げられ、「大仙市水道施設運転管理等包括業務委託」の検討委員会を設置した。</v>
      </c>
      <c r="V291" s="134"/>
      <c r="W291" s="134"/>
      <c r="X291" s="134"/>
      <c r="Y291" s="134"/>
      <c r="Z291" s="134"/>
      <c r="AA291" s="134"/>
      <c r="AB291" s="134"/>
      <c r="AC291" s="134"/>
      <c r="AD291" s="134"/>
      <c r="AE291" s="134"/>
      <c r="AF291" s="134"/>
      <c r="AG291" s="134"/>
      <c r="AH291" s="134"/>
      <c r="AI291" s="134"/>
      <c r="AJ291" s="135"/>
      <c r="AK291" s="249"/>
      <c r="AL291" s="249"/>
      <c r="AM291" s="133" t="str">
        <f>IF([7]回答表!AD53="●",[7]回答表!B492,"")</f>
        <v>発注支援業務委託により、現況把握（施設の特徴、修繕履歴、現状の課題等の確認）、事業費の算出、プロポーザル実施支援について、検討・協議を重ねている。今後は先進地視察を実施予定である。包括業務を委託した際に生じる収支ギャップにどのように対応していくかを課題としている。</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IF([7]回答表!X54="●","●","")</f>
        <v/>
      </c>
      <c r="O303" s="131"/>
      <c r="P303" s="131"/>
      <c r="Q303" s="132"/>
      <c r="R303" s="119"/>
      <c r="S303" s="119"/>
      <c r="T303" s="119"/>
      <c r="U303" s="133" t="str">
        <f>IF([7]回答表!X54="●",[7]回答表!B503,IF([7]回答表!AA54="●",[7]回答表!B526,""))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IF([7]回答表!X54="●",[7]回答表!BC510,IF([7]回答表!AA54="●",[7]回答表!BC533,""))</f>
        <v/>
      </c>
      <c r="AR303" s="271"/>
      <c r="AS303" s="271"/>
      <c r="AT303" s="271"/>
      <c r="AU303" s="272" t="s">
        <v>74</v>
      </c>
      <c r="AV303" s="273"/>
      <c r="AW303" s="273"/>
      <c r="AX303" s="274"/>
      <c r="AY303" s="271" t="str">
        <f>IF([7]回答表!X54="●",[7]回答表!BC515,IF([7]回答表!AA54="●",[7]回答表!BC538,""))</f>
        <v/>
      </c>
      <c r="AZ303" s="271"/>
      <c r="BA303" s="271"/>
      <c r="BB303" s="271"/>
      <c r="BC303" s="120"/>
      <c r="BD303" s="109"/>
      <c r="BE303" s="109"/>
      <c r="BF303" s="138" t="str">
        <f>IF([7]回答表!X54="●",[7]回答表!S509,IF([7]回答表!AA54="●",[7]回答表!S532,""))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IF([7]回答表!X54="●",[7]回答表!BC511,IF([7]回答表!AA54="●",[7]回答表!BC534,""))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IF([7]回答表!X54="●",[7]回答表!V509,IF([7]回答表!AA54="●",[7]回答表!V532,""))</f>
        <v/>
      </c>
      <c r="BG306" s="151"/>
      <c r="BH306" s="151"/>
      <c r="BI306" s="151"/>
      <c r="BJ306" s="150" t="str">
        <f>IF([7]回答表!X54="●",[7]回答表!V510,IF([7]回答表!AA54="●",[7]回答表!V533,""))</f>
        <v/>
      </c>
      <c r="BK306" s="151"/>
      <c r="BL306" s="151"/>
      <c r="BM306" s="152"/>
      <c r="BN306" s="150" t="str">
        <f>IF([7]回答表!X54="●",[7]回答表!V511,IF([7]回答表!AA54="●",[7]回答表!V534,""))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IF([7]回答表!X54="●",[7]回答表!BC512,IF([7]回答表!AA54="●",[7]回答表!BC535,""))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IF([7]回答表!X54="●",[7]回答表!BC516,IF([7]回答表!AA54="●",[7]回答表!BC539,""))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IF([7]回答表!AA54="●","●","")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IF([7]回答表!X54="●",[7]回答表!BC513,IF([7]回答表!AA54="●",[7]回答表!BC536,""))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IF([7]回答表!X54="●",[7]回答表!BC514,IF([7]回答表!AA54="●",[7]回答表!BC537,""))</f>
        <v/>
      </c>
      <c r="AR311" s="271"/>
      <c r="AS311" s="271"/>
      <c r="AT311" s="271"/>
      <c r="AU311" s="222" t="s">
        <v>80</v>
      </c>
      <c r="AV311" s="223"/>
      <c r="AW311" s="223"/>
      <c r="AX311" s="224"/>
      <c r="AY311" s="281" t="str">
        <f>IF([7]回答表!X54="●",[7]回答表!BC517,IF([7]回答表!AA54="●",[7]回答表!BC540,""))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IF([7]回答表!X54="●",[7]回答表!E516,IF([7]回答表!AA54="●",[7]回答表!E538,""))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IF([7]回答表!X54="●",[7]回答表!B518,IF([7]回答表!AA54="●",[7]回答表!B540,""))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IF([7]回答表!AD54="●","●","")</f>
        <v/>
      </c>
      <c r="O322" s="131"/>
      <c r="P322" s="131"/>
      <c r="Q322" s="132"/>
      <c r="R322" s="119"/>
      <c r="S322" s="119"/>
      <c r="T322" s="119"/>
      <c r="U322" s="133" t="str">
        <f>IF([7]回答表!AD54="●",[7]回答表!B548,"")</f>
        <v/>
      </c>
      <c r="V322" s="134"/>
      <c r="W322" s="134"/>
      <c r="X322" s="134"/>
      <c r="Y322" s="134"/>
      <c r="Z322" s="134"/>
      <c r="AA322" s="134"/>
      <c r="AB322" s="134"/>
      <c r="AC322" s="134"/>
      <c r="AD322" s="134"/>
      <c r="AE322" s="134"/>
      <c r="AF322" s="134"/>
      <c r="AG322" s="134"/>
      <c r="AH322" s="134"/>
      <c r="AI322" s="134"/>
      <c r="AJ322" s="135"/>
      <c r="AK322" s="189"/>
      <c r="AL322" s="189"/>
      <c r="AM322" s="133" t="str">
        <f>IF([7]回答表!AD54="●",[7]回答表!B554,"")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IF([7]回答表!X55="●","●","")</f>
        <v/>
      </c>
      <c r="O333" s="131"/>
      <c r="P333" s="131"/>
      <c r="Q333" s="132"/>
      <c r="R333" s="119"/>
      <c r="S333" s="119"/>
      <c r="T333" s="119"/>
      <c r="U333" s="133" t="str">
        <f>IF([7]回答表!X55="●",[7]回答表!B565,IF([7]回答表!AA55="●",[7]回答表!B590,""))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IF([7]回答表!X55="●",[7]回答表!B575,IF([7]回答表!AA55="●",[7]回答表!B600,""))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IF([7]回答表!X55="●",[7]回答表!G571,IF([7]回答表!AA55="●",[7]回答表!G596,""))</f>
        <v/>
      </c>
      <c r="AN335" s="83"/>
      <c r="AO335" s="83"/>
      <c r="AP335" s="83"/>
      <c r="AQ335" s="83"/>
      <c r="AR335" s="83"/>
      <c r="AS335" s="83"/>
      <c r="AT335" s="153"/>
      <c r="AU335" s="82" t="str">
        <f>IF([7]回答表!X55="●",[7]回答表!G572,IF([7]回答表!AA55="●",[7]回答表!G597,""))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IF([7]回答表!X55="●",[7]回答表!E575,IF([7]回答表!AA55="●",[7]回答表!E600,""))</f>
        <v/>
      </c>
      <c r="BG336" s="151"/>
      <c r="BH336" s="151"/>
      <c r="BI336" s="151"/>
      <c r="BJ336" s="150" t="str">
        <f>IF([7]回答表!X55="●",[7]回答表!E576,IF([7]回答表!AA55="●",[7]回答表!E601,""))</f>
        <v/>
      </c>
      <c r="BK336" s="151"/>
      <c r="BL336" s="151"/>
      <c r="BM336" s="152"/>
      <c r="BN336" s="150" t="str">
        <f>IF([7]回答表!X55="●",[7]回答表!E577,IF([7]回答表!AA55="●",[7]回答表!E602,""))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IF([7]回答表!AA55="●","●","")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IF([7]回答表!X55="●",[7]回答表!E580,IF([7]回答表!AA55="●",[7]回答表!E605,""))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IF([7]回答表!X55="●",[7]回答表!B582,IF([7]回答表!AA55="●",[7]回答表!B607,""))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IF([7]回答表!AD55="●","●","")</f>
        <v/>
      </c>
      <c r="O352" s="131"/>
      <c r="P352" s="131"/>
      <c r="Q352" s="132"/>
      <c r="R352" s="119"/>
      <c r="S352" s="119"/>
      <c r="T352" s="119"/>
      <c r="U352" s="133" t="str">
        <f>IF([7]回答表!AD55="●",[7]回答表!B615,"")</f>
        <v/>
      </c>
      <c r="V352" s="134"/>
      <c r="W352" s="134"/>
      <c r="X352" s="134"/>
      <c r="Y352" s="134"/>
      <c r="Z352" s="134"/>
      <c r="AA352" s="134"/>
      <c r="AB352" s="134"/>
      <c r="AC352" s="134"/>
      <c r="AD352" s="134"/>
      <c r="AE352" s="134"/>
      <c r="AF352" s="134"/>
      <c r="AG352" s="134"/>
      <c r="AH352" s="134"/>
      <c r="AI352" s="134"/>
      <c r="AJ352" s="135"/>
      <c r="AK352" s="136"/>
      <c r="AL352" s="136"/>
      <c r="AM352" s="133" t="str">
        <f>IF([7]回答表!AD55="●",[7]回答表!B621,"")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IF([7]回答表!R56="●",[7]回答表!B634,"")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F4288-A032-43CA-B1A5-8FE5AE763ABA}">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IF(COUNTIF([8]回答表!K16,"*")&gt;0,[8]回答表!K16,"")</f>
        <v>大仙市</v>
      </c>
      <c r="D11" s="8"/>
      <c r="E11" s="8"/>
      <c r="F11" s="8"/>
      <c r="G11" s="8"/>
      <c r="H11" s="8"/>
      <c r="I11" s="8"/>
      <c r="J11" s="8"/>
      <c r="K11" s="8"/>
      <c r="L11" s="8"/>
      <c r="M11" s="8"/>
      <c r="N11" s="8"/>
      <c r="O11" s="8"/>
      <c r="P11" s="8"/>
      <c r="Q11" s="8"/>
      <c r="R11" s="8"/>
      <c r="S11" s="8"/>
      <c r="T11" s="8"/>
      <c r="U11" s="22" t="str">
        <f>IF(COUNTIF([8]回答表!F18,"*")&gt;0,[8]回答表!F18,"")</f>
        <v>観光施設事業</v>
      </c>
      <c r="V11" s="23"/>
      <c r="W11" s="23"/>
      <c r="X11" s="23"/>
      <c r="Y11" s="23"/>
      <c r="Z11" s="23"/>
      <c r="AA11" s="23"/>
      <c r="AB11" s="23"/>
      <c r="AC11" s="23"/>
      <c r="AD11" s="23"/>
      <c r="AE11" s="23"/>
      <c r="AF11" s="10"/>
      <c r="AG11" s="10"/>
      <c r="AH11" s="10"/>
      <c r="AI11" s="10"/>
      <c r="AJ11" s="10"/>
      <c r="AK11" s="10"/>
      <c r="AL11" s="10"/>
      <c r="AM11" s="10"/>
      <c r="AN11" s="11"/>
      <c r="AO11" s="24" t="str">
        <f>IF(COUNTIF([8]回答表!W18,"*")&gt;0,[8]回答表!W18,"")</f>
        <v>索道</v>
      </c>
      <c r="AP11" s="10"/>
      <c r="AQ11" s="10"/>
      <c r="AR11" s="10"/>
      <c r="AS11" s="10"/>
      <c r="AT11" s="10"/>
      <c r="AU11" s="10"/>
      <c r="AV11" s="10"/>
      <c r="AW11" s="10"/>
      <c r="AX11" s="10"/>
      <c r="AY11" s="10"/>
      <c r="AZ11" s="10"/>
      <c r="BA11" s="10"/>
      <c r="BB11" s="10"/>
      <c r="BC11" s="10"/>
      <c r="BD11" s="10"/>
      <c r="BE11" s="10"/>
      <c r="BF11" s="11"/>
      <c r="BG11" s="21" t="str">
        <f>IF(COUNTIF([8]回答表!F20,"*")&gt;0,[8]回答表!F20,"")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IF([8]回答表!R49="●","●","")</f>
        <v/>
      </c>
      <c r="E24" s="80"/>
      <c r="F24" s="80"/>
      <c r="G24" s="80"/>
      <c r="H24" s="80"/>
      <c r="I24" s="80"/>
      <c r="J24" s="81"/>
      <c r="K24" s="79" t="str">
        <f>IF([8]回答表!R50="●","●","")</f>
        <v/>
      </c>
      <c r="L24" s="80"/>
      <c r="M24" s="80"/>
      <c r="N24" s="80"/>
      <c r="O24" s="80"/>
      <c r="P24" s="80"/>
      <c r="Q24" s="81"/>
      <c r="R24" s="79" t="str">
        <f>IF([8]回答表!R51="●","●","")</f>
        <v/>
      </c>
      <c r="S24" s="80"/>
      <c r="T24" s="80"/>
      <c r="U24" s="80"/>
      <c r="V24" s="80"/>
      <c r="W24" s="80"/>
      <c r="X24" s="81"/>
      <c r="Y24" s="79" t="str">
        <f>IF([8]回答表!R52="●","●","")</f>
        <v>●</v>
      </c>
      <c r="Z24" s="80"/>
      <c r="AA24" s="80"/>
      <c r="AB24" s="80"/>
      <c r="AC24" s="80"/>
      <c r="AD24" s="80"/>
      <c r="AE24" s="81"/>
      <c r="AF24" s="79" t="str">
        <f>IF([8]回答表!R53="●","●","")</f>
        <v/>
      </c>
      <c r="AG24" s="80"/>
      <c r="AH24" s="80"/>
      <c r="AI24" s="80"/>
      <c r="AJ24" s="80"/>
      <c r="AK24" s="80"/>
      <c r="AL24" s="81"/>
      <c r="AM24" s="79" t="str">
        <f>IF([8]回答表!R54="●","●","")</f>
        <v/>
      </c>
      <c r="AN24" s="80"/>
      <c r="AO24" s="80"/>
      <c r="AP24" s="80"/>
      <c r="AQ24" s="80"/>
      <c r="AR24" s="80"/>
      <c r="AS24" s="81"/>
      <c r="AT24" s="79" t="str">
        <f>IF([8]回答表!R55="●","●","")</f>
        <v/>
      </c>
      <c r="AU24" s="80"/>
      <c r="AV24" s="80"/>
      <c r="AW24" s="80"/>
      <c r="AX24" s="80"/>
      <c r="AY24" s="80"/>
      <c r="AZ24" s="81"/>
      <c r="BA24" s="68"/>
      <c r="BB24" s="82" t="str">
        <f>IF([8]回答表!R56="●","●","")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IF([8]回答表!X49="●","●","")</f>
        <v/>
      </c>
      <c r="O36" s="131"/>
      <c r="P36" s="131"/>
      <c r="Q36" s="132"/>
      <c r="R36" s="119"/>
      <c r="S36" s="119"/>
      <c r="T36" s="119"/>
      <c r="U36" s="133" t="str">
        <f>IF([8]回答表!X49="●",[8]回答表!B67,IF([8]回答表!AA49="●",[8]回答表!B95,""))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IF([8]回答表!X49="●",[8]回答表!S73,IF([8]回答表!AA49="●",[8]回答表!S101,""))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IF([8]回答表!X49="●",[8]回答表!G73,IF([8]回答表!AA49="●",[8]回答表!G101,""))</f>
        <v/>
      </c>
      <c r="AN38" s="83"/>
      <c r="AO38" s="83"/>
      <c r="AP38" s="83"/>
      <c r="AQ38" s="83"/>
      <c r="AR38" s="83"/>
      <c r="AS38" s="83"/>
      <c r="AT38" s="153"/>
      <c r="AU38" s="82" t="str">
        <f>IF([8]回答表!X49="●",[8]回答表!G74,IF([8]回答表!AA49="●",[8]回答表!G102,""))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IF([8]回答表!X49="●",[8]回答表!V73,IF([8]回答表!AA49="●",[8]回答表!V101,""))</f>
        <v/>
      </c>
      <c r="BG39" s="16"/>
      <c r="BH39" s="16"/>
      <c r="BI39" s="17"/>
      <c r="BJ39" s="150" t="str">
        <f>IF([8]回答表!X49="●",[8]回答表!V74,IF([8]回答表!AA49="●",[8]回答表!V102,""))</f>
        <v/>
      </c>
      <c r="BK39" s="16"/>
      <c r="BL39" s="16"/>
      <c r="BM39" s="17"/>
      <c r="BN39" s="150" t="str">
        <f>IF([8]回答表!X49="●",[8]回答表!V75,IF([8]回答表!AA49="●",[8]回答表!V103,""))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IF([8]回答表!X49="●",[8]回答表!O79,IF([8]回答表!AA49="●",[8]回答表!O107,""))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IF([8]回答表!X49="●",[8]回答表!O80,IF([8]回答表!AA49="●",[8]回答表!O108,""))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IF([8]回答表!AA49="●","●","")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IF([8]回答表!X49="●",[8]回答表!O81,IF([8]回答表!AA49="●",[8]回答表!O109,""))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IF([8]回答表!X49="●",[8]回答表!O82,IF([8]回答表!AA49="●",[8]回答表!O110,""))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IF([8]回答表!X49="●",[8]回答表!AG79,IF([8]回答表!AA49="●",[8]回答表!AG107,""))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IF([8]回答表!X49="●",[8]回答表!AG80,IF([8]回答表!AA49="●",[8]回答表!AG108,""))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IF([8]回答表!X49="●",[8]回答表!E85,IF([8]回答表!AA49="●",[8]回答表!E113,""))</f>
        <v/>
      </c>
      <c r="V50" s="182"/>
      <c r="W50" s="182"/>
      <c r="X50" s="182"/>
      <c r="Y50" s="182"/>
      <c r="Z50" s="182"/>
      <c r="AA50" s="182"/>
      <c r="AB50" s="182"/>
      <c r="AC50" s="182"/>
      <c r="AD50" s="182"/>
      <c r="AE50" s="183" t="s">
        <v>33</v>
      </c>
      <c r="AF50" s="183"/>
      <c r="AG50" s="183"/>
      <c r="AH50" s="183"/>
      <c r="AI50" s="183"/>
      <c r="AJ50" s="184"/>
      <c r="AK50" s="136"/>
      <c r="AL50" s="136"/>
      <c r="AM50" s="133" t="str">
        <f>IF([8]回答表!X49="●",[8]回答表!B87,IF([8]回答表!AA49="●",[8]回答表!B115,""))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IF([8]回答表!AD49="●","●","")</f>
        <v/>
      </c>
      <c r="O57" s="131"/>
      <c r="P57" s="131"/>
      <c r="Q57" s="132"/>
      <c r="R57" s="119"/>
      <c r="S57" s="119"/>
      <c r="T57" s="119"/>
      <c r="U57" s="133" t="str">
        <f>IF([8]回答表!AD49="●",[8]回答表!B123,"")</f>
        <v/>
      </c>
      <c r="V57" s="134"/>
      <c r="W57" s="134"/>
      <c r="X57" s="134"/>
      <c r="Y57" s="134"/>
      <c r="Z57" s="134"/>
      <c r="AA57" s="134"/>
      <c r="AB57" s="134"/>
      <c r="AC57" s="134"/>
      <c r="AD57" s="134"/>
      <c r="AE57" s="134"/>
      <c r="AF57" s="134"/>
      <c r="AG57" s="134"/>
      <c r="AH57" s="134"/>
      <c r="AI57" s="134"/>
      <c r="AJ57" s="135"/>
      <c r="AK57" s="189"/>
      <c r="AL57" s="189"/>
      <c r="AM57" s="133" t="str">
        <f>IF([8]回答表!AD49="●",[8]回答表!B128,"")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IF([8]回答表!X50="●","●","")</f>
        <v/>
      </c>
      <c r="O68" s="131"/>
      <c r="P68" s="131"/>
      <c r="Q68" s="132"/>
      <c r="R68" s="119"/>
      <c r="S68" s="119"/>
      <c r="T68" s="119"/>
      <c r="U68" s="133" t="str">
        <f>IF([8]回答表!X50="●",[8]回答表!B138,IF([8]回答表!AA50="●",[8]回答表!B159,""))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IF([8]回答表!X50="●",[8]回答表!S144,IF([8]回答表!AA50="●",[8]回答表!S165,""))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IF([8]回答表!X50="●",[8]回答表!J144,IF([8]回答表!AA50="●",[8]回答表!J165,""))</f>
        <v/>
      </c>
      <c r="AN71" s="83"/>
      <c r="AO71" s="83"/>
      <c r="AP71" s="83"/>
      <c r="AQ71" s="83"/>
      <c r="AR71" s="83"/>
      <c r="AS71" s="83"/>
      <c r="AT71" s="153"/>
      <c r="AU71" s="82" t="str">
        <f>IF([8]回答表!X50="●",[8]回答表!J145,IF([8]回答表!AA50="●",[8]回答表!J166,""))</f>
        <v/>
      </c>
      <c r="AV71" s="83"/>
      <c r="AW71" s="83"/>
      <c r="AX71" s="83"/>
      <c r="AY71" s="83"/>
      <c r="AZ71" s="83"/>
      <c r="BA71" s="83"/>
      <c r="BB71" s="153"/>
      <c r="BC71" s="120"/>
      <c r="BD71" s="109"/>
      <c r="BE71" s="109"/>
      <c r="BF71" s="150" t="str">
        <f>IF([8]回答表!X50="●",[8]回答表!V144,IF([8]回答表!AA50="●",[8]回答表!V165,""))</f>
        <v/>
      </c>
      <c r="BG71" s="151"/>
      <c r="BH71" s="151"/>
      <c r="BI71" s="151"/>
      <c r="BJ71" s="150" t="str">
        <f>IF([8]回答表!X50="●",[8]回答表!V145,IF([8]回答表!AA50="●",[8]回答表!V166,""))</f>
        <v/>
      </c>
      <c r="BK71" s="151"/>
      <c r="BL71" s="151"/>
      <c r="BM71" s="151"/>
      <c r="BN71" s="150" t="str">
        <f>IF([8]回答表!X50="●",[8]回答表!V146,IF([8]回答表!AA50="●",[8]回答表!V167,""))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IF([8]回答表!AA50="●","●","")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IF([8]回答表!X50="●",[8]回答表!E149,IF([8]回答表!AA50="●",[8]回答表!E170,""))</f>
        <v/>
      </c>
      <c r="V80" s="182"/>
      <c r="W80" s="182"/>
      <c r="X80" s="182"/>
      <c r="Y80" s="182"/>
      <c r="Z80" s="182"/>
      <c r="AA80" s="182"/>
      <c r="AB80" s="182"/>
      <c r="AC80" s="182"/>
      <c r="AD80" s="182"/>
      <c r="AE80" s="183" t="s">
        <v>33</v>
      </c>
      <c r="AF80" s="183"/>
      <c r="AG80" s="183"/>
      <c r="AH80" s="183"/>
      <c r="AI80" s="183"/>
      <c r="AJ80" s="184"/>
      <c r="AK80" s="136"/>
      <c r="AL80" s="136"/>
      <c r="AM80" s="133" t="str">
        <f>IF([8]回答表!X50="●",[8]回答表!B151,IF([8]回答表!AA50="●",[8]回答表!B172,""))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IF([8]回答表!AD50="●","●","")</f>
        <v/>
      </c>
      <c r="O87" s="131"/>
      <c r="P87" s="131"/>
      <c r="Q87" s="132"/>
      <c r="R87" s="119"/>
      <c r="S87" s="119"/>
      <c r="T87" s="119"/>
      <c r="U87" s="133" t="str">
        <f>IF([8]回答表!AD50="●",[8]回答表!B180,"")</f>
        <v/>
      </c>
      <c r="V87" s="134"/>
      <c r="W87" s="134"/>
      <c r="X87" s="134"/>
      <c r="Y87" s="134"/>
      <c r="Z87" s="134"/>
      <c r="AA87" s="134"/>
      <c r="AB87" s="134"/>
      <c r="AC87" s="134"/>
      <c r="AD87" s="134"/>
      <c r="AE87" s="134"/>
      <c r="AF87" s="134"/>
      <c r="AG87" s="134"/>
      <c r="AH87" s="134"/>
      <c r="AI87" s="134"/>
      <c r="AJ87" s="135"/>
      <c r="AK87" s="189"/>
      <c r="AL87" s="189"/>
      <c r="AM87" s="133" t="str">
        <f>IF([8]回答表!AD50="●",[8]回答表!B186,"")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IF([8]回答表!F18="水道事業",IF([8]回答表!X51="●","●",""),"")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IF([8]回答表!F18="水道事業",IF([8]回答表!X51="●",[8]回答表!B197,IF([8]回答表!AA51="●",[8]回答表!B275,"")),"")</f>
        <v/>
      </c>
      <c r="AN99" s="134"/>
      <c r="AO99" s="134"/>
      <c r="AP99" s="134"/>
      <c r="AQ99" s="134"/>
      <c r="AR99" s="134"/>
      <c r="AS99" s="134"/>
      <c r="AT99" s="134"/>
      <c r="AU99" s="134"/>
      <c r="AV99" s="134"/>
      <c r="AW99" s="134"/>
      <c r="AX99" s="134"/>
      <c r="AY99" s="134"/>
      <c r="AZ99" s="134"/>
      <c r="BA99" s="134"/>
      <c r="BB99" s="134"/>
      <c r="BC99" s="135"/>
      <c r="BD99" s="109"/>
      <c r="BE99" s="109"/>
      <c r="BF99" s="138" t="str">
        <f>IF([8]回答表!F18="水道事業",IF([8]回答表!X51="●",[8]回答表!B256,IF([8]回答表!AA51="●",[8]回答表!B335,"")),"")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IF([8]回答表!F18="水道事業",IF([8]回答表!X51="●",[8]回答表!J205,IF([8]回答表!AA51="●",[8]回答表!J283,"")),"")</f>
        <v/>
      </c>
      <c r="V101" s="83"/>
      <c r="W101" s="83"/>
      <c r="X101" s="83"/>
      <c r="Y101" s="83"/>
      <c r="Z101" s="83"/>
      <c r="AA101" s="83"/>
      <c r="AB101" s="153"/>
      <c r="AC101" s="82" t="str">
        <f>IF([8]回答表!F18="水道事業",IF([8]回答表!X51="●",[8]回答表!J210,IF([8]回答表!AA51="●",[8]回答表!J290,"")),"")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IF([8]回答表!F18="水道事業",IF([8]回答表!X51="●",[8]回答表!E256,IF([8]回答表!AA51="●",[8]回答表!E335,"")),"")</f>
        <v/>
      </c>
      <c r="BG102" s="151"/>
      <c r="BH102" s="151"/>
      <c r="BI102" s="151"/>
      <c r="BJ102" s="150" t="str">
        <f>IF([8]回答表!F18="水道事業",IF([8]回答表!X51="●",[8]回答表!E257,IF([8]回答表!AA51="●",[8]回答表!E336,"")),"")</f>
        <v/>
      </c>
      <c r="BK102" s="151"/>
      <c r="BL102" s="151"/>
      <c r="BM102" s="151"/>
      <c r="BN102" s="150" t="str">
        <f>IF([8]回答表!F18="水道事業",IF([8]回答表!X51="●",[8]回答表!E258,IF([8]回答表!AA51="●",[8]回答表!E337,"")),"")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IF([8]回答表!F18="水道事業",IF([8]回答表!AA51="●","●",""),"")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IF([8]回答表!F18="水道事業",IF([8]回答表!X51="●",[8]回答表!J213,IF([8]回答表!AA51="●",[8]回答表!J293,"")),"")</f>
        <v/>
      </c>
      <c r="V106" s="83"/>
      <c r="W106" s="83"/>
      <c r="X106" s="83"/>
      <c r="Y106" s="83"/>
      <c r="Z106" s="83"/>
      <c r="AA106" s="83"/>
      <c r="AB106" s="153"/>
      <c r="AC106" s="82" t="str">
        <f>IF([8]回答表!F18="水道事業",IF([8]回答表!X51="●",[8]回答表!J217,IF([8]回答表!AA51="●",[8]回答表!J297,"")),"")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IF([8]回答表!F18="水道事業",IF([8]回答表!X51="●",[8]回答表!E265,IF([8]回答表!AA51="●",[8]回答表!E344,"")),"")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IF([8]回答表!F18="水道事業",IF([8]回答表!X51="●",[8]回答表!B267,IF([8]回答表!AA51="●",[8]回答表!B346,"")),"")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IF([8]回答表!F18="水道事業",IF([8]回答表!AD51="●","●",""),"")</f>
        <v/>
      </c>
      <c r="O118" s="131"/>
      <c r="P118" s="131"/>
      <c r="Q118" s="132"/>
      <c r="R118" s="119"/>
      <c r="S118" s="119"/>
      <c r="T118" s="119"/>
      <c r="U118" s="133" t="str">
        <f>IF([8]回答表!F18="水道事業",IF([8]回答表!AD51="●",[8]回答表!B354,""),"")</f>
        <v/>
      </c>
      <c r="V118" s="134"/>
      <c r="W118" s="134"/>
      <c r="X118" s="134"/>
      <c r="Y118" s="134"/>
      <c r="Z118" s="134"/>
      <c r="AA118" s="134"/>
      <c r="AB118" s="134"/>
      <c r="AC118" s="134"/>
      <c r="AD118" s="134"/>
      <c r="AE118" s="134"/>
      <c r="AF118" s="134"/>
      <c r="AG118" s="134"/>
      <c r="AH118" s="134"/>
      <c r="AI118" s="134"/>
      <c r="AJ118" s="135"/>
      <c r="AK118" s="189"/>
      <c r="AL118" s="189"/>
      <c r="AM118" s="133" t="str">
        <f>IF([8]回答表!F18="水道事業",IF([8]回答表!AD51="●",[8]回答表!B360,""),"")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IF([8]回答表!F18="簡易水道事業",IF([8]回答表!X51="●",[8]回答表!B197,IF([8]回答表!AA51="●",[8]回答表!B275,"")),"")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IF([8]回答表!F18="簡易水道事業",IF([8]回答表!X51="●",[8]回答表!B256,IF([8]回答表!AA51="●",[8]回答表!B335,"")),"")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IF([8]回答表!F18="簡易水道事業",IF([8]回答表!X51="●","●",""),"")</f>
        <v/>
      </c>
      <c r="O132" s="131"/>
      <c r="P132" s="131"/>
      <c r="Q132" s="132"/>
      <c r="R132" s="119"/>
      <c r="S132" s="119"/>
      <c r="T132" s="119"/>
      <c r="U132" s="82" t="str">
        <f>IF([8]回答表!F18="簡易水道事業",IF([8]回答表!X51="●",[8]回答表!S224,IF([8]回答表!AA51="●",[8]回答表!S304,"")),"")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IF([8]回答表!F18="簡易水道事業",IF([8]回答表!X51="●",[8]回答表!E256,IF([8]回答表!AA51="●",[8]回答表!E335,"")),"")</f>
        <v/>
      </c>
      <c r="BG133" s="151"/>
      <c r="BH133" s="151"/>
      <c r="BI133" s="151"/>
      <c r="BJ133" s="150" t="str">
        <f>IF([8]回答表!F18="簡易水道事業",IF([8]回答表!X51="●",[8]回答表!E257,IF([8]回答表!AA51="●",[8]回答表!E336,"")),"")</f>
        <v/>
      </c>
      <c r="BK133" s="151"/>
      <c r="BL133" s="151"/>
      <c r="BM133" s="151"/>
      <c r="BN133" s="150" t="str">
        <f>IF([8]回答表!F18="簡易水道事業",IF([8]回答表!X51="●",[8]回答表!E258,IF([8]回答表!AA51="●",[8]回答表!E337,"")),"")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IF([8]回答表!F18="簡易水道事業",IF([8]回答表!X51="●",[8]回答表!S225,IF([8]回答表!AA51="●",[8]回答表!S305,"")),"")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IF([8]回答表!F18="簡易水道事業",IF([8]回答表!AA51="●","●",""),"")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IF([8]回答表!F18="簡易水道事業",IF([8]回答表!X51="●",[8]回答表!S226,IF([8]回答表!AA51="●",[8]回答表!S306,"")),"")</f>
        <v/>
      </c>
      <c r="V142" s="83"/>
      <c r="W142" s="83"/>
      <c r="X142" s="83"/>
      <c r="Y142" s="83"/>
      <c r="Z142" s="83"/>
      <c r="AA142" s="83"/>
      <c r="AB142" s="83"/>
      <c r="AC142" s="83"/>
      <c r="AD142" s="83"/>
      <c r="AE142" s="83"/>
      <c r="AF142" s="83"/>
      <c r="AG142" s="83"/>
      <c r="AH142" s="83"/>
      <c r="AI142" s="83"/>
      <c r="AJ142" s="153"/>
      <c r="AK142" s="68"/>
      <c r="AL142" s="68"/>
      <c r="AM142" s="231" t="str">
        <f>IF([8]回答表!F18="簡易水道事業",IF([8]回答表!X51="●",[8]回答表!Y228,IF([8]回答表!AA51="●",[8]回答表!Y308,"")),"")</f>
        <v/>
      </c>
      <c r="AN142" s="231"/>
      <c r="AO142" s="231"/>
      <c r="AP142" s="231"/>
      <c r="AQ142" s="231"/>
      <c r="AR142" s="231"/>
      <c r="AS142" s="231" t="str">
        <f>IF([8]回答表!F18="簡易水道事業",IF([8]回答表!X51="●",[8]回答表!Y229,IF([8]回答表!AA51="●",[8]回答表!Y309,"")),"")</f>
        <v/>
      </c>
      <c r="AT142" s="231"/>
      <c r="AU142" s="231"/>
      <c r="AV142" s="231"/>
      <c r="AW142" s="231"/>
      <c r="AX142" s="231"/>
      <c r="AY142" s="231" t="str">
        <f>IF([8]回答表!F18="簡易水道事業",IF([8]回答表!X51="●",[8]回答表!Y230,IF([8]回答表!AA51="●",[8]回答表!Y310,"")),"")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IF([8]回答表!F18="簡易水道事業",IF([8]回答表!X51="●",[8]回答表!E265,IF([8]回答表!AA51="●",[8]回答表!E344,"")),"")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IF([8]回答表!F18="簡易水道事業",IF([8]回答表!X51="●",[8]回答表!B267,IF([8]回答表!AA51="●",[8]回答表!B346,"")),"")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IF([8]回答表!F18="簡易水道事業",IF([8]回答表!AD51="●","●",""),"")</f>
        <v/>
      </c>
      <c r="O154" s="131"/>
      <c r="P154" s="131"/>
      <c r="Q154" s="132"/>
      <c r="R154" s="119"/>
      <c r="S154" s="119"/>
      <c r="T154" s="119"/>
      <c r="U154" s="133" t="str">
        <f>IF([8]回答表!F18="簡易水道事業",IF([8]回答表!AD51="●",[8]回答表!B354,""),"")</f>
        <v/>
      </c>
      <c r="V154" s="134"/>
      <c r="W154" s="134"/>
      <c r="X154" s="134"/>
      <c r="Y154" s="134"/>
      <c r="Z154" s="134"/>
      <c r="AA154" s="134"/>
      <c r="AB154" s="134"/>
      <c r="AC154" s="134"/>
      <c r="AD154" s="134"/>
      <c r="AE154" s="134"/>
      <c r="AF154" s="134"/>
      <c r="AG154" s="134"/>
      <c r="AH154" s="134"/>
      <c r="AI154" s="134"/>
      <c r="AJ154" s="135"/>
      <c r="AK154" s="189"/>
      <c r="AL154" s="189"/>
      <c r="AM154" s="133" t="str">
        <f>IF([8]回答表!F18="簡易水道事業",IF([8]回答表!AD51="●",[8]回答表!B360,""),"")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IF([8]回答表!F18="下水道事業",IF([8]回答表!X51="●","●",""),"")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IF([8]回答表!F18="下水道事業",IF([8]回答表!X51="●",[8]回答表!B197,IF([8]回答表!AA51="●",[8]回答表!B275,"")),"")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IF([8]回答表!F18="下水道事業",IF([8]回答表!X51="●",[8]回答表!B256,IF([8]回答表!AA51="●",[8]回答表!B335,"")),"")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IF([8]回答表!F18="下水道事業",IF([8]回答表!X51="●",[8]回答表!N234,IF([8]回答表!AA51="●",[8]回答表!N314,"")),"")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IF([8]回答表!F18="下水道事業",IF([8]回答表!X51="●",[8]回答表!E256,IF([8]回答表!AA51="●",[8]回答表!E335,"")),"")</f>
        <v/>
      </c>
      <c r="BG169" s="151"/>
      <c r="BH169" s="151"/>
      <c r="BI169" s="151"/>
      <c r="BJ169" s="150" t="str">
        <f>IF([8]回答表!F18="下水道事業",IF([8]回答表!X51="●",[8]回答表!E257,IF([8]回答表!AA51="●",[8]回答表!E336,"")),"")</f>
        <v/>
      </c>
      <c r="BK169" s="151"/>
      <c r="BL169" s="151"/>
      <c r="BM169" s="151"/>
      <c r="BN169" s="150" t="str">
        <f>IF([8]回答表!F18="下水道事業",IF([8]回答表!X51="●",[8]回答表!E258,IF([8]回答表!AA51="●",[8]回答表!E337,"")),"")</f>
        <v/>
      </c>
      <c r="BO169" s="151"/>
      <c r="BP169" s="151"/>
      <c r="BQ169" s="152"/>
      <c r="BR169" s="112"/>
      <c r="BX169" s="234" t="str">
        <f>IF([8]回答表!AQ21="下水道事業",IF([8]回答表!BI54="○",[8]回答表!AM200,IF([8]回答表!BL54="○",[8]回答表!AM278,"")),"")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IF([8]回答表!F18="下水道事業",IF([8]回答表!X51="●",[8]回答表!Y236,IF([8]回答表!AA51="●",[8]回答表!Y316,"")),"")</f>
        <v/>
      </c>
      <c r="V174" s="83"/>
      <c r="W174" s="83"/>
      <c r="X174" s="83"/>
      <c r="Y174" s="83"/>
      <c r="Z174" s="83"/>
      <c r="AA174" s="83"/>
      <c r="AB174" s="153"/>
      <c r="AC174" s="82" t="str">
        <f>IF([8]回答表!F18="下水道事業",IF([8]回答表!X51="●",[8]回答表!Y237,IF([8]回答表!AA51="●",[8]回答表!Y317,"")),"")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IF([8]回答表!F18="下水道事業",IF([8]回答表!X51="●",[8]回答表!Y239,IF([8]回答表!AA51="●",[8]回答表!Y319,"")),"")</f>
        <v/>
      </c>
      <c r="V180" s="83"/>
      <c r="W180" s="83"/>
      <c r="X180" s="83"/>
      <c r="Y180" s="83"/>
      <c r="Z180" s="83"/>
      <c r="AA180" s="83"/>
      <c r="AB180" s="153"/>
      <c r="AC180" s="82" t="str">
        <f>IF([8]回答表!F18="下水道事業",IF([8]回答表!X51="●",[8]回答表!Y240,IF([8]回答表!AA51="●",[8]回答表!Y320,"")),"")</f>
        <v/>
      </c>
      <c r="AD180" s="83"/>
      <c r="AE180" s="83"/>
      <c r="AF180" s="83"/>
      <c r="AG180" s="83"/>
      <c r="AH180" s="83"/>
      <c r="AI180" s="83"/>
      <c r="AJ180" s="153"/>
      <c r="AK180" s="82" t="str">
        <f>IF([8]回答表!F18="下水道事業",IF([8]回答表!X51="●",[8]回答表!Y241,IF([8]回答表!AA51="●",[8]回答表!Y321,"")),"")</f>
        <v/>
      </c>
      <c r="AL180" s="83"/>
      <c r="AM180" s="83"/>
      <c r="AN180" s="83"/>
      <c r="AO180" s="83"/>
      <c r="AP180" s="83"/>
      <c r="AQ180" s="83"/>
      <c r="AR180" s="153"/>
      <c r="AS180" s="82" t="str">
        <f>IF([8]回答表!F18="下水道事業",IF([8]回答表!X51="●",[8]回答表!Y242,IF([8]回答表!AA51="●",[8]回答表!Y322,"")),"")</f>
        <v/>
      </c>
      <c r="AT180" s="83"/>
      <c r="AU180" s="83"/>
      <c r="AV180" s="83"/>
      <c r="AW180" s="83"/>
      <c r="AX180" s="83"/>
      <c r="AY180" s="83"/>
      <c r="AZ180" s="153"/>
      <c r="BA180" s="82" t="str">
        <f>IF([8]回答表!F18="下水道事業",IF([8]回答表!X51="●",[8]回答表!Y243,IF([8]回答表!AA51="●",[8]回答表!Y323,"")),"")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IF([8]回答表!F18="下水道事業",IF([8]回答表!AA51="●","●",""),"")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IF([8]回答表!F18="下水道事業",IF([8]回答表!X51="●",[8]回答表!N248,IF([8]回答表!AA51="●",[8]回答表!N328,"")),"")</f>
        <v/>
      </c>
      <c r="V186" s="83"/>
      <c r="W186" s="83"/>
      <c r="X186" s="83"/>
      <c r="Y186" s="83"/>
      <c r="Z186" s="83"/>
      <c r="AA186" s="83"/>
      <c r="AB186" s="153"/>
      <c r="AC186" s="82" t="str">
        <f>IF([8]回答表!F18="下水道事業",IF([8]回答表!X51="●",[8]回答表!N249,IF([8]回答表!AA51="●",[8]回答表!N329,"")),"")</f>
        <v/>
      </c>
      <c r="AD186" s="83"/>
      <c r="AE186" s="83"/>
      <c r="AF186" s="83"/>
      <c r="AG186" s="83"/>
      <c r="AH186" s="83"/>
      <c r="AI186" s="83"/>
      <c r="AJ186" s="153"/>
      <c r="AK186" s="82" t="str">
        <f>IF([8]回答表!F18="下水道事業",IF([8]回答表!X51="●",[8]回答表!N250,IF([8]回答表!AA51="●",[8]回答表!N330,"")),"")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IF([8]回答表!F18="下水道事業",IF([8]回答表!X51="●",[8]回答表!E265,IF([8]回答表!AA51="●",[8]回答表!E344,"")),"")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IF([8]回答表!F18="下水道事業",IF([8]回答表!X51="●",[8]回答表!B267,IF([8]回答表!AA51="●",[8]回答表!B346,"")),"")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IF([8]回答表!F18="下水道事業",IF([8]回答表!AD51="●","●",""),"")</f>
        <v/>
      </c>
      <c r="O198" s="131"/>
      <c r="P198" s="131"/>
      <c r="Q198" s="132"/>
      <c r="R198" s="119"/>
      <c r="S198" s="119"/>
      <c r="T198" s="119"/>
      <c r="U198" s="133" t="str">
        <f>IF([8]回答表!F18="下水道事業",IF([8]回答表!AD51="●",[8]回答表!B354,""),"")</f>
        <v/>
      </c>
      <c r="V198" s="134"/>
      <c r="W198" s="134"/>
      <c r="X198" s="134"/>
      <c r="Y198" s="134"/>
      <c r="Z198" s="134"/>
      <c r="AA198" s="134"/>
      <c r="AB198" s="134"/>
      <c r="AC198" s="134"/>
      <c r="AD198" s="134"/>
      <c r="AE198" s="134"/>
      <c r="AF198" s="134"/>
      <c r="AG198" s="134"/>
      <c r="AH198" s="134"/>
      <c r="AI198" s="134"/>
      <c r="AJ198" s="135"/>
      <c r="AK198" s="189"/>
      <c r="AL198" s="189"/>
      <c r="AM198" s="133" t="str">
        <f>IF([8]回答表!F18="下水道事業",IF([8]回答表!AD51="●",[8]回答表!B360,""),"")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IF([8]回答表!BD18="●",IF([8]回答表!X51="●","●",""),"")</f>
        <v/>
      </c>
      <c r="O210" s="131"/>
      <c r="P210" s="131"/>
      <c r="Q210" s="132"/>
      <c r="R210" s="119"/>
      <c r="S210" s="119"/>
      <c r="T210" s="119"/>
      <c r="U210" s="133" t="str">
        <f>IF([8]回答表!BD18="●",IF([8]回答表!X51="●",[8]回答表!B197,IF([8]回答表!AA51="●",[8]回答表!B275,"")),"")</f>
        <v/>
      </c>
      <c r="V210" s="134"/>
      <c r="W210" s="134"/>
      <c r="X210" s="134"/>
      <c r="Y210" s="134"/>
      <c r="Z210" s="134"/>
      <c r="AA210" s="134"/>
      <c r="AB210" s="134"/>
      <c r="AC210" s="134"/>
      <c r="AD210" s="134"/>
      <c r="AE210" s="134"/>
      <c r="AF210" s="134"/>
      <c r="AG210" s="134"/>
      <c r="AH210" s="134"/>
      <c r="AI210" s="134"/>
      <c r="AJ210" s="135"/>
      <c r="AK210" s="136"/>
      <c r="AL210" s="136"/>
      <c r="AM210" s="138" t="str">
        <f>IF([8]回答表!BD18="●",IF([8]回答表!X51="●",[8]回答表!B256,IF([8]回答表!AA51="●",[8]回答表!B335,"")),"")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IF([8]回答表!BD18="●",IF([8]回答表!X51="●",[8]回答表!E256,IF([8]回答表!AA51="●",[8]回答表!E335,"")),"")</f>
        <v/>
      </c>
      <c r="AN213" s="151"/>
      <c r="AO213" s="151"/>
      <c r="AP213" s="151"/>
      <c r="AQ213" s="150" t="str">
        <f>IF([8]回答表!BD18="●",IF([8]回答表!X51="●",[8]回答表!E257,IF([8]回答表!AA51="●",[8]回答表!E336,"")),"")</f>
        <v/>
      </c>
      <c r="AR213" s="151"/>
      <c r="AS213" s="151"/>
      <c r="AT213" s="151"/>
      <c r="AU213" s="150" t="str">
        <f>IF([8]回答表!BD18="●",IF([8]回答表!X51="●",[8]回答表!E258,IF([8]回答表!AA51="●",[8]回答表!E337,"")),"")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IF([8]回答表!BD18="●",IF([8]回答表!AA51="●","●",""),"")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IF([8]回答表!BD18="●",IF([8]回答表!X51="●",[8]回答表!E265,IF([8]回答表!AA51="●",[8]回答表!E344,"")),"")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IF([8]回答表!BD18="●",IF([8]回答表!X51="●",[8]回答表!B267,IF([8]回答表!AA51="●",[8]回答表!B346,"")),"")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IF([8]回答表!BD18="●",IF([8]回答表!AD51="●","●",""),"")</f>
        <v/>
      </c>
      <c r="O229" s="131"/>
      <c r="P229" s="131"/>
      <c r="Q229" s="132"/>
      <c r="R229" s="119"/>
      <c r="S229" s="119"/>
      <c r="T229" s="119"/>
      <c r="U229" s="133" t="str">
        <f>IF([8]回答表!BD18="●",IF([8]回答表!AD51="●",[8]回答表!B354,""),"")</f>
        <v/>
      </c>
      <c r="V229" s="134"/>
      <c r="W229" s="134"/>
      <c r="X229" s="134"/>
      <c r="Y229" s="134"/>
      <c r="Z229" s="134"/>
      <c r="AA229" s="134"/>
      <c r="AB229" s="134"/>
      <c r="AC229" s="134"/>
      <c r="AD229" s="134"/>
      <c r="AE229" s="134"/>
      <c r="AF229" s="134"/>
      <c r="AG229" s="134"/>
      <c r="AH229" s="134"/>
      <c r="AI229" s="134"/>
      <c r="AJ229" s="135"/>
      <c r="AK229" s="249"/>
      <c r="AL229" s="249"/>
      <c r="AM229" s="133" t="str">
        <f>IF([8]回答表!BD18="●",IF([8]回答表!AD51="●",[8]回答表!B360,""),"")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IF([8]回答表!X52="●","●","")</f>
        <v>●</v>
      </c>
      <c r="O241" s="131"/>
      <c r="P241" s="131"/>
      <c r="Q241" s="132"/>
      <c r="R241" s="119"/>
      <c r="S241" s="119"/>
      <c r="T241" s="119"/>
      <c r="U241" s="133" t="str">
        <f>IF([8]回答表!X52="●",[8]回答表!B371,IF([8]回答表!AA52="●",[8]回答表!B396,""))</f>
        <v>　利用者ニーズに応えるべく、民間ノウハウを活用しより良いサービスの提供を行っている。市との連携により、適正な施設の維持管理及び運営を行っている。</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IF([8]回答表!X52="●",[8]回答表!U377,IF([8]回答表!AA52="●",[8]回答表!U402,""))</f>
        <v>平成</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IF([8]回答表!X52="●",[8]回答表!G377,IF([8]回答表!AA52="●",[8]回答表!G402,""))</f>
        <v xml:space="preserve"> </v>
      </c>
      <c r="AN244" s="83"/>
      <c r="AO244" s="83"/>
      <c r="AP244" s="83"/>
      <c r="AQ244" s="83"/>
      <c r="AR244" s="83"/>
      <c r="AS244" s="83"/>
      <c r="AT244" s="153"/>
      <c r="AU244" s="82" t="str">
        <f>IF([8]回答表!X52="●",[8]回答表!G378,IF([8]回答表!AA52="●",[8]回答表!G403,""))</f>
        <v>●</v>
      </c>
      <c r="AV244" s="83"/>
      <c r="AW244" s="83"/>
      <c r="AX244" s="83"/>
      <c r="AY244" s="83"/>
      <c r="AZ244" s="83"/>
      <c r="BA244" s="83"/>
      <c r="BB244" s="153"/>
      <c r="BC244" s="120"/>
      <c r="BD244" s="109"/>
      <c r="BE244" s="109"/>
      <c r="BF244" s="150">
        <f>IF([8]回答表!X52="●",[8]回答表!X377,IF([8]回答表!AA52="●",[8]回答表!X402,""))</f>
        <v>23</v>
      </c>
      <c r="BG244" s="151"/>
      <c r="BH244" s="151"/>
      <c r="BI244" s="151"/>
      <c r="BJ244" s="150">
        <f>IF([8]回答表!X52="●",[8]回答表!X378,IF([8]回答表!AA52="●",[8]回答表!X403,""))</f>
        <v>12</v>
      </c>
      <c r="BK244" s="151"/>
      <c r="BL244" s="151"/>
      <c r="BM244" s="152"/>
      <c r="BN244" s="150">
        <f>IF([8]回答表!X52="●",[8]回答表!X379,IF([8]回答表!AA52="●",[8]回答表!X404,""))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IF([8]回答表!AA52="●","●","")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IF([8]回答表!X52="●",[8]回答表!E386,IF([8]回答表!AA52="●",[8]回答表!E407,""))</f>
        <v>-</v>
      </c>
      <c r="V253" s="182"/>
      <c r="W253" s="182"/>
      <c r="X253" s="182"/>
      <c r="Y253" s="182"/>
      <c r="Z253" s="182"/>
      <c r="AA253" s="182"/>
      <c r="AB253" s="182"/>
      <c r="AC253" s="182"/>
      <c r="AD253" s="182"/>
      <c r="AE253" s="183" t="s">
        <v>33</v>
      </c>
      <c r="AF253" s="183"/>
      <c r="AG253" s="183"/>
      <c r="AH253" s="183"/>
      <c r="AI253" s="183"/>
      <c r="AJ253" s="184"/>
      <c r="AK253" s="136"/>
      <c r="AL253" s="136"/>
      <c r="AM253" s="133" t="str">
        <f>IF([8]回答表!X52="●",[8]回答表!B388,IF([8]回答表!AA52="●",[8]回答表!B409,""))</f>
        <v>索道事業については、索道統括安全管理者や索道技術管理者の設置が必要である。当市は３スキー場を保有しており、技術者の確保という面からも指定管理者制度の導入が適している。</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IF([8]回答表!AD52="●","●","")</f>
        <v/>
      </c>
      <c r="O260" s="131"/>
      <c r="P260" s="131"/>
      <c r="Q260" s="132"/>
      <c r="R260" s="119"/>
      <c r="S260" s="119"/>
      <c r="T260" s="119"/>
      <c r="U260" s="133" t="str">
        <f>IF([8]回答表!AD52="●",[8]回答表!B417,"")</f>
        <v/>
      </c>
      <c r="V260" s="134"/>
      <c r="W260" s="134"/>
      <c r="X260" s="134"/>
      <c r="Y260" s="134"/>
      <c r="Z260" s="134"/>
      <c r="AA260" s="134"/>
      <c r="AB260" s="134"/>
      <c r="AC260" s="134"/>
      <c r="AD260" s="134"/>
      <c r="AE260" s="134"/>
      <c r="AF260" s="134"/>
      <c r="AG260" s="134"/>
      <c r="AH260" s="134"/>
      <c r="AI260" s="134"/>
      <c r="AJ260" s="135"/>
      <c r="AK260" s="249"/>
      <c r="AL260" s="249"/>
      <c r="AM260" s="133" t="str">
        <f>IF([8]回答表!AD52="●",[8]回答表!B423,"")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IF([8]回答表!X53="●","●","")</f>
        <v/>
      </c>
      <c r="O272" s="131"/>
      <c r="P272" s="131"/>
      <c r="Q272" s="132"/>
      <c r="R272" s="119"/>
      <c r="S272" s="119"/>
      <c r="T272" s="119"/>
      <c r="U272" s="133" t="str">
        <f>IF([8]回答表!X53="●",[8]回答表!B434,IF([8]回答表!AA53="●",[8]回答表!B465,""))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IF([8]回答表!X53="●",[8]回答表!B440,"")</f>
        <v/>
      </c>
      <c r="AO272" s="262"/>
      <c r="AP272" s="262"/>
      <c r="AQ272" s="262"/>
      <c r="AR272" s="262"/>
      <c r="AS272" s="262"/>
      <c r="AT272" s="262"/>
      <c r="AU272" s="262"/>
      <c r="AV272" s="262"/>
      <c r="AW272" s="262"/>
      <c r="AX272" s="262"/>
      <c r="AY272" s="262"/>
      <c r="AZ272" s="262"/>
      <c r="BA272" s="262"/>
      <c r="BB272" s="263"/>
      <c r="BC272" s="120"/>
      <c r="BD272" s="109"/>
      <c r="BE272" s="109"/>
      <c r="BF272" s="138" t="str">
        <f>IF([8]回答表!X53="●",[8]回答表!B446,IF([8]回答表!AA53="●",[8]回答表!B471,""))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IF([8]回答表!X53="●",[8]回答表!E446,IF([8]回答表!AA53="●",[8]回答表!E471,""))</f>
        <v/>
      </c>
      <c r="BG275" s="151"/>
      <c r="BH275" s="151"/>
      <c r="BI275" s="151"/>
      <c r="BJ275" s="150" t="str">
        <f>IF([8]回答表!X53="●",[8]回答表!E447,IF([8]回答表!AA53="●",[8]回答表!E472,""))</f>
        <v/>
      </c>
      <c r="BK275" s="151"/>
      <c r="BL275" s="151"/>
      <c r="BM275" s="152"/>
      <c r="BN275" s="150" t="str">
        <f>IF([8]回答表!X53="●",[8]回答表!E448,IF([8]回答表!AA53="●",[8]回答表!E473,""))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IF([8]回答表!AA53="●","●","")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IF([8]回答表!X53="●",[8]回答表!E455,IF([8]回答表!AA53="●",[8]回答表!E476,""))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IF([8]回答表!X53="●",[8]回答表!B457,IF([8]回答表!AA53="●",[8]回答表!B478,""))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IF([8]回答表!AD53="●","●","")</f>
        <v/>
      </c>
      <c r="O291" s="131"/>
      <c r="P291" s="131"/>
      <c r="Q291" s="132"/>
      <c r="R291" s="119"/>
      <c r="S291" s="119"/>
      <c r="T291" s="119"/>
      <c r="U291" s="133" t="str">
        <f>IF([8]回答表!AD53="●",[8]回答表!B486,"")</f>
        <v/>
      </c>
      <c r="V291" s="134"/>
      <c r="W291" s="134"/>
      <c r="X291" s="134"/>
      <c r="Y291" s="134"/>
      <c r="Z291" s="134"/>
      <c r="AA291" s="134"/>
      <c r="AB291" s="134"/>
      <c r="AC291" s="134"/>
      <c r="AD291" s="134"/>
      <c r="AE291" s="134"/>
      <c r="AF291" s="134"/>
      <c r="AG291" s="134"/>
      <c r="AH291" s="134"/>
      <c r="AI291" s="134"/>
      <c r="AJ291" s="135"/>
      <c r="AK291" s="249"/>
      <c r="AL291" s="249"/>
      <c r="AM291" s="133" t="str">
        <f>IF([8]回答表!AD53="●",[8]回答表!B492,"")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IF([8]回答表!X54="●","●","")</f>
        <v/>
      </c>
      <c r="O303" s="131"/>
      <c r="P303" s="131"/>
      <c r="Q303" s="132"/>
      <c r="R303" s="119"/>
      <c r="S303" s="119"/>
      <c r="T303" s="119"/>
      <c r="U303" s="133" t="str">
        <f>IF([8]回答表!X54="●",[8]回答表!B503,IF([8]回答表!AA54="●",[8]回答表!B526,""))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IF([8]回答表!X54="●",[8]回答表!BC510,IF([8]回答表!AA54="●",[8]回答表!BC533,""))</f>
        <v/>
      </c>
      <c r="AR303" s="271"/>
      <c r="AS303" s="271"/>
      <c r="AT303" s="271"/>
      <c r="AU303" s="272" t="s">
        <v>74</v>
      </c>
      <c r="AV303" s="273"/>
      <c r="AW303" s="273"/>
      <c r="AX303" s="274"/>
      <c r="AY303" s="271" t="str">
        <f>IF([8]回答表!X54="●",[8]回答表!BC515,IF([8]回答表!AA54="●",[8]回答表!BC538,""))</f>
        <v/>
      </c>
      <c r="AZ303" s="271"/>
      <c r="BA303" s="271"/>
      <c r="BB303" s="271"/>
      <c r="BC303" s="120"/>
      <c r="BD303" s="109"/>
      <c r="BE303" s="109"/>
      <c r="BF303" s="138" t="str">
        <f>IF([8]回答表!X54="●",[8]回答表!S509,IF([8]回答表!AA54="●",[8]回答表!S532,""))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IF([8]回答表!X54="●",[8]回答表!BC511,IF([8]回答表!AA54="●",[8]回答表!BC534,""))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IF([8]回答表!X54="●",[8]回答表!V509,IF([8]回答表!AA54="●",[8]回答表!V532,""))</f>
        <v/>
      </c>
      <c r="BG306" s="151"/>
      <c r="BH306" s="151"/>
      <c r="BI306" s="151"/>
      <c r="BJ306" s="150" t="str">
        <f>IF([8]回答表!X54="●",[8]回答表!V510,IF([8]回答表!AA54="●",[8]回答表!V533,""))</f>
        <v/>
      </c>
      <c r="BK306" s="151"/>
      <c r="BL306" s="151"/>
      <c r="BM306" s="152"/>
      <c r="BN306" s="150" t="str">
        <f>IF([8]回答表!X54="●",[8]回答表!V511,IF([8]回答表!AA54="●",[8]回答表!V534,""))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IF([8]回答表!X54="●",[8]回答表!BC512,IF([8]回答表!AA54="●",[8]回答表!BC535,""))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IF([8]回答表!X54="●",[8]回答表!BC516,IF([8]回答表!AA54="●",[8]回答表!BC539,""))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IF([8]回答表!AA54="●","●","")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IF([8]回答表!X54="●",[8]回答表!BC513,IF([8]回答表!AA54="●",[8]回答表!BC536,""))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IF([8]回答表!X54="●",[8]回答表!BC514,IF([8]回答表!AA54="●",[8]回答表!BC537,""))</f>
        <v/>
      </c>
      <c r="AR311" s="271"/>
      <c r="AS311" s="271"/>
      <c r="AT311" s="271"/>
      <c r="AU311" s="222" t="s">
        <v>80</v>
      </c>
      <c r="AV311" s="223"/>
      <c r="AW311" s="223"/>
      <c r="AX311" s="224"/>
      <c r="AY311" s="281" t="str">
        <f>IF([8]回答表!X54="●",[8]回答表!BC517,IF([8]回答表!AA54="●",[8]回答表!BC540,""))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IF([8]回答表!X54="●",[8]回答表!E516,IF([8]回答表!AA54="●",[8]回答表!E538,""))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IF([8]回答表!X54="●",[8]回答表!B518,IF([8]回答表!AA54="●",[8]回答表!B540,""))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IF([8]回答表!AD54="●","●","")</f>
        <v/>
      </c>
      <c r="O322" s="131"/>
      <c r="P322" s="131"/>
      <c r="Q322" s="132"/>
      <c r="R322" s="119"/>
      <c r="S322" s="119"/>
      <c r="T322" s="119"/>
      <c r="U322" s="133" t="str">
        <f>IF([8]回答表!AD54="●",[8]回答表!B548,"")</f>
        <v/>
      </c>
      <c r="V322" s="134"/>
      <c r="W322" s="134"/>
      <c r="X322" s="134"/>
      <c r="Y322" s="134"/>
      <c r="Z322" s="134"/>
      <c r="AA322" s="134"/>
      <c r="AB322" s="134"/>
      <c r="AC322" s="134"/>
      <c r="AD322" s="134"/>
      <c r="AE322" s="134"/>
      <c r="AF322" s="134"/>
      <c r="AG322" s="134"/>
      <c r="AH322" s="134"/>
      <c r="AI322" s="134"/>
      <c r="AJ322" s="135"/>
      <c r="AK322" s="189"/>
      <c r="AL322" s="189"/>
      <c r="AM322" s="133" t="str">
        <f>IF([8]回答表!AD54="●",[8]回答表!B554,"")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IF([8]回答表!X55="●","●","")</f>
        <v/>
      </c>
      <c r="O333" s="131"/>
      <c r="P333" s="131"/>
      <c r="Q333" s="132"/>
      <c r="R333" s="119"/>
      <c r="S333" s="119"/>
      <c r="T333" s="119"/>
      <c r="U333" s="133" t="str">
        <f>IF([8]回答表!X55="●",[8]回答表!B565,IF([8]回答表!AA55="●",[8]回答表!B590,""))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IF([8]回答表!X55="●",[8]回答表!B575,IF([8]回答表!AA55="●",[8]回答表!B600,""))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IF([8]回答表!X55="●",[8]回答表!G571,IF([8]回答表!AA55="●",[8]回答表!G596,""))</f>
        <v/>
      </c>
      <c r="AN335" s="83"/>
      <c r="AO335" s="83"/>
      <c r="AP335" s="83"/>
      <c r="AQ335" s="83"/>
      <c r="AR335" s="83"/>
      <c r="AS335" s="83"/>
      <c r="AT335" s="153"/>
      <c r="AU335" s="82" t="str">
        <f>IF([8]回答表!X55="●",[8]回答表!G572,IF([8]回答表!AA55="●",[8]回答表!G597,""))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IF([8]回答表!X55="●",[8]回答表!E575,IF([8]回答表!AA55="●",[8]回答表!E600,""))</f>
        <v/>
      </c>
      <c r="BG336" s="151"/>
      <c r="BH336" s="151"/>
      <c r="BI336" s="151"/>
      <c r="BJ336" s="150" t="str">
        <f>IF([8]回答表!X55="●",[8]回答表!E576,IF([8]回答表!AA55="●",[8]回答表!E601,""))</f>
        <v/>
      </c>
      <c r="BK336" s="151"/>
      <c r="BL336" s="151"/>
      <c r="BM336" s="152"/>
      <c r="BN336" s="150" t="str">
        <f>IF([8]回答表!X55="●",[8]回答表!E577,IF([8]回答表!AA55="●",[8]回答表!E602,""))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IF([8]回答表!AA55="●","●","")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IF([8]回答表!X55="●",[8]回答表!E580,IF([8]回答表!AA55="●",[8]回答表!E605,""))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IF([8]回答表!X55="●",[8]回答表!B582,IF([8]回答表!AA55="●",[8]回答表!B607,""))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IF([8]回答表!AD55="●","●","")</f>
        <v/>
      </c>
      <c r="O352" s="131"/>
      <c r="P352" s="131"/>
      <c r="Q352" s="132"/>
      <c r="R352" s="119"/>
      <c r="S352" s="119"/>
      <c r="T352" s="119"/>
      <c r="U352" s="133" t="str">
        <f>IF([8]回答表!AD55="●",[8]回答表!B615,"")</f>
        <v/>
      </c>
      <c r="V352" s="134"/>
      <c r="W352" s="134"/>
      <c r="X352" s="134"/>
      <c r="Y352" s="134"/>
      <c r="Z352" s="134"/>
      <c r="AA352" s="134"/>
      <c r="AB352" s="134"/>
      <c r="AC352" s="134"/>
      <c r="AD352" s="134"/>
      <c r="AE352" s="134"/>
      <c r="AF352" s="134"/>
      <c r="AG352" s="134"/>
      <c r="AH352" s="134"/>
      <c r="AI352" s="134"/>
      <c r="AJ352" s="135"/>
      <c r="AK352" s="136"/>
      <c r="AL352" s="136"/>
      <c r="AM352" s="133" t="str">
        <f>IF([8]回答表!AD55="●",[8]回答表!B621,"")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IF([8]回答表!R56="●",[8]回答表!B634,"")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4E5D1-5B3F-4B06-8BC9-57E605FCD2E3}">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IF(COUNTIF([9]回答表!K16,"*")&gt;0,[9]回答表!K16,"")</f>
        <v>大仙市</v>
      </c>
      <c r="D11" s="8"/>
      <c r="E11" s="8"/>
      <c r="F11" s="8"/>
      <c r="G11" s="8"/>
      <c r="H11" s="8"/>
      <c r="I11" s="8"/>
      <c r="J11" s="8"/>
      <c r="K11" s="8"/>
      <c r="L11" s="8"/>
      <c r="M11" s="8"/>
      <c r="N11" s="8"/>
      <c r="O11" s="8"/>
      <c r="P11" s="8"/>
      <c r="Q11" s="8"/>
      <c r="R11" s="8"/>
      <c r="S11" s="8"/>
      <c r="T11" s="8"/>
      <c r="U11" s="22" t="str">
        <f>IF(COUNTIF([9]回答表!F18,"*")&gt;0,[9]回答表!F18,"")</f>
        <v>宅地造成事業</v>
      </c>
      <c r="V11" s="23"/>
      <c r="W11" s="23"/>
      <c r="X11" s="23"/>
      <c r="Y11" s="23"/>
      <c r="Z11" s="23"/>
      <c r="AA11" s="23"/>
      <c r="AB11" s="23"/>
      <c r="AC11" s="23"/>
      <c r="AD11" s="23"/>
      <c r="AE11" s="23"/>
      <c r="AF11" s="10"/>
      <c r="AG11" s="10"/>
      <c r="AH11" s="10"/>
      <c r="AI11" s="10"/>
      <c r="AJ11" s="10"/>
      <c r="AK11" s="10"/>
      <c r="AL11" s="10"/>
      <c r="AM11" s="10"/>
      <c r="AN11" s="11"/>
      <c r="AO11" s="24" t="str">
        <f>IF(COUNTIF([9]回答表!W18,"*")&gt;0,[9]回答表!W18,"")</f>
        <v>その他造成</v>
      </c>
      <c r="AP11" s="10"/>
      <c r="AQ11" s="10"/>
      <c r="AR11" s="10"/>
      <c r="AS11" s="10"/>
      <c r="AT11" s="10"/>
      <c r="AU11" s="10"/>
      <c r="AV11" s="10"/>
      <c r="AW11" s="10"/>
      <c r="AX11" s="10"/>
      <c r="AY11" s="10"/>
      <c r="AZ11" s="10"/>
      <c r="BA11" s="10"/>
      <c r="BB11" s="10"/>
      <c r="BC11" s="10"/>
      <c r="BD11" s="10"/>
      <c r="BE11" s="10"/>
      <c r="BF11" s="11"/>
      <c r="BG11" s="21" t="str">
        <f>IF(COUNTIF([9]回答表!F20,"*")&gt;0,[9]回答表!F20,"")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IF([9]回答表!R49="●","●","")</f>
        <v/>
      </c>
      <c r="E24" s="80"/>
      <c r="F24" s="80"/>
      <c r="G24" s="80"/>
      <c r="H24" s="80"/>
      <c r="I24" s="80"/>
      <c r="J24" s="81"/>
      <c r="K24" s="79" t="str">
        <f>IF([9]回答表!R50="●","●","")</f>
        <v/>
      </c>
      <c r="L24" s="80"/>
      <c r="M24" s="80"/>
      <c r="N24" s="80"/>
      <c r="O24" s="80"/>
      <c r="P24" s="80"/>
      <c r="Q24" s="81"/>
      <c r="R24" s="79" t="str">
        <f>IF([9]回答表!R51="●","●","")</f>
        <v/>
      </c>
      <c r="S24" s="80"/>
      <c r="T24" s="80"/>
      <c r="U24" s="80"/>
      <c r="V24" s="80"/>
      <c r="W24" s="80"/>
      <c r="X24" s="81"/>
      <c r="Y24" s="79" t="str">
        <f>IF([9]回答表!R52="●","●","")</f>
        <v/>
      </c>
      <c r="Z24" s="80"/>
      <c r="AA24" s="80"/>
      <c r="AB24" s="80"/>
      <c r="AC24" s="80"/>
      <c r="AD24" s="80"/>
      <c r="AE24" s="81"/>
      <c r="AF24" s="79" t="str">
        <f>IF([9]回答表!R53="●","●","")</f>
        <v/>
      </c>
      <c r="AG24" s="80"/>
      <c r="AH24" s="80"/>
      <c r="AI24" s="80"/>
      <c r="AJ24" s="80"/>
      <c r="AK24" s="80"/>
      <c r="AL24" s="81"/>
      <c r="AM24" s="79" t="str">
        <f>IF([9]回答表!R54="●","●","")</f>
        <v/>
      </c>
      <c r="AN24" s="80"/>
      <c r="AO24" s="80"/>
      <c r="AP24" s="80"/>
      <c r="AQ24" s="80"/>
      <c r="AR24" s="80"/>
      <c r="AS24" s="81"/>
      <c r="AT24" s="79" t="str">
        <f>IF([9]回答表!R55="●","●","")</f>
        <v/>
      </c>
      <c r="AU24" s="80"/>
      <c r="AV24" s="80"/>
      <c r="AW24" s="80"/>
      <c r="AX24" s="80"/>
      <c r="AY24" s="80"/>
      <c r="AZ24" s="81"/>
      <c r="BA24" s="68"/>
      <c r="BB24" s="82" t="str">
        <f>IF([9]回答表!R56="●","●","")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IF([9]回答表!X49="●","●","")</f>
        <v/>
      </c>
      <c r="O36" s="131"/>
      <c r="P36" s="131"/>
      <c r="Q36" s="132"/>
      <c r="R36" s="119"/>
      <c r="S36" s="119"/>
      <c r="T36" s="119"/>
      <c r="U36" s="133" t="str">
        <f>IF([9]回答表!X49="●",[9]回答表!B67,IF([9]回答表!AA49="●",[9]回答表!B95,""))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IF([9]回答表!X49="●",[9]回答表!S73,IF([9]回答表!AA49="●",[9]回答表!S101,""))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IF([9]回答表!X49="●",[9]回答表!G73,IF([9]回答表!AA49="●",[9]回答表!G101,""))</f>
        <v/>
      </c>
      <c r="AN38" s="83"/>
      <c r="AO38" s="83"/>
      <c r="AP38" s="83"/>
      <c r="AQ38" s="83"/>
      <c r="AR38" s="83"/>
      <c r="AS38" s="83"/>
      <c r="AT38" s="153"/>
      <c r="AU38" s="82" t="str">
        <f>IF([9]回答表!X49="●",[9]回答表!G74,IF([9]回答表!AA49="●",[9]回答表!G102,""))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IF([9]回答表!X49="●",[9]回答表!V73,IF([9]回答表!AA49="●",[9]回答表!V101,""))</f>
        <v/>
      </c>
      <c r="BG39" s="16"/>
      <c r="BH39" s="16"/>
      <c r="BI39" s="17"/>
      <c r="BJ39" s="150" t="str">
        <f>IF([9]回答表!X49="●",[9]回答表!V74,IF([9]回答表!AA49="●",[9]回答表!V102,""))</f>
        <v/>
      </c>
      <c r="BK39" s="16"/>
      <c r="BL39" s="16"/>
      <c r="BM39" s="17"/>
      <c r="BN39" s="150" t="str">
        <f>IF([9]回答表!X49="●",[9]回答表!V75,IF([9]回答表!AA49="●",[9]回答表!V103,""))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IF([9]回答表!X49="●",[9]回答表!O79,IF([9]回答表!AA49="●",[9]回答表!O107,""))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IF([9]回答表!X49="●",[9]回答表!O80,IF([9]回答表!AA49="●",[9]回答表!O108,""))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IF([9]回答表!AA49="●","●","")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IF([9]回答表!X49="●",[9]回答表!O81,IF([9]回答表!AA49="●",[9]回答表!O109,""))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IF([9]回答表!X49="●",[9]回答表!O82,IF([9]回答表!AA49="●",[9]回答表!O110,""))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IF([9]回答表!X49="●",[9]回答表!AG79,IF([9]回答表!AA49="●",[9]回答表!AG107,""))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IF([9]回答表!X49="●",[9]回答表!AG80,IF([9]回答表!AA49="●",[9]回答表!AG108,""))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IF([9]回答表!X49="●",[9]回答表!E85,IF([9]回答表!AA49="●",[9]回答表!E113,""))</f>
        <v/>
      </c>
      <c r="V50" s="182"/>
      <c r="W50" s="182"/>
      <c r="X50" s="182"/>
      <c r="Y50" s="182"/>
      <c r="Z50" s="182"/>
      <c r="AA50" s="182"/>
      <c r="AB50" s="182"/>
      <c r="AC50" s="182"/>
      <c r="AD50" s="182"/>
      <c r="AE50" s="183" t="s">
        <v>33</v>
      </c>
      <c r="AF50" s="183"/>
      <c r="AG50" s="183"/>
      <c r="AH50" s="183"/>
      <c r="AI50" s="183"/>
      <c r="AJ50" s="184"/>
      <c r="AK50" s="136"/>
      <c r="AL50" s="136"/>
      <c r="AM50" s="133" t="str">
        <f>IF([9]回答表!X49="●",[9]回答表!B87,IF([9]回答表!AA49="●",[9]回答表!B115,""))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IF([9]回答表!AD49="●","●","")</f>
        <v/>
      </c>
      <c r="O57" s="131"/>
      <c r="P57" s="131"/>
      <c r="Q57" s="132"/>
      <c r="R57" s="119"/>
      <c r="S57" s="119"/>
      <c r="T57" s="119"/>
      <c r="U57" s="133" t="str">
        <f>IF([9]回答表!AD49="●",[9]回答表!B123,"")</f>
        <v/>
      </c>
      <c r="V57" s="134"/>
      <c r="W57" s="134"/>
      <c r="X57" s="134"/>
      <c r="Y57" s="134"/>
      <c r="Z57" s="134"/>
      <c r="AA57" s="134"/>
      <c r="AB57" s="134"/>
      <c r="AC57" s="134"/>
      <c r="AD57" s="134"/>
      <c r="AE57" s="134"/>
      <c r="AF57" s="134"/>
      <c r="AG57" s="134"/>
      <c r="AH57" s="134"/>
      <c r="AI57" s="134"/>
      <c r="AJ57" s="135"/>
      <c r="AK57" s="189"/>
      <c r="AL57" s="189"/>
      <c r="AM57" s="133" t="str">
        <f>IF([9]回答表!AD49="●",[9]回答表!B128,"")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IF([9]回答表!X50="●","●","")</f>
        <v/>
      </c>
      <c r="O68" s="131"/>
      <c r="P68" s="131"/>
      <c r="Q68" s="132"/>
      <c r="R68" s="119"/>
      <c r="S68" s="119"/>
      <c r="T68" s="119"/>
      <c r="U68" s="133" t="str">
        <f>IF([9]回答表!X50="●",[9]回答表!B138,IF([9]回答表!AA50="●",[9]回答表!B159,""))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IF([9]回答表!X50="●",[9]回答表!S144,IF([9]回答表!AA50="●",[9]回答表!S165,""))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IF([9]回答表!X50="●",[9]回答表!J144,IF([9]回答表!AA50="●",[9]回答表!J165,""))</f>
        <v/>
      </c>
      <c r="AN71" s="83"/>
      <c r="AO71" s="83"/>
      <c r="AP71" s="83"/>
      <c r="AQ71" s="83"/>
      <c r="AR71" s="83"/>
      <c r="AS71" s="83"/>
      <c r="AT71" s="153"/>
      <c r="AU71" s="82" t="str">
        <f>IF([9]回答表!X50="●",[9]回答表!J145,IF([9]回答表!AA50="●",[9]回答表!J166,""))</f>
        <v/>
      </c>
      <c r="AV71" s="83"/>
      <c r="AW71" s="83"/>
      <c r="AX71" s="83"/>
      <c r="AY71" s="83"/>
      <c r="AZ71" s="83"/>
      <c r="BA71" s="83"/>
      <c r="BB71" s="153"/>
      <c r="BC71" s="120"/>
      <c r="BD71" s="109"/>
      <c r="BE71" s="109"/>
      <c r="BF71" s="150" t="str">
        <f>IF([9]回答表!X50="●",[9]回答表!V144,IF([9]回答表!AA50="●",[9]回答表!V165,""))</f>
        <v/>
      </c>
      <c r="BG71" s="151"/>
      <c r="BH71" s="151"/>
      <c r="BI71" s="151"/>
      <c r="BJ71" s="150" t="str">
        <f>IF([9]回答表!X50="●",[9]回答表!V145,IF([9]回答表!AA50="●",[9]回答表!V166,""))</f>
        <v/>
      </c>
      <c r="BK71" s="151"/>
      <c r="BL71" s="151"/>
      <c r="BM71" s="151"/>
      <c r="BN71" s="150" t="str">
        <f>IF([9]回答表!X50="●",[9]回答表!V146,IF([9]回答表!AA50="●",[9]回答表!V167,""))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IF([9]回答表!AA50="●","●","")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IF([9]回答表!X50="●",[9]回答表!E149,IF([9]回答表!AA50="●",[9]回答表!E170,""))</f>
        <v/>
      </c>
      <c r="V80" s="182"/>
      <c r="W80" s="182"/>
      <c r="X80" s="182"/>
      <c r="Y80" s="182"/>
      <c r="Z80" s="182"/>
      <c r="AA80" s="182"/>
      <c r="AB80" s="182"/>
      <c r="AC80" s="182"/>
      <c r="AD80" s="182"/>
      <c r="AE80" s="183" t="s">
        <v>33</v>
      </c>
      <c r="AF80" s="183"/>
      <c r="AG80" s="183"/>
      <c r="AH80" s="183"/>
      <c r="AI80" s="183"/>
      <c r="AJ80" s="184"/>
      <c r="AK80" s="136"/>
      <c r="AL80" s="136"/>
      <c r="AM80" s="133" t="str">
        <f>IF([9]回答表!X50="●",[9]回答表!B151,IF([9]回答表!AA50="●",[9]回答表!B172,""))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IF([9]回答表!AD50="●","●","")</f>
        <v/>
      </c>
      <c r="O87" s="131"/>
      <c r="P87" s="131"/>
      <c r="Q87" s="132"/>
      <c r="R87" s="119"/>
      <c r="S87" s="119"/>
      <c r="T87" s="119"/>
      <c r="U87" s="133" t="str">
        <f>IF([9]回答表!AD50="●",[9]回答表!B180,"")</f>
        <v/>
      </c>
      <c r="V87" s="134"/>
      <c r="W87" s="134"/>
      <c r="X87" s="134"/>
      <c r="Y87" s="134"/>
      <c r="Z87" s="134"/>
      <c r="AA87" s="134"/>
      <c r="AB87" s="134"/>
      <c r="AC87" s="134"/>
      <c r="AD87" s="134"/>
      <c r="AE87" s="134"/>
      <c r="AF87" s="134"/>
      <c r="AG87" s="134"/>
      <c r="AH87" s="134"/>
      <c r="AI87" s="134"/>
      <c r="AJ87" s="135"/>
      <c r="AK87" s="189"/>
      <c r="AL87" s="189"/>
      <c r="AM87" s="133" t="str">
        <f>IF([9]回答表!AD50="●",[9]回答表!B186,"")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IF([9]回答表!F18="水道事業",IF([9]回答表!X51="●","●",""),"")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IF([9]回答表!F18="水道事業",IF([9]回答表!X51="●",[9]回答表!B197,IF([9]回答表!AA51="●",[9]回答表!B275,"")),"")</f>
        <v/>
      </c>
      <c r="AN99" s="134"/>
      <c r="AO99" s="134"/>
      <c r="AP99" s="134"/>
      <c r="AQ99" s="134"/>
      <c r="AR99" s="134"/>
      <c r="AS99" s="134"/>
      <c r="AT99" s="134"/>
      <c r="AU99" s="134"/>
      <c r="AV99" s="134"/>
      <c r="AW99" s="134"/>
      <c r="AX99" s="134"/>
      <c r="AY99" s="134"/>
      <c r="AZ99" s="134"/>
      <c r="BA99" s="134"/>
      <c r="BB99" s="134"/>
      <c r="BC99" s="135"/>
      <c r="BD99" s="109"/>
      <c r="BE99" s="109"/>
      <c r="BF99" s="138" t="str">
        <f>IF([9]回答表!F18="水道事業",IF([9]回答表!X51="●",[9]回答表!B256,IF([9]回答表!AA51="●",[9]回答表!B335,"")),"")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IF([9]回答表!F18="水道事業",IF([9]回答表!X51="●",[9]回答表!J205,IF([9]回答表!AA51="●",[9]回答表!J283,"")),"")</f>
        <v/>
      </c>
      <c r="V101" s="83"/>
      <c r="W101" s="83"/>
      <c r="X101" s="83"/>
      <c r="Y101" s="83"/>
      <c r="Z101" s="83"/>
      <c r="AA101" s="83"/>
      <c r="AB101" s="153"/>
      <c r="AC101" s="82" t="str">
        <f>IF([9]回答表!F18="水道事業",IF([9]回答表!X51="●",[9]回答表!J210,IF([9]回答表!AA51="●",[9]回答表!J290,"")),"")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IF([9]回答表!F18="水道事業",IF([9]回答表!X51="●",[9]回答表!E256,IF([9]回答表!AA51="●",[9]回答表!E335,"")),"")</f>
        <v/>
      </c>
      <c r="BG102" s="151"/>
      <c r="BH102" s="151"/>
      <c r="BI102" s="151"/>
      <c r="BJ102" s="150" t="str">
        <f>IF([9]回答表!F18="水道事業",IF([9]回答表!X51="●",[9]回答表!E257,IF([9]回答表!AA51="●",[9]回答表!E336,"")),"")</f>
        <v/>
      </c>
      <c r="BK102" s="151"/>
      <c r="BL102" s="151"/>
      <c r="BM102" s="151"/>
      <c r="BN102" s="150" t="str">
        <f>IF([9]回答表!F18="水道事業",IF([9]回答表!X51="●",[9]回答表!E258,IF([9]回答表!AA51="●",[9]回答表!E337,"")),"")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IF([9]回答表!F18="水道事業",IF([9]回答表!AA51="●","●",""),"")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IF([9]回答表!F18="水道事業",IF([9]回答表!X51="●",[9]回答表!J213,IF([9]回答表!AA51="●",[9]回答表!J293,"")),"")</f>
        <v/>
      </c>
      <c r="V106" s="83"/>
      <c r="W106" s="83"/>
      <c r="X106" s="83"/>
      <c r="Y106" s="83"/>
      <c r="Z106" s="83"/>
      <c r="AA106" s="83"/>
      <c r="AB106" s="153"/>
      <c r="AC106" s="82" t="str">
        <f>IF([9]回答表!F18="水道事業",IF([9]回答表!X51="●",[9]回答表!J217,IF([9]回答表!AA51="●",[9]回答表!J297,"")),"")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IF([9]回答表!F18="水道事業",IF([9]回答表!X51="●",[9]回答表!E265,IF([9]回答表!AA51="●",[9]回答表!E344,"")),"")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IF([9]回答表!F18="水道事業",IF([9]回答表!X51="●",[9]回答表!B267,IF([9]回答表!AA51="●",[9]回答表!B346,"")),"")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IF([9]回答表!F18="水道事業",IF([9]回答表!AD51="●","●",""),"")</f>
        <v/>
      </c>
      <c r="O118" s="131"/>
      <c r="P118" s="131"/>
      <c r="Q118" s="132"/>
      <c r="R118" s="119"/>
      <c r="S118" s="119"/>
      <c r="T118" s="119"/>
      <c r="U118" s="133" t="str">
        <f>IF([9]回答表!F18="水道事業",IF([9]回答表!AD51="●",[9]回答表!B354,""),"")</f>
        <v/>
      </c>
      <c r="V118" s="134"/>
      <c r="W118" s="134"/>
      <c r="X118" s="134"/>
      <c r="Y118" s="134"/>
      <c r="Z118" s="134"/>
      <c r="AA118" s="134"/>
      <c r="AB118" s="134"/>
      <c r="AC118" s="134"/>
      <c r="AD118" s="134"/>
      <c r="AE118" s="134"/>
      <c r="AF118" s="134"/>
      <c r="AG118" s="134"/>
      <c r="AH118" s="134"/>
      <c r="AI118" s="134"/>
      <c r="AJ118" s="135"/>
      <c r="AK118" s="189"/>
      <c r="AL118" s="189"/>
      <c r="AM118" s="133" t="str">
        <f>IF([9]回答表!F18="水道事業",IF([9]回答表!AD51="●",[9]回答表!B360,""),"")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IF([9]回答表!F18="簡易水道事業",IF([9]回答表!X51="●",[9]回答表!B197,IF([9]回答表!AA51="●",[9]回答表!B275,"")),"")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IF([9]回答表!F18="簡易水道事業",IF([9]回答表!X51="●",[9]回答表!B256,IF([9]回答表!AA51="●",[9]回答表!B335,"")),"")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IF([9]回答表!F18="簡易水道事業",IF([9]回答表!X51="●","●",""),"")</f>
        <v/>
      </c>
      <c r="O132" s="131"/>
      <c r="P132" s="131"/>
      <c r="Q132" s="132"/>
      <c r="R132" s="119"/>
      <c r="S132" s="119"/>
      <c r="T132" s="119"/>
      <c r="U132" s="82" t="str">
        <f>IF([9]回答表!F18="簡易水道事業",IF([9]回答表!X51="●",[9]回答表!S224,IF([9]回答表!AA51="●",[9]回答表!S304,"")),"")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IF([9]回答表!F18="簡易水道事業",IF([9]回答表!X51="●",[9]回答表!E256,IF([9]回答表!AA51="●",[9]回答表!E335,"")),"")</f>
        <v/>
      </c>
      <c r="BG133" s="151"/>
      <c r="BH133" s="151"/>
      <c r="BI133" s="151"/>
      <c r="BJ133" s="150" t="str">
        <f>IF([9]回答表!F18="簡易水道事業",IF([9]回答表!X51="●",[9]回答表!E257,IF([9]回答表!AA51="●",[9]回答表!E336,"")),"")</f>
        <v/>
      </c>
      <c r="BK133" s="151"/>
      <c r="BL133" s="151"/>
      <c r="BM133" s="151"/>
      <c r="BN133" s="150" t="str">
        <f>IF([9]回答表!F18="簡易水道事業",IF([9]回答表!X51="●",[9]回答表!E258,IF([9]回答表!AA51="●",[9]回答表!E337,"")),"")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IF([9]回答表!F18="簡易水道事業",IF([9]回答表!X51="●",[9]回答表!S225,IF([9]回答表!AA51="●",[9]回答表!S305,"")),"")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IF([9]回答表!F18="簡易水道事業",IF([9]回答表!AA51="●","●",""),"")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IF([9]回答表!F18="簡易水道事業",IF([9]回答表!X51="●",[9]回答表!S226,IF([9]回答表!AA51="●",[9]回答表!S306,"")),"")</f>
        <v/>
      </c>
      <c r="V142" s="83"/>
      <c r="W142" s="83"/>
      <c r="X142" s="83"/>
      <c r="Y142" s="83"/>
      <c r="Z142" s="83"/>
      <c r="AA142" s="83"/>
      <c r="AB142" s="83"/>
      <c r="AC142" s="83"/>
      <c r="AD142" s="83"/>
      <c r="AE142" s="83"/>
      <c r="AF142" s="83"/>
      <c r="AG142" s="83"/>
      <c r="AH142" s="83"/>
      <c r="AI142" s="83"/>
      <c r="AJ142" s="153"/>
      <c r="AK142" s="68"/>
      <c r="AL142" s="68"/>
      <c r="AM142" s="231" t="str">
        <f>IF([9]回答表!F18="簡易水道事業",IF([9]回答表!X51="●",[9]回答表!Y228,IF([9]回答表!AA51="●",[9]回答表!Y308,"")),"")</f>
        <v/>
      </c>
      <c r="AN142" s="231"/>
      <c r="AO142" s="231"/>
      <c r="AP142" s="231"/>
      <c r="AQ142" s="231"/>
      <c r="AR142" s="231"/>
      <c r="AS142" s="231" t="str">
        <f>IF([9]回答表!F18="簡易水道事業",IF([9]回答表!X51="●",[9]回答表!Y229,IF([9]回答表!AA51="●",[9]回答表!Y309,"")),"")</f>
        <v/>
      </c>
      <c r="AT142" s="231"/>
      <c r="AU142" s="231"/>
      <c r="AV142" s="231"/>
      <c r="AW142" s="231"/>
      <c r="AX142" s="231"/>
      <c r="AY142" s="231" t="str">
        <f>IF([9]回答表!F18="簡易水道事業",IF([9]回答表!X51="●",[9]回答表!Y230,IF([9]回答表!AA51="●",[9]回答表!Y310,"")),"")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IF([9]回答表!F18="簡易水道事業",IF([9]回答表!X51="●",[9]回答表!E265,IF([9]回答表!AA51="●",[9]回答表!E344,"")),"")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IF([9]回答表!F18="簡易水道事業",IF([9]回答表!X51="●",[9]回答表!B267,IF([9]回答表!AA51="●",[9]回答表!B346,"")),"")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IF([9]回答表!F18="簡易水道事業",IF([9]回答表!AD51="●","●",""),"")</f>
        <v/>
      </c>
      <c r="O154" s="131"/>
      <c r="P154" s="131"/>
      <c r="Q154" s="132"/>
      <c r="R154" s="119"/>
      <c r="S154" s="119"/>
      <c r="T154" s="119"/>
      <c r="U154" s="133" t="str">
        <f>IF([9]回答表!F18="簡易水道事業",IF([9]回答表!AD51="●",[9]回答表!B354,""),"")</f>
        <v/>
      </c>
      <c r="V154" s="134"/>
      <c r="W154" s="134"/>
      <c r="X154" s="134"/>
      <c r="Y154" s="134"/>
      <c r="Z154" s="134"/>
      <c r="AA154" s="134"/>
      <c r="AB154" s="134"/>
      <c r="AC154" s="134"/>
      <c r="AD154" s="134"/>
      <c r="AE154" s="134"/>
      <c r="AF154" s="134"/>
      <c r="AG154" s="134"/>
      <c r="AH154" s="134"/>
      <c r="AI154" s="134"/>
      <c r="AJ154" s="135"/>
      <c r="AK154" s="189"/>
      <c r="AL154" s="189"/>
      <c r="AM154" s="133" t="str">
        <f>IF([9]回答表!F18="簡易水道事業",IF([9]回答表!AD51="●",[9]回答表!B360,""),"")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IF([9]回答表!F18="下水道事業",IF([9]回答表!X51="●","●",""),"")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IF([9]回答表!F18="下水道事業",IF([9]回答表!X51="●",[9]回答表!B197,IF([9]回答表!AA51="●",[9]回答表!B275,"")),"")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IF([9]回答表!F18="下水道事業",IF([9]回答表!X51="●",[9]回答表!B256,IF([9]回答表!AA51="●",[9]回答表!B335,"")),"")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IF([9]回答表!F18="下水道事業",IF([9]回答表!X51="●",[9]回答表!N234,IF([9]回答表!AA51="●",[9]回答表!N314,"")),"")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IF([9]回答表!F18="下水道事業",IF([9]回答表!X51="●",[9]回答表!E256,IF([9]回答表!AA51="●",[9]回答表!E335,"")),"")</f>
        <v/>
      </c>
      <c r="BG169" s="151"/>
      <c r="BH169" s="151"/>
      <c r="BI169" s="151"/>
      <c r="BJ169" s="150" t="str">
        <f>IF([9]回答表!F18="下水道事業",IF([9]回答表!X51="●",[9]回答表!E257,IF([9]回答表!AA51="●",[9]回答表!E336,"")),"")</f>
        <v/>
      </c>
      <c r="BK169" s="151"/>
      <c r="BL169" s="151"/>
      <c r="BM169" s="151"/>
      <c r="BN169" s="150" t="str">
        <f>IF([9]回答表!F18="下水道事業",IF([9]回答表!X51="●",[9]回答表!E258,IF([9]回答表!AA51="●",[9]回答表!E337,"")),"")</f>
        <v/>
      </c>
      <c r="BO169" s="151"/>
      <c r="BP169" s="151"/>
      <c r="BQ169" s="152"/>
      <c r="BR169" s="112"/>
      <c r="BX169" s="234" t="str">
        <f>IF([9]回答表!AQ21="下水道事業",IF([9]回答表!BI54="○",[9]回答表!AM200,IF([9]回答表!BL54="○",[9]回答表!AM278,"")),"")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IF([9]回答表!F18="下水道事業",IF([9]回答表!X51="●",[9]回答表!Y236,IF([9]回答表!AA51="●",[9]回答表!Y316,"")),"")</f>
        <v/>
      </c>
      <c r="V174" s="83"/>
      <c r="W174" s="83"/>
      <c r="X174" s="83"/>
      <c r="Y174" s="83"/>
      <c r="Z174" s="83"/>
      <c r="AA174" s="83"/>
      <c r="AB174" s="153"/>
      <c r="AC174" s="82" t="str">
        <f>IF([9]回答表!F18="下水道事業",IF([9]回答表!X51="●",[9]回答表!Y237,IF([9]回答表!AA51="●",[9]回答表!Y317,"")),"")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IF([9]回答表!F18="下水道事業",IF([9]回答表!X51="●",[9]回答表!Y239,IF([9]回答表!AA51="●",[9]回答表!Y319,"")),"")</f>
        <v/>
      </c>
      <c r="V180" s="83"/>
      <c r="W180" s="83"/>
      <c r="X180" s="83"/>
      <c r="Y180" s="83"/>
      <c r="Z180" s="83"/>
      <c r="AA180" s="83"/>
      <c r="AB180" s="153"/>
      <c r="AC180" s="82" t="str">
        <f>IF([9]回答表!F18="下水道事業",IF([9]回答表!X51="●",[9]回答表!Y240,IF([9]回答表!AA51="●",[9]回答表!Y320,"")),"")</f>
        <v/>
      </c>
      <c r="AD180" s="83"/>
      <c r="AE180" s="83"/>
      <c r="AF180" s="83"/>
      <c r="AG180" s="83"/>
      <c r="AH180" s="83"/>
      <c r="AI180" s="83"/>
      <c r="AJ180" s="153"/>
      <c r="AK180" s="82" t="str">
        <f>IF([9]回答表!F18="下水道事業",IF([9]回答表!X51="●",[9]回答表!Y241,IF([9]回答表!AA51="●",[9]回答表!Y321,"")),"")</f>
        <v/>
      </c>
      <c r="AL180" s="83"/>
      <c r="AM180" s="83"/>
      <c r="AN180" s="83"/>
      <c r="AO180" s="83"/>
      <c r="AP180" s="83"/>
      <c r="AQ180" s="83"/>
      <c r="AR180" s="153"/>
      <c r="AS180" s="82" t="str">
        <f>IF([9]回答表!F18="下水道事業",IF([9]回答表!X51="●",[9]回答表!Y242,IF([9]回答表!AA51="●",[9]回答表!Y322,"")),"")</f>
        <v/>
      </c>
      <c r="AT180" s="83"/>
      <c r="AU180" s="83"/>
      <c r="AV180" s="83"/>
      <c r="AW180" s="83"/>
      <c r="AX180" s="83"/>
      <c r="AY180" s="83"/>
      <c r="AZ180" s="153"/>
      <c r="BA180" s="82" t="str">
        <f>IF([9]回答表!F18="下水道事業",IF([9]回答表!X51="●",[9]回答表!Y243,IF([9]回答表!AA51="●",[9]回答表!Y323,"")),"")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IF([9]回答表!F18="下水道事業",IF([9]回答表!AA51="●","●",""),"")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IF([9]回答表!F18="下水道事業",IF([9]回答表!X51="●",[9]回答表!N248,IF([9]回答表!AA51="●",[9]回答表!N328,"")),"")</f>
        <v/>
      </c>
      <c r="V186" s="83"/>
      <c r="W186" s="83"/>
      <c r="X186" s="83"/>
      <c r="Y186" s="83"/>
      <c r="Z186" s="83"/>
      <c r="AA186" s="83"/>
      <c r="AB186" s="153"/>
      <c r="AC186" s="82" t="str">
        <f>IF([9]回答表!F18="下水道事業",IF([9]回答表!X51="●",[9]回答表!N249,IF([9]回答表!AA51="●",[9]回答表!N329,"")),"")</f>
        <v/>
      </c>
      <c r="AD186" s="83"/>
      <c r="AE186" s="83"/>
      <c r="AF186" s="83"/>
      <c r="AG186" s="83"/>
      <c r="AH186" s="83"/>
      <c r="AI186" s="83"/>
      <c r="AJ186" s="153"/>
      <c r="AK186" s="82" t="str">
        <f>IF([9]回答表!F18="下水道事業",IF([9]回答表!X51="●",[9]回答表!N250,IF([9]回答表!AA51="●",[9]回答表!N330,"")),"")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IF([9]回答表!F18="下水道事業",IF([9]回答表!X51="●",[9]回答表!E265,IF([9]回答表!AA51="●",[9]回答表!E344,"")),"")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IF([9]回答表!F18="下水道事業",IF([9]回答表!X51="●",[9]回答表!B267,IF([9]回答表!AA51="●",[9]回答表!B346,"")),"")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IF([9]回答表!F18="下水道事業",IF([9]回答表!AD51="●","●",""),"")</f>
        <v/>
      </c>
      <c r="O198" s="131"/>
      <c r="P198" s="131"/>
      <c r="Q198" s="132"/>
      <c r="R198" s="119"/>
      <c r="S198" s="119"/>
      <c r="T198" s="119"/>
      <c r="U198" s="133" t="str">
        <f>IF([9]回答表!F18="下水道事業",IF([9]回答表!AD51="●",[9]回答表!B354,""),"")</f>
        <v/>
      </c>
      <c r="V198" s="134"/>
      <c r="W198" s="134"/>
      <c r="X198" s="134"/>
      <c r="Y198" s="134"/>
      <c r="Z198" s="134"/>
      <c r="AA198" s="134"/>
      <c r="AB198" s="134"/>
      <c r="AC198" s="134"/>
      <c r="AD198" s="134"/>
      <c r="AE198" s="134"/>
      <c r="AF198" s="134"/>
      <c r="AG198" s="134"/>
      <c r="AH198" s="134"/>
      <c r="AI198" s="134"/>
      <c r="AJ198" s="135"/>
      <c r="AK198" s="189"/>
      <c r="AL198" s="189"/>
      <c r="AM198" s="133" t="str">
        <f>IF([9]回答表!F18="下水道事業",IF([9]回答表!AD51="●",[9]回答表!B360,""),"")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IF([9]回答表!BD18="●",IF([9]回答表!X51="●","●",""),"")</f>
        <v/>
      </c>
      <c r="O210" s="131"/>
      <c r="P210" s="131"/>
      <c r="Q210" s="132"/>
      <c r="R210" s="119"/>
      <c r="S210" s="119"/>
      <c r="T210" s="119"/>
      <c r="U210" s="133" t="str">
        <f>IF([9]回答表!BD18="●",IF([9]回答表!X51="●",[9]回答表!B197,IF([9]回答表!AA51="●",[9]回答表!B275,"")),"")</f>
        <v/>
      </c>
      <c r="V210" s="134"/>
      <c r="W210" s="134"/>
      <c r="X210" s="134"/>
      <c r="Y210" s="134"/>
      <c r="Z210" s="134"/>
      <c r="AA210" s="134"/>
      <c r="AB210" s="134"/>
      <c r="AC210" s="134"/>
      <c r="AD210" s="134"/>
      <c r="AE210" s="134"/>
      <c r="AF210" s="134"/>
      <c r="AG210" s="134"/>
      <c r="AH210" s="134"/>
      <c r="AI210" s="134"/>
      <c r="AJ210" s="135"/>
      <c r="AK210" s="136"/>
      <c r="AL210" s="136"/>
      <c r="AM210" s="138" t="str">
        <f>IF([9]回答表!BD18="●",IF([9]回答表!X51="●",[9]回答表!B256,IF([9]回答表!AA51="●",[9]回答表!B335,"")),"")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IF([9]回答表!BD18="●",IF([9]回答表!X51="●",[9]回答表!E256,IF([9]回答表!AA51="●",[9]回答表!E335,"")),"")</f>
        <v/>
      </c>
      <c r="AN213" s="151"/>
      <c r="AO213" s="151"/>
      <c r="AP213" s="151"/>
      <c r="AQ213" s="150" t="str">
        <f>IF([9]回答表!BD18="●",IF([9]回答表!X51="●",[9]回答表!E257,IF([9]回答表!AA51="●",[9]回答表!E336,"")),"")</f>
        <v/>
      </c>
      <c r="AR213" s="151"/>
      <c r="AS213" s="151"/>
      <c r="AT213" s="151"/>
      <c r="AU213" s="150" t="str">
        <f>IF([9]回答表!BD18="●",IF([9]回答表!X51="●",[9]回答表!E258,IF([9]回答表!AA51="●",[9]回答表!E337,"")),"")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IF([9]回答表!BD18="●",IF([9]回答表!AA51="●","●",""),"")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IF([9]回答表!BD18="●",IF([9]回答表!X51="●",[9]回答表!E265,IF([9]回答表!AA51="●",[9]回答表!E344,"")),"")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IF([9]回答表!BD18="●",IF([9]回答表!X51="●",[9]回答表!B267,IF([9]回答表!AA51="●",[9]回答表!B346,"")),"")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IF([9]回答表!BD18="●",IF([9]回答表!AD51="●","●",""),"")</f>
        <v/>
      </c>
      <c r="O229" s="131"/>
      <c r="P229" s="131"/>
      <c r="Q229" s="132"/>
      <c r="R229" s="119"/>
      <c r="S229" s="119"/>
      <c r="T229" s="119"/>
      <c r="U229" s="133" t="str">
        <f>IF([9]回答表!BD18="●",IF([9]回答表!AD51="●",[9]回答表!B354,""),"")</f>
        <v/>
      </c>
      <c r="V229" s="134"/>
      <c r="W229" s="134"/>
      <c r="X229" s="134"/>
      <c r="Y229" s="134"/>
      <c r="Z229" s="134"/>
      <c r="AA229" s="134"/>
      <c r="AB229" s="134"/>
      <c r="AC229" s="134"/>
      <c r="AD229" s="134"/>
      <c r="AE229" s="134"/>
      <c r="AF229" s="134"/>
      <c r="AG229" s="134"/>
      <c r="AH229" s="134"/>
      <c r="AI229" s="134"/>
      <c r="AJ229" s="135"/>
      <c r="AK229" s="249"/>
      <c r="AL229" s="249"/>
      <c r="AM229" s="133" t="str">
        <f>IF([9]回答表!BD18="●",IF([9]回答表!AD51="●",[9]回答表!B360,""),"")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IF([9]回答表!X52="●","●","")</f>
        <v/>
      </c>
      <c r="O241" s="131"/>
      <c r="P241" s="131"/>
      <c r="Q241" s="132"/>
      <c r="R241" s="119"/>
      <c r="S241" s="119"/>
      <c r="T241" s="119"/>
      <c r="U241" s="133" t="str">
        <f>IF([9]回答表!X52="●",[9]回答表!B371,IF([9]回答表!AA52="●",[9]回答表!B396,""))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IF([9]回答表!X52="●",[9]回答表!U377,IF([9]回答表!AA52="●",[9]回答表!U402,""))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IF([9]回答表!X52="●",[9]回答表!G377,IF([9]回答表!AA52="●",[9]回答表!G402,""))</f>
        <v/>
      </c>
      <c r="AN244" s="83"/>
      <c r="AO244" s="83"/>
      <c r="AP244" s="83"/>
      <c r="AQ244" s="83"/>
      <c r="AR244" s="83"/>
      <c r="AS244" s="83"/>
      <c r="AT244" s="153"/>
      <c r="AU244" s="82" t="str">
        <f>IF([9]回答表!X52="●",[9]回答表!G378,IF([9]回答表!AA52="●",[9]回答表!G403,""))</f>
        <v/>
      </c>
      <c r="AV244" s="83"/>
      <c r="AW244" s="83"/>
      <c r="AX244" s="83"/>
      <c r="AY244" s="83"/>
      <c r="AZ244" s="83"/>
      <c r="BA244" s="83"/>
      <c r="BB244" s="153"/>
      <c r="BC244" s="120"/>
      <c r="BD244" s="109"/>
      <c r="BE244" s="109"/>
      <c r="BF244" s="150" t="str">
        <f>IF([9]回答表!X52="●",[9]回答表!X377,IF([9]回答表!AA52="●",[9]回答表!X402,""))</f>
        <v/>
      </c>
      <c r="BG244" s="151"/>
      <c r="BH244" s="151"/>
      <c r="BI244" s="151"/>
      <c r="BJ244" s="150" t="str">
        <f>IF([9]回答表!X52="●",[9]回答表!X378,IF([9]回答表!AA52="●",[9]回答表!X403,""))</f>
        <v/>
      </c>
      <c r="BK244" s="151"/>
      <c r="BL244" s="151"/>
      <c r="BM244" s="152"/>
      <c r="BN244" s="150" t="str">
        <f>IF([9]回答表!X52="●",[9]回答表!X379,IF([9]回答表!AA52="●",[9]回答表!X404,""))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IF([9]回答表!AA52="●","●","")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IF([9]回答表!X52="●",[9]回答表!E386,IF([9]回答表!AA52="●",[9]回答表!E407,""))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IF([9]回答表!X52="●",[9]回答表!B388,IF([9]回答表!AA52="●",[9]回答表!B409,""))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IF([9]回答表!AD52="●","●","")</f>
        <v/>
      </c>
      <c r="O260" s="131"/>
      <c r="P260" s="131"/>
      <c r="Q260" s="132"/>
      <c r="R260" s="119"/>
      <c r="S260" s="119"/>
      <c r="T260" s="119"/>
      <c r="U260" s="133" t="str">
        <f>IF([9]回答表!AD52="●",[9]回答表!B417,"")</f>
        <v/>
      </c>
      <c r="V260" s="134"/>
      <c r="W260" s="134"/>
      <c r="X260" s="134"/>
      <c r="Y260" s="134"/>
      <c r="Z260" s="134"/>
      <c r="AA260" s="134"/>
      <c r="AB260" s="134"/>
      <c r="AC260" s="134"/>
      <c r="AD260" s="134"/>
      <c r="AE260" s="134"/>
      <c r="AF260" s="134"/>
      <c r="AG260" s="134"/>
      <c r="AH260" s="134"/>
      <c r="AI260" s="134"/>
      <c r="AJ260" s="135"/>
      <c r="AK260" s="249"/>
      <c r="AL260" s="249"/>
      <c r="AM260" s="133" t="str">
        <f>IF([9]回答表!AD52="●",[9]回答表!B423,"")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IF([9]回答表!X53="●","●","")</f>
        <v/>
      </c>
      <c r="O272" s="131"/>
      <c r="P272" s="131"/>
      <c r="Q272" s="132"/>
      <c r="R272" s="119"/>
      <c r="S272" s="119"/>
      <c r="T272" s="119"/>
      <c r="U272" s="133" t="str">
        <f>IF([9]回答表!X53="●",[9]回答表!B434,IF([9]回答表!AA53="●",[9]回答表!B465,""))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IF([9]回答表!X53="●",[9]回答表!B440,"")</f>
        <v/>
      </c>
      <c r="AO272" s="262"/>
      <c r="AP272" s="262"/>
      <c r="AQ272" s="262"/>
      <c r="AR272" s="262"/>
      <c r="AS272" s="262"/>
      <c r="AT272" s="262"/>
      <c r="AU272" s="262"/>
      <c r="AV272" s="262"/>
      <c r="AW272" s="262"/>
      <c r="AX272" s="262"/>
      <c r="AY272" s="262"/>
      <c r="AZ272" s="262"/>
      <c r="BA272" s="262"/>
      <c r="BB272" s="263"/>
      <c r="BC272" s="120"/>
      <c r="BD272" s="109"/>
      <c r="BE272" s="109"/>
      <c r="BF272" s="138" t="str">
        <f>IF([9]回答表!X53="●",[9]回答表!B446,IF([9]回答表!AA53="●",[9]回答表!B471,""))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IF([9]回答表!X53="●",[9]回答表!E446,IF([9]回答表!AA53="●",[9]回答表!E471,""))</f>
        <v/>
      </c>
      <c r="BG275" s="151"/>
      <c r="BH275" s="151"/>
      <c r="BI275" s="151"/>
      <c r="BJ275" s="150" t="str">
        <f>IF([9]回答表!X53="●",[9]回答表!E447,IF([9]回答表!AA53="●",[9]回答表!E472,""))</f>
        <v/>
      </c>
      <c r="BK275" s="151"/>
      <c r="BL275" s="151"/>
      <c r="BM275" s="152"/>
      <c r="BN275" s="150" t="str">
        <f>IF([9]回答表!X53="●",[9]回答表!E448,IF([9]回答表!AA53="●",[9]回答表!E473,""))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IF([9]回答表!AA53="●","●","")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IF([9]回答表!X53="●",[9]回答表!E455,IF([9]回答表!AA53="●",[9]回答表!E476,""))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IF([9]回答表!X53="●",[9]回答表!B457,IF([9]回答表!AA53="●",[9]回答表!B478,""))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IF([9]回答表!AD53="●","●","")</f>
        <v/>
      </c>
      <c r="O291" s="131"/>
      <c r="P291" s="131"/>
      <c r="Q291" s="132"/>
      <c r="R291" s="119"/>
      <c r="S291" s="119"/>
      <c r="T291" s="119"/>
      <c r="U291" s="133" t="str">
        <f>IF([9]回答表!AD53="●",[9]回答表!B486,"")</f>
        <v/>
      </c>
      <c r="V291" s="134"/>
      <c r="W291" s="134"/>
      <c r="X291" s="134"/>
      <c r="Y291" s="134"/>
      <c r="Z291" s="134"/>
      <c r="AA291" s="134"/>
      <c r="AB291" s="134"/>
      <c r="AC291" s="134"/>
      <c r="AD291" s="134"/>
      <c r="AE291" s="134"/>
      <c r="AF291" s="134"/>
      <c r="AG291" s="134"/>
      <c r="AH291" s="134"/>
      <c r="AI291" s="134"/>
      <c r="AJ291" s="135"/>
      <c r="AK291" s="249"/>
      <c r="AL291" s="249"/>
      <c r="AM291" s="133" t="str">
        <f>IF([9]回答表!AD53="●",[9]回答表!B492,"")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IF([9]回答表!X54="●","●","")</f>
        <v/>
      </c>
      <c r="O303" s="131"/>
      <c r="P303" s="131"/>
      <c r="Q303" s="132"/>
      <c r="R303" s="119"/>
      <c r="S303" s="119"/>
      <c r="T303" s="119"/>
      <c r="U303" s="133" t="str">
        <f>IF([9]回答表!X54="●",[9]回答表!B503,IF([9]回答表!AA54="●",[9]回答表!B526,""))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IF([9]回答表!X54="●",[9]回答表!BC510,IF([9]回答表!AA54="●",[9]回答表!BC533,""))</f>
        <v/>
      </c>
      <c r="AR303" s="271"/>
      <c r="AS303" s="271"/>
      <c r="AT303" s="271"/>
      <c r="AU303" s="272" t="s">
        <v>74</v>
      </c>
      <c r="AV303" s="273"/>
      <c r="AW303" s="273"/>
      <c r="AX303" s="274"/>
      <c r="AY303" s="271" t="str">
        <f>IF([9]回答表!X54="●",[9]回答表!BC515,IF([9]回答表!AA54="●",[9]回答表!BC538,""))</f>
        <v/>
      </c>
      <c r="AZ303" s="271"/>
      <c r="BA303" s="271"/>
      <c r="BB303" s="271"/>
      <c r="BC303" s="120"/>
      <c r="BD303" s="109"/>
      <c r="BE303" s="109"/>
      <c r="BF303" s="138" t="str">
        <f>IF([9]回答表!X54="●",[9]回答表!S509,IF([9]回答表!AA54="●",[9]回答表!S532,""))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IF([9]回答表!X54="●",[9]回答表!BC511,IF([9]回答表!AA54="●",[9]回答表!BC534,""))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IF([9]回答表!X54="●",[9]回答表!V509,IF([9]回答表!AA54="●",[9]回答表!V532,""))</f>
        <v/>
      </c>
      <c r="BG306" s="151"/>
      <c r="BH306" s="151"/>
      <c r="BI306" s="151"/>
      <c r="BJ306" s="150" t="str">
        <f>IF([9]回答表!X54="●",[9]回答表!V510,IF([9]回答表!AA54="●",[9]回答表!V533,""))</f>
        <v/>
      </c>
      <c r="BK306" s="151"/>
      <c r="BL306" s="151"/>
      <c r="BM306" s="152"/>
      <c r="BN306" s="150" t="str">
        <f>IF([9]回答表!X54="●",[9]回答表!V511,IF([9]回答表!AA54="●",[9]回答表!V534,""))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IF([9]回答表!X54="●",[9]回答表!BC512,IF([9]回答表!AA54="●",[9]回答表!BC535,""))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IF([9]回答表!X54="●",[9]回答表!BC516,IF([9]回答表!AA54="●",[9]回答表!BC539,""))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IF([9]回答表!AA54="●","●","")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IF([9]回答表!X54="●",[9]回答表!BC513,IF([9]回答表!AA54="●",[9]回答表!BC536,""))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IF([9]回答表!X54="●",[9]回答表!BC514,IF([9]回答表!AA54="●",[9]回答表!BC537,""))</f>
        <v/>
      </c>
      <c r="AR311" s="271"/>
      <c r="AS311" s="271"/>
      <c r="AT311" s="271"/>
      <c r="AU311" s="222" t="s">
        <v>80</v>
      </c>
      <c r="AV311" s="223"/>
      <c r="AW311" s="223"/>
      <c r="AX311" s="224"/>
      <c r="AY311" s="281" t="str">
        <f>IF([9]回答表!X54="●",[9]回答表!BC517,IF([9]回答表!AA54="●",[9]回答表!BC540,""))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IF([9]回答表!X54="●",[9]回答表!E516,IF([9]回答表!AA54="●",[9]回答表!E538,""))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IF([9]回答表!X54="●",[9]回答表!B518,IF([9]回答表!AA54="●",[9]回答表!B540,""))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IF([9]回答表!AD54="●","●","")</f>
        <v/>
      </c>
      <c r="O322" s="131"/>
      <c r="P322" s="131"/>
      <c r="Q322" s="132"/>
      <c r="R322" s="119"/>
      <c r="S322" s="119"/>
      <c r="T322" s="119"/>
      <c r="U322" s="133" t="str">
        <f>IF([9]回答表!AD54="●",[9]回答表!B548,"")</f>
        <v/>
      </c>
      <c r="V322" s="134"/>
      <c r="W322" s="134"/>
      <c r="X322" s="134"/>
      <c r="Y322" s="134"/>
      <c r="Z322" s="134"/>
      <c r="AA322" s="134"/>
      <c r="AB322" s="134"/>
      <c r="AC322" s="134"/>
      <c r="AD322" s="134"/>
      <c r="AE322" s="134"/>
      <c r="AF322" s="134"/>
      <c r="AG322" s="134"/>
      <c r="AH322" s="134"/>
      <c r="AI322" s="134"/>
      <c r="AJ322" s="135"/>
      <c r="AK322" s="189"/>
      <c r="AL322" s="189"/>
      <c r="AM322" s="133" t="str">
        <f>IF([9]回答表!AD54="●",[9]回答表!B554,"")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IF([9]回答表!X55="●","●","")</f>
        <v/>
      </c>
      <c r="O333" s="131"/>
      <c r="P333" s="131"/>
      <c r="Q333" s="132"/>
      <c r="R333" s="119"/>
      <c r="S333" s="119"/>
      <c r="T333" s="119"/>
      <c r="U333" s="133" t="str">
        <f>IF([9]回答表!X55="●",[9]回答表!B565,IF([9]回答表!AA55="●",[9]回答表!B590,""))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IF([9]回答表!X55="●",[9]回答表!B575,IF([9]回答表!AA55="●",[9]回答表!B600,""))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IF([9]回答表!X55="●",[9]回答表!G571,IF([9]回答表!AA55="●",[9]回答表!G596,""))</f>
        <v/>
      </c>
      <c r="AN335" s="83"/>
      <c r="AO335" s="83"/>
      <c r="AP335" s="83"/>
      <c r="AQ335" s="83"/>
      <c r="AR335" s="83"/>
      <c r="AS335" s="83"/>
      <c r="AT335" s="153"/>
      <c r="AU335" s="82" t="str">
        <f>IF([9]回答表!X55="●",[9]回答表!G572,IF([9]回答表!AA55="●",[9]回答表!G597,""))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IF([9]回答表!X55="●",[9]回答表!E575,IF([9]回答表!AA55="●",[9]回答表!E600,""))</f>
        <v/>
      </c>
      <c r="BG336" s="151"/>
      <c r="BH336" s="151"/>
      <c r="BI336" s="151"/>
      <c r="BJ336" s="150" t="str">
        <f>IF([9]回答表!X55="●",[9]回答表!E576,IF([9]回答表!AA55="●",[9]回答表!E601,""))</f>
        <v/>
      </c>
      <c r="BK336" s="151"/>
      <c r="BL336" s="151"/>
      <c r="BM336" s="152"/>
      <c r="BN336" s="150" t="str">
        <f>IF([9]回答表!X55="●",[9]回答表!E577,IF([9]回答表!AA55="●",[9]回答表!E602,""))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IF([9]回答表!AA55="●","●","")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IF([9]回答表!X55="●",[9]回答表!E580,IF([9]回答表!AA55="●",[9]回答表!E605,""))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IF([9]回答表!X55="●",[9]回答表!B582,IF([9]回答表!AA55="●",[9]回答表!B607,""))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IF([9]回答表!AD55="●","●","")</f>
        <v/>
      </c>
      <c r="O352" s="131"/>
      <c r="P352" s="131"/>
      <c r="Q352" s="132"/>
      <c r="R352" s="119"/>
      <c r="S352" s="119"/>
      <c r="T352" s="119"/>
      <c r="U352" s="133" t="str">
        <f>IF([9]回答表!AD55="●",[9]回答表!B615,"")</f>
        <v/>
      </c>
      <c r="V352" s="134"/>
      <c r="W352" s="134"/>
      <c r="X352" s="134"/>
      <c r="Y352" s="134"/>
      <c r="Z352" s="134"/>
      <c r="AA352" s="134"/>
      <c r="AB352" s="134"/>
      <c r="AC352" s="134"/>
      <c r="AD352" s="134"/>
      <c r="AE352" s="134"/>
      <c r="AF352" s="134"/>
      <c r="AG352" s="134"/>
      <c r="AH352" s="134"/>
      <c r="AI352" s="134"/>
      <c r="AJ352" s="135"/>
      <c r="AK352" s="136"/>
      <c r="AL352" s="136"/>
      <c r="AM352" s="133" t="str">
        <f>IF([9]回答表!AD55="●",[9]回答表!B621,"")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IF([9]回答表!R56="●",[9]回答表!B634,"")</f>
        <v>　本事業は、市外等からの企業を誘致するために団地を整備し、完成後は、原則、原価主義による販売単価で売却するため、収支均衡で歳入・支出とも限定的であり、現行の経営体制・手法で事業運営が実施できる見込みであるため。なお、令和３年度末で第１期は完成した為、令和４年度から売却予定である。
　また、今後も事業者等のニーズを踏まえ造成工事を進める予定としており、財源については原則、事業者等への売却益を充当する予定である。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hos</vt:lpstr>
      <vt:lpstr>gesui_nousyu</vt:lpstr>
      <vt:lpstr>gesui_tokuhai</vt:lpstr>
      <vt:lpstr>gesui_tokkan</vt:lpstr>
      <vt:lpstr>gesui_koukyo</vt:lpstr>
      <vt:lpstr>kansui</vt:lpstr>
      <vt:lpstr>suido</vt:lpstr>
      <vt:lpstr>kanko</vt:lpstr>
      <vt:lpstr>takuzo</vt:lpstr>
      <vt:lpstr>denki_suiryoku</vt:lpstr>
      <vt:lpstr>denki_taiyo</vt:lpstr>
      <vt:lpstr>kaigo_dei</vt:lpstr>
      <vt:lpstr>kaigo_tanki</vt:lpstr>
      <vt:lpstr>kaigo_hoken</vt:lpstr>
      <vt:lpstr>kaigo_fukusi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田村　修平</dc:creator>
  <cp:lastModifiedBy>田村　修平</cp:lastModifiedBy>
  <dcterms:created xsi:type="dcterms:W3CDTF">2022-10-12T23:33:09Z</dcterms:created>
  <dcterms:modified xsi:type="dcterms:W3CDTF">2022-10-13T01:18:24Z</dcterms:modified>
</cp:coreProperties>
</file>