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admin\02koueikigyo\02 業務\01 共通業務\03 各種調査・照会\07 経営総点検調査・抜本的改革取組状況調査\R04年度作業\01 抜本的な改革の取組状況調査\07公開用ファイル\"/>
    </mc:Choice>
  </mc:AlternateContent>
  <xr:revisionPtr revIDLastSave="0" documentId="13_ncr:1_{CAC19B62-2297-4167-8B26-DCA5AC607306}" xr6:coauthVersionLast="47" xr6:coauthVersionMax="47" xr10:uidLastSave="{00000000-0000-0000-0000-000000000000}"/>
  <bookViews>
    <workbookView xWindow="135" yWindow="600" windowWidth="28665" windowHeight="15600" firstSheet="13" activeTab="15" xr2:uid="{BC254DD8-AB24-4553-B0E1-D4723D9F9C95}"/>
  </bookViews>
  <sheets>
    <sheet name="takuzo" sheetId="1" r:id="rId1"/>
    <sheet name="suido" sheetId="2" r:id="rId2"/>
    <sheet name="kanko" sheetId="3" r:id="rId3"/>
    <sheet name="kansui" sheetId="4" r:id="rId4"/>
    <sheet name="kaigo_tanki" sheetId="5" r:id="rId5"/>
    <sheet name="kaigo_dei" sheetId="6" r:id="rId6"/>
    <sheet name="kaigo_sitei" sheetId="7" r:id="rId7"/>
    <sheet name="gesui_nousyu" sheetId="8" r:id="rId8"/>
    <sheet name="gesui_tokuhai" sheetId="9" r:id="rId9"/>
    <sheet name="gesui_tokkan" sheetId="10" r:id="rId10"/>
    <sheet name="gesui_shokibo" sheetId="11" r:id="rId11"/>
    <sheet name="gesui_koukyo" sheetId="12" r:id="rId12"/>
    <sheet name="gesui_kobestu" sheetId="13" r:id="rId13"/>
    <sheet name="gesui_gosyu" sheetId="14" r:id="rId14"/>
    <sheet name="gesui_kanhai" sheetId="15" r:id="rId15"/>
    <sheet name="gas"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5" i="16" l="1"/>
  <c r="AM352" i="16"/>
  <c r="U352" i="16"/>
  <c r="N352" i="16"/>
  <c r="AM345" i="16"/>
  <c r="U345" i="16"/>
  <c r="N339" i="16"/>
  <c r="BN336" i="16"/>
  <c r="BJ336" i="16"/>
  <c r="BF336" i="16"/>
  <c r="AU335" i="16"/>
  <c r="AM335" i="16"/>
  <c r="BF333" i="16"/>
  <c r="U333" i="16"/>
  <c r="N333" i="16"/>
  <c r="AM322" i="16"/>
  <c r="U322" i="16"/>
  <c r="N322" i="16"/>
  <c r="AM315" i="16"/>
  <c r="U315" i="16"/>
  <c r="AY311" i="16"/>
  <c r="AQ311" i="16"/>
  <c r="AQ309" i="16"/>
  <c r="N309" i="16"/>
  <c r="AY308" i="16"/>
  <c r="AQ307" i="16"/>
  <c r="BN306" i="16"/>
  <c r="BJ306" i="16"/>
  <c r="BF306" i="16"/>
  <c r="AQ305" i="16"/>
  <c r="BF303" i="16"/>
  <c r="AY303" i="16"/>
  <c r="AQ303" i="16"/>
  <c r="U303" i="16"/>
  <c r="N303" i="16"/>
  <c r="AM291" i="16"/>
  <c r="U291" i="16"/>
  <c r="N291" i="16"/>
  <c r="AM284" i="16"/>
  <c r="U284" i="16"/>
  <c r="N278" i="16"/>
  <c r="BN275" i="16"/>
  <c r="BJ275" i="16"/>
  <c r="BF275" i="16"/>
  <c r="BF272" i="16"/>
  <c r="AN272" i="16"/>
  <c r="U272" i="16"/>
  <c r="N272" i="16"/>
  <c r="AM260" i="16"/>
  <c r="U260" i="16"/>
  <c r="N260" i="16"/>
  <c r="AM253" i="16"/>
  <c r="U253" i="16"/>
  <c r="N247" i="16"/>
  <c r="BN244" i="16"/>
  <c r="BJ244" i="16"/>
  <c r="BF244" i="16"/>
  <c r="AU244" i="16"/>
  <c r="AM244" i="16"/>
  <c r="BF241" i="16"/>
  <c r="U241" i="16"/>
  <c r="N241" i="16"/>
  <c r="AM229" i="16"/>
  <c r="U229" i="16"/>
  <c r="N229" i="16"/>
  <c r="AM222" i="16"/>
  <c r="U222" i="16"/>
  <c r="N216" i="16"/>
  <c r="AU213" i="16"/>
  <c r="AQ213" i="16"/>
  <c r="AM213" i="16"/>
  <c r="AM210" i="16"/>
  <c r="U210" i="16"/>
  <c r="N210" i="16"/>
  <c r="AM198" i="16"/>
  <c r="U198" i="16"/>
  <c r="N198" i="16"/>
  <c r="AM191" i="16"/>
  <c r="U191" i="16"/>
  <c r="AK186" i="16"/>
  <c r="AC186" i="16"/>
  <c r="U186" i="16"/>
  <c r="N185" i="16"/>
  <c r="BA180" i="16"/>
  <c r="AS180" i="16"/>
  <c r="AK180" i="16"/>
  <c r="AC180" i="16"/>
  <c r="U180" i="16"/>
  <c r="AC174" i="16"/>
  <c r="U174" i="16"/>
  <c r="BX169" i="16"/>
  <c r="BN169" i="16"/>
  <c r="BJ169" i="16"/>
  <c r="BF169" i="16"/>
  <c r="U168" i="16"/>
  <c r="BF166" i="16"/>
  <c r="AM166" i="16"/>
  <c r="N166" i="16"/>
  <c r="AM154" i="16"/>
  <c r="U154" i="16"/>
  <c r="N154" i="16"/>
  <c r="AM147" i="16"/>
  <c r="U147" i="16"/>
  <c r="AY142" i="16"/>
  <c r="AS142" i="16"/>
  <c r="AM142" i="16"/>
  <c r="U142" i="16"/>
  <c r="N139" i="16"/>
  <c r="U137" i="16"/>
  <c r="BN133" i="16"/>
  <c r="BJ133" i="16"/>
  <c r="BF133" i="16"/>
  <c r="U132" i="16"/>
  <c r="N132" i="16"/>
  <c r="BF130" i="16"/>
  <c r="AM130" i="16"/>
  <c r="AM118" i="16"/>
  <c r="U118" i="16"/>
  <c r="N118" i="16"/>
  <c r="AM111" i="16"/>
  <c r="U111" i="16"/>
  <c r="AC106" i="16"/>
  <c r="U106" i="16"/>
  <c r="N105" i="16"/>
  <c r="BN102" i="16"/>
  <c r="BJ102" i="16"/>
  <c r="BF102" i="16"/>
  <c r="AC101" i="16"/>
  <c r="U101" i="16"/>
  <c r="BF99" i="16"/>
  <c r="AM99" i="16"/>
  <c r="N99" i="16"/>
  <c r="AM87" i="16"/>
  <c r="U87" i="16"/>
  <c r="N87" i="16"/>
  <c r="AM80" i="16"/>
  <c r="U80" i="16"/>
  <c r="N74" i="16"/>
  <c r="BN71" i="16"/>
  <c r="BJ71" i="16"/>
  <c r="BF71" i="16"/>
  <c r="AU71" i="16"/>
  <c r="AM71" i="16"/>
  <c r="BF68" i="16"/>
  <c r="U68" i="16"/>
  <c r="N68" i="16"/>
  <c r="AM57" i="16"/>
  <c r="U57" i="16"/>
  <c r="N57" i="16"/>
  <c r="AM50" i="16"/>
  <c r="U50" i="16"/>
  <c r="AM47" i="16"/>
  <c r="AM46" i="16"/>
  <c r="AM45" i="16"/>
  <c r="AM44" i="16"/>
  <c r="N44" i="16"/>
  <c r="AM43" i="16"/>
  <c r="AM42" i="16"/>
  <c r="BN39" i="16"/>
  <c r="BJ39" i="16"/>
  <c r="BF39" i="16"/>
  <c r="AU38" i="16"/>
  <c r="AM38" i="16"/>
  <c r="BF36" i="16"/>
  <c r="U36" i="16"/>
  <c r="N36" i="16"/>
  <c r="BB24" i="16"/>
  <c r="AT24" i="16"/>
  <c r="AM24" i="16"/>
  <c r="AF24" i="16"/>
  <c r="Y24" i="16"/>
  <c r="R24" i="16"/>
  <c r="K24" i="16"/>
  <c r="D24" i="16"/>
  <c r="BG11" i="16"/>
  <c r="AO11" i="16"/>
  <c r="U11" i="16"/>
  <c r="C11" i="16"/>
  <c r="D365" i="15" l="1"/>
  <c r="AM352" i="15"/>
  <c r="U352" i="15"/>
  <c r="N352" i="15"/>
  <c r="AM345" i="15"/>
  <c r="U345" i="15"/>
  <c r="N339" i="15"/>
  <c r="BN336" i="15"/>
  <c r="BJ336" i="15"/>
  <c r="BF336" i="15"/>
  <c r="AU335" i="15"/>
  <c r="AM335" i="15"/>
  <c r="BF333" i="15"/>
  <c r="U333" i="15"/>
  <c r="N333" i="15"/>
  <c r="AM322" i="15"/>
  <c r="U322" i="15"/>
  <c r="N322" i="15"/>
  <c r="AM315" i="15"/>
  <c r="U315" i="15"/>
  <c r="AY311" i="15"/>
  <c r="AQ311" i="15"/>
  <c r="AQ309" i="15"/>
  <c r="N309" i="15"/>
  <c r="AY308" i="15"/>
  <c r="AQ307" i="15"/>
  <c r="BN306" i="15"/>
  <c r="BJ306" i="15"/>
  <c r="BF306" i="15"/>
  <c r="AQ305" i="15"/>
  <c r="BF303" i="15"/>
  <c r="AY303" i="15"/>
  <c r="AQ303" i="15"/>
  <c r="U303" i="15"/>
  <c r="N303" i="15"/>
  <c r="AM291" i="15"/>
  <c r="U291" i="15"/>
  <c r="N291" i="15"/>
  <c r="AM284" i="15"/>
  <c r="U284" i="15"/>
  <c r="N278" i="15"/>
  <c r="BN275" i="15"/>
  <c r="BJ275" i="15"/>
  <c r="BF275" i="15"/>
  <c r="BF272" i="15"/>
  <c r="AN272" i="15"/>
  <c r="U272" i="15"/>
  <c r="N272" i="15"/>
  <c r="AM260" i="15"/>
  <c r="U260" i="15"/>
  <c r="N260" i="15"/>
  <c r="AM253" i="15"/>
  <c r="U253" i="15"/>
  <c r="N247" i="15"/>
  <c r="BN244" i="15"/>
  <c r="BJ244" i="15"/>
  <c r="BF244" i="15"/>
  <c r="AU244" i="15"/>
  <c r="AM244" i="15"/>
  <c r="BF241" i="15"/>
  <c r="U241" i="15"/>
  <c r="N241" i="15"/>
  <c r="AM229" i="15"/>
  <c r="U229" i="15"/>
  <c r="N229" i="15"/>
  <c r="AM222" i="15"/>
  <c r="U222" i="15"/>
  <c r="N216" i="15"/>
  <c r="AU213" i="15"/>
  <c r="AQ213" i="15"/>
  <c r="AM213" i="15"/>
  <c r="AM210" i="15"/>
  <c r="U210" i="15"/>
  <c r="N210" i="15"/>
  <c r="AM198" i="15"/>
  <c r="U198" i="15"/>
  <c r="N198" i="15"/>
  <c r="AM191" i="15"/>
  <c r="U191" i="15"/>
  <c r="AK186" i="15"/>
  <c r="AC186" i="15"/>
  <c r="U186" i="15"/>
  <c r="N185" i="15"/>
  <c r="BA180" i="15"/>
  <c r="AS180" i="15"/>
  <c r="AK180" i="15"/>
  <c r="AC180" i="15"/>
  <c r="U180" i="15"/>
  <c r="AC174" i="15"/>
  <c r="U174" i="15"/>
  <c r="BX169" i="15"/>
  <c r="BN169" i="15"/>
  <c r="BJ169" i="15"/>
  <c r="BF169" i="15"/>
  <c r="U168" i="15"/>
  <c r="BF166" i="15"/>
  <c r="AM166" i="15"/>
  <c r="N166" i="15"/>
  <c r="AM154" i="15"/>
  <c r="U154" i="15"/>
  <c r="N154" i="15"/>
  <c r="AM147" i="15"/>
  <c r="U147" i="15"/>
  <c r="AY142" i="15"/>
  <c r="AS142" i="15"/>
  <c r="AM142" i="15"/>
  <c r="U142" i="15"/>
  <c r="N139" i="15"/>
  <c r="U137" i="15"/>
  <c r="BN133" i="15"/>
  <c r="BJ133" i="15"/>
  <c r="BF133" i="15"/>
  <c r="U132" i="15"/>
  <c r="N132" i="15"/>
  <c r="BF130" i="15"/>
  <c r="AM130" i="15"/>
  <c r="AM118" i="15"/>
  <c r="U118" i="15"/>
  <c r="N118" i="15"/>
  <c r="AM111" i="15"/>
  <c r="U111" i="15"/>
  <c r="AC106" i="15"/>
  <c r="U106" i="15"/>
  <c r="N105" i="15"/>
  <c r="BN102" i="15"/>
  <c r="BJ102" i="15"/>
  <c r="BF102" i="15"/>
  <c r="AC101" i="15"/>
  <c r="U101" i="15"/>
  <c r="BF99" i="15"/>
  <c r="AM99" i="15"/>
  <c r="N99" i="15"/>
  <c r="AM87" i="15"/>
  <c r="U87" i="15"/>
  <c r="N87" i="15"/>
  <c r="AM80" i="15"/>
  <c r="U80" i="15"/>
  <c r="N74" i="15"/>
  <c r="BN71" i="15"/>
  <c r="BJ71" i="15"/>
  <c r="BF71" i="15"/>
  <c r="AU71" i="15"/>
  <c r="AM71" i="15"/>
  <c r="BF68" i="15"/>
  <c r="U68" i="15"/>
  <c r="N68" i="15"/>
  <c r="AM57" i="15"/>
  <c r="U57" i="15"/>
  <c r="N57" i="15"/>
  <c r="AM50" i="15"/>
  <c r="U50" i="15"/>
  <c r="AM47" i="15"/>
  <c r="AM46" i="15"/>
  <c r="AM45" i="15"/>
  <c r="AM44" i="15"/>
  <c r="N44" i="15"/>
  <c r="AM43" i="15"/>
  <c r="AM42" i="15"/>
  <c r="BN39" i="15"/>
  <c r="BJ39" i="15"/>
  <c r="BF39" i="15"/>
  <c r="AU38" i="15"/>
  <c r="AM38" i="15"/>
  <c r="BF36" i="15"/>
  <c r="U36" i="15"/>
  <c r="N36" i="15"/>
  <c r="BB24" i="15"/>
  <c r="AT24" i="15"/>
  <c r="AM24" i="15"/>
  <c r="AF24" i="15"/>
  <c r="Y24" i="15"/>
  <c r="R24" i="15"/>
  <c r="K24" i="15"/>
  <c r="D24" i="15"/>
  <c r="BG11" i="15"/>
  <c r="AO11" i="15"/>
  <c r="U11" i="15"/>
  <c r="C11" i="15"/>
  <c r="D365" i="14" l="1"/>
  <c r="AM352" i="14"/>
  <c r="U352" i="14"/>
  <c r="N352" i="14"/>
  <c r="AM345" i="14"/>
  <c r="U345" i="14"/>
  <c r="N339" i="14"/>
  <c r="BN336" i="14"/>
  <c r="BJ336" i="14"/>
  <c r="BF336" i="14"/>
  <c r="AU335" i="14"/>
  <c r="AM335" i="14"/>
  <c r="BF333" i="14"/>
  <c r="U333" i="14"/>
  <c r="N333" i="14"/>
  <c r="AM322" i="14"/>
  <c r="U322" i="14"/>
  <c r="N322" i="14"/>
  <c r="AM315" i="14"/>
  <c r="U315" i="14"/>
  <c r="AY311" i="14"/>
  <c r="AQ311" i="14"/>
  <c r="AQ309" i="14"/>
  <c r="N309" i="14"/>
  <c r="AY308" i="14"/>
  <c r="AQ307" i="14"/>
  <c r="BN306" i="14"/>
  <c r="BJ306" i="14"/>
  <c r="BF306" i="14"/>
  <c r="AQ305" i="14"/>
  <c r="BF303" i="14"/>
  <c r="AY303" i="14"/>
  <c r="AQ303" i="14"/>
  <c r="U303" i="14"/>
  <c r="N303" i="14"/>
  <c r="AM291" i="14"/>
  <c r="U291" i="14"/>
  <c r="N291" i="14"/>
  <c r="AM284" i="14"/>
  <c r="U284" i="14"/>
  <c r="N278" i="14"/>
  <c r="BN275" i="14"/>
  <c r="BJ275" i="14"/>
  <c r="BF275" i="14"/>
  <c r="BF272" i="14"/>
  <c r="AN272" i="14"/>
  <c r="U272" i="14"/>
  <c r="N272" i="14"/>
  <c r="AM260" i="14"/>
  <c r="U260" i="14"/>
  <c r="N260" i="14"/>
  <c r="AM253" i="14"/>
  <c r="U253" i="14"/>
  <c r="N247" i="14"/>
  <c r="BN244" i="14"/>
  <c r="BJ244" i="14"/>
  <c r="BF244" i="14"/>
  <c r="AU244" i="14"/>
  <c r="AM244" i="14"/>
  <c r="BF241" i="14"/>
  <c r="U241" i="14"/>
  <c r="N241" i="14"/>
  <c r="AM229" i="14"/>
  <c r="U229" i="14"/>
  <c r="N229" i="14"/>
  <c r="AM222" i="14"/>
  <c r="U222" i="14"/>
  <c r="N216" i="14"/>
  <c r="AU213" i="14"/>
  <c r="AQ213" i="14"/>
  <c r="AM213" i="14"/>
  <c r="AM210" i="14"/>
  <c r="U210" i="14"/>
  <c r="N210" i="14"/>
  <c r="AM198" i="14"/>
  <c r="U198" i="14"/>
  <c r="N198" i="14"/>
  <c r="AM191" i="14"/>
  <c r="U191" i="14"/>
  <c r="AK186" i="14"/>
  <c r="AC186" i="14"/>
  <c r="U186" i="14"/>
  <c r="N185" i="14"/>
  <c r="BA180" i="14"/>
  <c r="AS180" i="14"/>
  <c r="AK180" i="14"/>
  <c r="AC180" i="14"/>
  <c r="U180" i="14"/>
  <c r="AC174" i="14"/>
  <c r="U174" i="14"/>
  <c r="BX169" i="14"/>
  <c r="BN169" i="14"/>
  <c r="BJ169" i="14"/>
  <c r="BF169" i="14"/>
  <c r="U168" i="14"/>
  <c r="BF166" i="14"/>
  <c r="AM166" i="14"/>
  <c r="N166" i="14"/>
  <c r="AM154" i="14"/>
  <c r="U154" i="14"/>
  <c r="N154" i="14"/>
  <c r="AM147" i="14"/>
  <c r="U147" i="14"/>
  <c r="AY142" i="14"/>
  <c r="AS142" i="14"/>
  <c r="AM142" i="14"/>
  <c r="U142" i="14"/>
  <c r="N139" i="14"/>
  <c r="U137" i="14"/>
  <c r="BN133" i="14"/>
  <c r="BJ133" i="14"/>
  <c r="BF133" i="14"/>
  <c r="U132" i="14"/>
  <c r="N132" i="14"/>
  <c r="BF130" i="14"/>
  <c r="AM130" i="14"/>
  <c r="AM118" i="14"/>
  <c r="U118" i="14"/>
  <c r="N118" i="14"/>
  <c r="AM111" i="14"/>
  <c r="U111" i="14"/>
  <c r="AC106" i="14"/>
  <c r="U106" i="14"/>
  <c r="N105" i="14"/>
  <c r="BN102" i="14"/>
  <c r="BJ102" i="14"/>
  <c r="BF102" i="14"/>
  <c r="AC101" i="14"/>
  <c r="U101" i="14"/>
  <c r="BF99" i="14"/>
  <c r="AM99" i="14"/>
  <c r="N99" i="14"/>
  <c r="AM87" i="14"/>
  <c r="U87" i="14"/>
  <c r="N87" i="14"/>
  <c r="AM80" i="14"/>
  <c r="U80" i="14"/>
  <c r="N74" i="14"/>
  <c r="BN71" i="14"/>
  <c r="BJ71" i="14"/>
  <c r="BF71" i="14"/>
  <c r="AU71" i="14"/>
  <c r="AM71" i="14"/>
  <c r="BF68" i="14"/>
  <c r="U68" i="14"/>
  <c r="N68" i="14"/>
  <c r="AM57" i="14"/>
  <c r="U57" i="14"/>
  <c r="N57" i="14"/>
  <c r="AM50" i="14"/>
  <c r="U50" i="14"/>
  <c r="AM47" i="14"/>
  <c r="AM46" i="14"/>
  <c r="AM45" i="14"/>
  <c r="AM44" i="14"/>
  <c r="N44" i="14"/>
  <c r="AM43" i="14"/>
  <c r="AM42" i="14"/>
  <c r="BN39" i="14"/>
  <c r="BJ39" i="14"/>
  <c r="BF39" i="14"/>
  <c r="AU38" i="14"/>
  <c r="AM38" i="14"/>
  <c r="BF36" i="14"/>
  <c r="U36" i="14"/>
  <c r="N36" i="14"/>
  <c r="BB24" i="14"/>
  <c r="AT24" i="14"/>
  <c r="AM24" i="14"/>
  <c r="AF24" i="14"/>
  <c r="Y24" i="14"/>
  <c r="R24" i="14"/>
  <c r="K24" i="14"/>
  <c r="D24" i="14"/>
  <c r="BG11" i="14"/>
  <c r="AO11" i="14"/>
  <c r="U11" i="14"/>
  <c r="C11" i="14"/>
  <c r="D365" i="13" l="1"/>
  <c r="AM352" i="13"/>
  <c r="U352" i="13"/>
  <c r="N352" i="13"/>
  <c r="AM345" i="13"/>
  <c r="U345" i="13"/>
  <c r="N339" i="13"/>
  <c r="BN336" i="13"/>
  <c r="BJ336" i="13"/>
  <c r="BF336" i="13"/>
  <c r="AU335" i="13"/>
  <c r="AM335" i="13"/>
  <c r="BF333" i="13"/>
  <c r="U333" i="13"/>
  <c r="N333" i="13"/>
  <c r="AM322" i="13"/>
  <c r="U322" i="13"/>
  <c r="N322" i="13"/>
  <c r="AM315" i="13"/>
  <c r="U315" i="13"/>
  <c r="AY311" i="13"/>
  <c r="AQ311" i="13"/>
  <c r="AQ309" i="13"/>
  <c r="N309" i="13"/>
  <c r="AY308" i="13"/>
  <c r="AQ307" i="13"/>
  <c r="BN306" i="13"/>
  <c r="BJ306" i="13"/>
  <c r="BF306" i="13"/>
  <c r="AQ305" i="13"/>
  <c r="BF303" i="13"/>
  <c r="AY303" i="13"/>
  <c r="AQ303" i="13"/>
  <c r="U303" i="13"/>
  <c r="N303" i="13"/>
  <c r="AM291" i="13"/>
  <c r="U291" i="13"/>
  <c r="N291" i="13"/>
  <c r="AM284" i="13"/>
  <c r="U284" i="13"/>
  <c r="N278" i="13"/>
  <c r="BN275" i="13"/>
  <c r="BJ275" i="13"/>
  <c r="BF275" i="13"/>
  <c r="BF272" i="13"/>
  <c r="AN272" i="13"/>
  <c r="U272" i="13"/>
  <c r="N272" i="13"/>
  <c r="AM260" i="13"/>
  <c r="U260" i="13"/>
  <c r="N260" i="13"/>
  <c r="AM253" i="13"/>
  <c r="U253" i="13"/>
  <c r="N247" i="13"/>
  <c r="BN244" i="13"/>
  <c r="BJ244" i="13"/>
  <c r="BF244" i="13"/>
  <c r="AU244" i="13"/>
  <c r="AM244" i="13"/>
  <c r="BF241" i="13"/>
  <c r="U241" i="13"/>
  <c r="N241" i="13"/>
  <c r="AM229" i="13"/>
  <c r="U229" i="13"/>
  <c r="N229" i="13"/>
  <c r="AM222" i="13"/>
  <c r="U222" i="13"/>
  <c r="N216" i="13"/>
  <c r="AU213" i="13"/>
  <c r="AQ213" i="13"/>
  <c r="AM213" i="13"/>
  <c r="AM210" i="13"/>
  <c r="U210" i="13"/>
  <c r="N210" i="13"/>
  <c r="AM198" i="13"/>
  <c r="U198" i="13"/>
  <c r="N198" i="13"/>
  <c r="AM191" i="13"/>
  <c r="U191" i="13"/>
  <c r="AK186" i="13"/>
  <c r="AC186" i="13"/>
  <c r="U186" i="13"/>
  <c r="N185" i="13"/>
  <c r="BA180" i="13"/>
  <c r="AS180" i="13"/>
  <c r="AK180" i="13"/>
  <c r="AC180" i="13"/>
  <c r="U180" i="13"/>
  <c r="AC174" i="13"/>
  <c r="U174" i="13"/>
  <c r="BX169" i="13"/>
  <c r="BN169" i="13"/>
  <c r="BJ169" i="13"/>
  <c r="BF169" i="13"/>
  <c r="U168" i="13"/>
  <c r="BF166" i="13"/>
  <c r="AM166" i="13"/>
  <c r="N166" i="13"/>
  <c r="AM154" i="13"/>
  <c r="U154" i="13"/>
  <c r="N154" i="13"/>
  <c r="AM147" i="13"/>
  <c r="U147" i="13"/>
  <c r="AY142" i="13"/>
  <c r="AS142" i="13"/>
  <c r="AM142" i="13"/>
  <c r="U142" i="13"/>
  <c r="N139" i="13"/>
  <c r="U137" i="13"/>
  <c r="BN133" i="13"/>
  <c r="BJ133" i="13"/>
  <c r="BF133" i="13"/>
  <c r="U132" i="13"/>
  <c r="N132" i="13"/>
  <c r="BF130" i="13"/>
  <c r="AM130" i="13"/>
  <c r="AM118" i="13"/>
  <c r="U118" i="13"/>
  <c r="N118" i="13"/>
  <c r="AM111" i="13"/>
  <c r="U111" i="13"/>
  <c r="AC106" i="13"/>
  <c r="U106" i="13"/>
  <c r="N105" i="13"/>
  <c r="BN102" i="13"/>
  <c r="BJ102" i="13"/>
  <c r="BF102" i="13"/>
  <c r="AC101" i="13"/>
  <c r="U101" i="13"/>
  <c r="BF99" i="13"/>
  <c r="AM99" i="13"/>
  <c r="N99" i="13"/>
  <c r="AM87" i="13"/>
  <c r="U87" i="13"/>
  <c r="N87" i="13"/>
  <c r="AM80" i="13"/>
  <c r="U80" i="13"/>
  <c r="N74" i="13"/>
  <c r="BN71" i="13"/>
  <c r="BJ71" i="13"/>
  <c r="BF71" i="13"/>
  <c r="AU71" i="13"/>
  <c r="AM71" i="13"/>
  <c r="BF68" i="13"/>
  <c r="U68" i="13"/>
  <c r="N68" i="13"/>
  <c r="AM57" i="13"/>
  <c r="U57" i="13"/>
  <c r="N57" i="13"/>
  <c r="AM50" i="13"/>
  <c r="U50"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365" i="12" l="1"/>
  <c r="AM352" i="12"/>
  <c r="U352" i="12"/>
  <c r="N352" i="12"/>
  <c r="AM345" i="12"/>
  <c r="U345" i="12"/>
  <c r="N339" i="12"/>
  <c r="BN336" i="12"/>
  <c r="BJ336" i="12"/>
  <c r="BF336" i="12"/>
  <c r="AU335" i="12"/>
  <c r="AM335" i="12"/>
  <c r="BF333" i="12"/>
  <c r="U333" i="12"/>
  <c r="N333" i="12"/>
  <c r="AM322" i="12"/>
  <c r="U322" i="12"/>
  <c r="N322" i="12"/>
  <c r="AM315" i="12"/>
  <c r="U315" i="12"/>
  <c r="AY311" i="12"/>
  <c r="AQ311" i="12"/>
  <c r="AQ309" i="12"/>
  <c r="N309" i="12"/>
  <c r="AY308" i="12"/>
  <c r="AQ307" i="12"/>
  <c r="BN306" i="12"/>
  <c r="BJ306" i="12"/>
  <c r="BF306" i="12"/>
  <c r="AQ305" i="12"/>
  <c r="BF303" i="12"/>
  <c r="AY303" i="12"/>
  <c r="AQ303" i="12"/>
  <c r="U303" i="12"/>
  <c r="N303" i="12"/>
  <c r="AM291" i="12"/>
  <c r="U291" i="12"/>
  <c r="N291" i="12"/>
  <c r="AM284" i="12"/>
  <c r="U284" i="12"/>
  <c r="N278" i="12"/>
  <c r="BN275" i="12"/>
  <c r="BJ275" i="12"/>
  <c r="BF275" i="12"/>
  <c r="BF272" i="12"/>
  <c r="AN272" i="12"/>
  <c r="U272" i="12"/>
  <c r="N272" i="12"/>
  <c r="AM260" i="12"/>
  <c r="U260" i="12"/>
  <c r="N260" i="12"/>
  <c r="AM253" i="12"/>
  <c r="U253" i="12"/>
  <c r="N247" i="12"/>
  <c r="BN244" i="12"/>
  <c r="BJ244" i="12"/>
  <c r="BF244" i="12"/>
  <c r="AU244" i="12"/>
  <c r="AM244" i="12"/>
  <c r="BF241" i="12"/>
  <c r="U241" i="12"/>
  <c r="N241" i="12"/>
  <c r="AM229" i="12"/>
  <c r="U229" i="12"/>
  <c r="N229" i="12"/>
  <c r="AM222" i="12"/>
  <c r="U222" i="12"/>
  <c r="N216" i="12"/>
  <c r="AU213" i="12"/>
  <c r="AQ213" i="12"/>
  <c r="AM213" i="12"/>
  <c r="AM210" i="12"/>
  <c r="U210" i="12"/>
  <c r="N210" i="12"/>
  <c r="AM198" i="12"/>
  <c r="U198" i="12"/>
  <c r="N198" i="12"/>
  <c r="AM191" i="12"/>
  <c r="U191" i="12"/>
  <c r="AK186" i="12"/>
  <c r="AC186" i="12"/>
  <c r="U186" i="12"/>
  <c r="N185" i="12"/>
  <c r="BA180" i="12"/>
  <c r="AS180" i="12"/>
  <c r="AK180" i="12"/>
  <c r="AC180" i="12"/>
  <c r="U180" i="12"/>
  <c r="AC174" i="12"/>
  <c r="U174" i="12"/>
  <c r="BX169" i="12"/>
  <c r="BN169" i="12"/>
  <c r="BJ169" i="12"/>
  <c r="BF169" i="12"/>
  <c r="U168" i="12"/>
  <c r="BF166" i="12"/>
  <c r="AM166" i="12"/>
  <c r="N166" i="12"/>
  <c r="AM154" i="12"/>
  <c r="U154" i="12"/>
  <c r="N154" i="12"/>
  <c r="AM147" i="12"/>
  <c r="U147" i="12"/>
  <c r="AY142" i="12"/>
  <c r="AS142" i="12"/>
  <c r="AM142" i="12"/>
  <c r="U142" i="12"/>
  <c r="N139" i="12"/>
  <c r="U137" i="12"/>
  <c r="BN133" i="12"/>
  <c r="BJ133" i="12"/>
  <c r="BF133" i="12"/>
  <c r="U132" i="12"/>
  <c r="N132" i="12"/>
  <c r="BF130" i="12"/>
  <c r="AM130" i="12"/>
  <c r="AM118" i="12"/>
  <c r="U118" i="12"/>
  <c r="N118" i="12"/>
  <c r="AM111" i="12"/>
  <c r="U111" i="12"/>
  <c r="AC106" i="12"/>
  <c r="U106" i="12"/>
  <c r="N105" i="12"/>
  <c r="BN102" i="12"/>
  <c r="BJ102" i="12"/>
  <c r="BF102" i="12"/>
  <c r="AC101" i="12"/>
  <c r="U101" i="12"/>
  <c r="BF99" i="12"/>
  <c r="AM99" i="12"/>
  <c r="N99" i="12"/>
  <c r="AM87" i="12"/>
  <c r="U87" i="12"/>
  <c r="N87" i="12"/>
  <c r="AM80" i="12"/>
  <c r="U80" i="12"/>
  <c r="N74" i="12"/>
  <c r="BN71" i="12"/>
  <c r="BJ71" i="12"/>
  <c r="BF71" i="12"/>
  <c r="AU71" i="12"/>
  <c r="AM71" i="12"/>
  <c r="BF68" i="12"/>
  <c r="U68" i="12"/>
  <c r="N68" i="12"/>
  <c r="AM57" i="12"/>
  <c r="U57" i="12"/>
  <c r="N57" i="12"/>
  <c r="AM50" i="12"/>
  <c r="U50"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365" i="11" l="1"/>
  <c r="AM352" i="11"/>
  <c r="U352" i="11"/>
  <c r="N352" i="11"/>
  <c r="AM345" i="11"/>
  <c r="U345" i="11"/>
  <c r="N339" i="11"/>
  <c r="BN336" i="11"/>
  <c r="BJ336" i="11"/>
  <c r="BF336" i="11"/>
  <c r="AU335" i="11"/>
  <c r="AM335" i="11"/>
  <c r="BF333" i="11"/>
  <c r="U333" i="11"/>
  <c r="N333" i="11"/>
  <c r="AM322" i="11"/>
  <c r="U322" i="11"/>
  <c r="N322" i="11"/>
  <c r="AM315" i="11"/>
  <c r="U315" i="11"/>
  <c r="AY311" i="11"/>
  <c r="AQ311" i="11"/>
  <c r="AQ309" i="11"/>
  <c r="N309" i="11"/>
  <c r="AY308" i="11"/>
  <c r="AQ307" i="11"/>
  <c r="BN306" i="11"/>
  <c r="BJ306" i="11"/>
  <c r="BF306" i="11"/>
  <c r="AQ305" i="11"/>
  <c r="BF303" i="11"/>
  <c r="AY303" i="11"/>
  <c r="AQ303" i="11"/>
  <c r="U303" i="11"/>
  <c r="N303" i="11"/>
  <c r="AM291" i="11"/>
  <c r="U291" i="11"/>
  <c r="N291" i="11"/>
  <c r="AM284" i="11"/>
  <c r="U284" i="11"/>
  <c r="N278" i="11"/>
  <c r="BN275" i="11"/>
  <c r="BJ275" i="11"/>
  <c r="BF275" i="11"/>
  <c r="BF272" i="11"/>
  <c r="AN272" i="11"/>
  <c r="U272" i="11"/>
  <c r="N272" i="11"/>
  <c r="AM260" i="11"/>
  <c r="U260" i="11"/>
  <c r="N260" i="11"/>
  <c r="AM253" i="11"/>
  <c r="U253" i="11"/>
  <c r="N247" i="11"/>
  <c r="BN244" i="11"/>
  <c r="BJ244" i="11"/>
  <c r="BF244" i="11"/>
  <c r="AU244" i="11"/>
  <c r="AM244" i="11"/>
  <c r="BF241" i="11"/>
  <c r="U241" i="11"/>
  <c r="N241" i="11"/>
  <c r="AM229" i="11"/>
  <c r="U229" i="11"/>
  <c r="N229" i="11"/>
  <c r="AM222" i="11"/>
  <c r="U222" i="11"/>
  <c r="N216" i="11"/>
  <c r="AU213" i="11"/>
  <c r="AQ213" i="11"/>
  <c r="AM213" i="11"/>
  <c r="AM210" i="11"/>
  <c r="U210" i="11"/>
  <c r="N210" i="11"/>
  <c r="AM198" i="11"/>
  <c r="U198" i="11"/>
  <c r="N198" i="11"/>
  <c r="AM191" i="11"/>
  <c r="U191" i="11"/>
  <c r="AK186" i="11"/>
  <c r="AC186" i="11"/>
  <c r="U186" i="11"/>
  <c r="N185" i="11"/>
  <c r="BA180" i="11"/>
  <c r="AS180" i="11"/>
  <c r="AK180" i="11"/>
  <c r="AC180" i="11"/>
  <c r="U180" i="11"/>
  <c r="AC174" i="11"/>
  <c r="U174" i="11"/>
  <c r="BX169" i="11"/>
  <c r="BN169" i="11"/>
  <c r="BJ169" i="11"/>
  <c r="BF169" i="11"/>
  <c r="U168" i="11"/>
  <c r="BF166" i="11"/>
  <c r="AM166" i="11"/>
  <c r="N166" i="11"/>
  <c r="AM154" i="11"/>
  <c r="U154" i="11"/>
  <c r="N154" i="11"/>
  <c r="AM147" i="11"/>
  <c r="U147" i="11"/>
  <c r="AY142" i="11"/>
  <c r="AS142" i="11"/>
  <c r="AM142" i="11"/>
  <c r="U142" i="11"/>
  <c r="N139" i="11"/>
  <c r="U137" i="11"/>
  <c r="BN133" i="11"/>
  <c r="BJ133" i="11"/>
  <c r="BF133" i="11"/>
  <c r="U132" i="11"/>
  <c r="N132" i="11"/>
  <c r="BF130" i="11"/>
  <c r="AM130" i="11"/>
  <c r="AM118" i="11"/>
  <c r="U118" i="11"/>
  <c r="N118" i="11"/>
  <c r="AM111" i="11"/>
  <c r="U111" i="11"/>
  <c r="AC106" i="11"/>
  <c r="U106" i="11"/>
  <c r="N105" i="11"/>
  <c r="BN102" i="11"/>
  <c r="BJ102" i="11"/>
  <c r="BF102" i="11"/>
  <c r="AC101" i="11"/>
  <c r="U101" i="11"/>
  <c r="BF99" i="11"/>
  <c r="AM99" i="11"/>
  <c r="N99" i="11"/>
  <c r="AM87" i="11"/>
  <c r="U87" i="11"/>
  <c r="N87" i="11"/>
  <c r="AM80" i="11"/>
  <c r="U80" i="11"/>
  <c r="N74" i="11"/>
  <c r="BN71" i="11"/>
  <c r="BJ71" i="11"/>
  <c r="BF71" i="11"/>
  <c r="AU71" i="11"/>
  <c r="AM71" i="11"/>
  <c r="BF68" i="11"/>
  <c r="U68" i="11"/>
  <c r="N68" i="11"/>
  <c r="AM57" i="11"/>
  <c r="U57" i="11"/>
  <c r="N57" i="11"/>
  <c r="AM50" i="11"/>
  <c r="U50"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365" i="10" l="1"/>
  <c r="AM352" i="10"/>
  <c r="U352" i="10"/>
  <c r="N352" i="10"/>
  <c r="AM345" i="10"/>
  <c r="U345" i="10"/>
  <c r="N339" i="10"/>
  <c r="BN336" i="10"/>
  <c r="BJ336" i="10"/>
  <c r="BF336" i="10"/>
  <c r="AU335" i="10"/>
  <c r="AM335" i="10"/>
  <c r="BF333" i="10"/>
  <c r="U333" i="10"/>
  <c r="N333" i="10"/>
  <c r="AM322" i="10"/>
  <c r="U322" i="10"/>
  <c r="N322" i="10"/>
  <c r="AM315" i="10"/>
  <c r="U315" i="10"/>
  <c r="AY311" i="10"/>
  <c r="AQ311" i="10"/>
  <c r="AQ309" i="10"/>
  <c r="N309" i="10"/>
  <c r="AY308" i="10"/>
  <c r="AQ307" i="10"/>
  <c r="BN306" i="10"/>
  <c r="BJ306" i="10"/>
  <c r="BF306" i="10"/>
  <c r="AQ305" i="10"/>
  <c r="BF303" i="10"/>
  <c r="AY303" i="10"/>
  <c r="AQ303" i="10"/>
  <c r="U303" i="10"/>
  <c r="N303" i="10"/>
  <c r="AM291" i="10"/>
  <c r="U291" i="10"/>
  <c r="N291" i="10"/>
  <c r="AM284" i="10"/>
  <c r="U284" i="10"/>
  <c r="N278" i="10"/>
  <c r="BN275" i="10"/>
  <c r="BJ275" i="10"/>
  <c r="BF275" i="10"/>
  <c r="BF272" i="10"/>
  <c r="AN272" i="10"/>
  <c r="U272" i="10"/>
  <c r="N272" i="10"/>
  <c r="AM260" i="10"/>
  <c r="U260" i="10"/>
  <c r="N260" i="10"/>
  <c r="AM253" i="10"/>
  <c r="U253" i="10"/>
  <c r="N247" i="10"/>
  <c r="BN244" i="10"/>
  <c r="BJ244" i="10"/>
  <c r="BF244" i="10"/>
  <c r="AU244" i="10"/>
  <c r="AM244" i="10"/>
  <c r="BF241" i="10"/>
  <c r="U241" i="10"/>
  <c r="N241" i="10"/>
  <c r="AM229" i="10"/>
  <c r="U229" i="10"/>
  <c r="N229" i="10"/>
  <c r="AM222" i="10"/>
  <c r="U222" i="10"/>
  <c r="N216" i="10"/>
  <c r="AU213" i="10"/>
  <c r="AQ213" i="10"/>
  <c r="AM213" i="10"/>
  <c r="AM210" i="10"/>
  <c r="U210" i="10"/>
  <c r="N210" i="10"/>
  <c r="AM198" i="10"/>
  <c r="U198" i="10"/>
  <c r="N198" i="10"/>
  <c r="AM191" i="10"/>
  <c r="U191" i="10"/>
  <c r="AK186" i="10"/>
  <c r="AC186" i="10"/>
  <c r="U186" i="10"/>
  <c r="N185" i="10"/>
  <c r="BA180" i="10"/>
  <c r="AS180" i="10"/>
  <c r="AK180" i="10"/>
  <c r="AC180" i="10"/>
  <c r="U180" i="10"/>
  <c r="AC174" i="10"/>
  <c r="U174" i="10"/>
  <c r="BX169" i="10"/>
  <c r="BN169" i="10"/>
  <c r="BJ169" i="10"/>
  <c r="BF169" i="10"/>
  <c r="U168" i="10"/>
  <c r="BF166" i="10"/>
  <c r="AM166" i="10"/>
  <c r="N166" i="10"/>
  <c r="AM154" i="10"/>
  <c r="U154" i="10"/>
  <c r="N154" i="10"/>
  <c r="AM147" i="10"/>
  <c r="U147" i="10"/>
  <c r="AY142" i="10"/>
  <c r="AS142" i="10"/>
  <c r="AM142" i="10"/>
  <c r="U142" i="10"/>
  <c r="N139" i="10"/>
  <c r="U137" i="10"/>
  <c r="BN133" i="10"/>
  <c r="BJ133" i="10"/>
  <c r="BF133" i="10"/>
  <c r="U132" i="10"/>
  <c r="N132" i="10"/>
  <c r="BF130" i="10"/>
  <c r="AM130" i="10"/>
  <c r="AM118" i="10"/>
  <c r="U118" i="10"/>
  <c r="N118" i="10"/>
  <c r="AM111" i="10"/>
  <c r="U111" i="10"/>
  <c r="AC106" i="10"/>
  <c r="U106" i="10"/>
  <c r="N105" i="10"/>
  <c r="BN102" i="10"/>
  <c r="BJ102" i="10"/>
  <c r="BF102" i="10"/>
  <c r="AC101" i="10"/>
  <c r="U101" i="10"/>
  <c r="BF99" i="10"/>
  <c r="AM99" i="10"/>
  <c r="N99" i="10"/>
  <c r="AM87" i="10"/>
  <c r="U87" i="10"/>
  <c r="N87" i="10"/>
  <c r="AM80" i="10"/>
  <c r="U80" i="10"/>
  <c r="N74" i="10"/>
  <c r="BN71" i="10"/>
  <c r="BJ71" i="10"/>
  <c r="BF71" i="10"/>
  <c r="AU71" i="10"/>
  <c r="AM71" i="10"/>
  <c r="BF68" i="10"/>
  <c r="U68" i="10"/>
  <c r="N68" i="10"/>
  <c r="AM57" i="10"/>
  <c r="U57" i="10"/>
  <c r="N57" i="10"/>
  <c r="AM50" i="10"/>
  <c r="U50"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365" i="9" l="1"/>
  <c r="AM352" i="9"/>
  <c r="U352" i="9"/>
  <c r="N352" i="9"/>
  <c r="AM345" i="9"/>
  <c r="U345" i="9"/>
  <c r="N339" i="9"/>
  <c r="BN336" i="9"/>
  <c r="BJ336" i="9"/>
  <c r="BF336" i="9"/>
  <c r="AU335" i="9"/>
  <c r="AM335" i="9"/>
  <c r="BF333" i="9"/>
  <c r="U333" i="9"/>
  <c r="N333" i="9"/>
  <c r="AM322" i="9"/>
  <c r="U322" i="9"/>
  <c r="N322" i="9"/>
  <c r="AM315" i="9"/>
  <c r="U315" i="9"/>
  <c r="AY311" i="9"/>
  <c r="AQ311" i="9"/>
  <c r="AQ309" i="9"/>
  <c r="N309" i="9"/>
  <c r="AY308" i="9"/>
  <c r="AQ307" i="9"/>
  <c r="BN306" i="9"/>
  <c r="BJ306" i="9"/>
  <c r="BF306" i="9"/>
  <c r="AQ305" i="9"/>
  <c r="BF303" i="9"/>
  <c r="AY303" i="9"/>
  <c r="AQ303" i="9"/>
  <c r="U303" i="9"/>
  <c r="N303" i="9"/>
  <c r="AM291" i="9"/>
  <c r="U291" i="9"/>
  <c r="N291" i="9"/>
  <c r="AM284" i="9"/>
  <c r="U284" i="9"/>
  <c r="N278" i="9"/>
  <c r="BN275" i="9"/>
  <c r="BJ275" i="9"/>
  <c r="BF275" i="9"/>
  <c r="BF272" i="9"/>
  <c r="AN272" i="9"/>
  <c r="U272" i="9"/>
  <c r="N272" i="9"/>
  <c r="AM260" i="9"/>
  <c r="U260" i="9"/>
  <c r="N260" i="9"/>
  <c r="AM253" i="9"/>
  <c r="U253" i="9"/>
  <c r="N247" i="9"/>
  <c r="BN244" i="9"/>
  <c r="BJ244" i="9"/>
  <c r="BF244" i="9"/>
  <c r="AU244" i="9"/>
  <c r="AM244" i="9"/>
  <c r="BF241" i="9"/>
  <c r="U241" i="9"/>
  <c r="N241" i="9"/>
  <c r="AM229" i="9"/>
  <c r="U229" i="9"/>
  <c r="N229" i="9"/>
  <c r="AM222" i="9"/>
  <c r="U222" i="9"/>
  <c r="N216" i="9"/>
  <c r="AU213" i="9"/>
  <c r="AQ213" i="9"/>
  <c r="AM213" i="9"/>
  <c r="AM210" i="9"/>
  <c r="U210" i="9"/>
  <c r="N210" i="9"/>
  <c r="AM198" i="9"/>
  <c r="U198" i="9"/>
  <c r="N198" i="9"/>
  <c r="AM191" i="9"/>
  <c r="U191" i="9"/>
  <c r="AK186" i="9"/>
  <c r="AC186" i="9"/>
  <c r="U186" i="9"/>
  <c r="N185" i="9"/>
  <c r="BA180" i="9"/>
  <c r="AS180" i="9"/>
  <c r="AK180" i="9"/>
  <c r="AC180" i="9"/>
  <c r="U180" i="9"/>
  <c r="AC174" i="9"/>
  <c r="U174" i="9"/>
  <c r="BX169" i="9"/>
  <c r="BN169" i="9"/>
  <c r="BJ169" i="9"/>
  <c r="BF169" i="9"/>
  <c r="U168" i="9"/>
  <c r="BF166" i="9"/>
  <c r="AM166" i="9"/>
  <c r="N166" i="9"/>
  <c r="AM154" i="9"/>
  <c r="U154" i="9"/>
  <c r="N154" i="9"/>
  <c r="AM147" i="9"/>
  <c r="U147" i="9"/>
  <c r="AY142" i="9"/>
  <c r="AS142" i="9"/>
  <c r="AM142" i="9"/>
  <c r="U142" i="9"/>
  <c r="N139" i="9"/>
  <c r="U137" i="9"/>
  <c r="BN133" i="9"/>
  <c r="BJ133" i="9"/>
  <c r="BF133" i="9"/>
  <c r="U132" i="9"/>
  <c r="N132" i="9"/>
  <c r="BF130" i="9"/>
  <c r="AM130" i="9"/>
  <c r="AM118" i="9"/>
  <c r="U118" i="9"/>
  <c r="N118" i="9"/>
  <c r="AM111" i="9"/>
  <c r="U111" i="9"/>
  <c r="AC106" i="9"/>
  <c r="U106" i="9"/>
  <c r="N105" i="9"/>
  <c r="BN102" i="9"/>
  <c r="BJ102" i="9"/>
  <c r="BF102" i="9"/>
  <c r="AC101" i="9"/>
  <c r="U101" i="9"/>
  <c r="BF99" i="9"/>
  <c r="AM99" i="9"/>
  <c r="N99" i="9"/>
  <c r="AM87" i="9"/>
  <c r="U87" i="9"/>
  <c r="N87" i="9"/>
  <c r="AM80" i="9"/>
  <c r="U80" i="9"/>
  <c r="N74" i="9"/>
  <c r="BN71" i="9"/>
  <c r="BJ71" i="9"/>
  <c r="BF71" i="9"/>
  <c r="AU71" i="9"/>
  <c r="AM71" i="9"/>
  <c r="BF68" i="9"/>
  <c r="U68" i="9"/>
  <c r="N68" i="9"/>
  <c r="AM57" i="9"/>
  <c r="U57" i="9"/>
  <c r="N57" i="9"/>
  <c r="AM50" i="9"/>
  <c r="U50"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365" i="8" l="1"/>
  <c r="AM352" i="8"/>
  <c r="U352" i="8"/>
  <c r="N352" i="8"/>
  <c r="AM345" i="8"/>
  <c r="U345" i="8"/>
  <c r="N339" i="8"/>
  <c r="BN336" i="8"/>
  <c r="BJ336" i="8"/>
  <c r="BF336" i="8"/>
  <c r="AU335" i="8"/>
  <c r="AM335" i="8"/>
  <c r="BF333" i="8"/>
  <c r="U333" i="8"/>
  <c r="N333" i="8"/>
  <c r="AM322" i="8"/>
  <c r="U322" i="8"/>
  <c r="N322" i="8"/>
  <c r="AM315" i="8"/>
  <c r="U315" i="8"/>
  <c r="AY311" i="8"/>
  <c r="AQ311" i="8"/>
  <c r="AQ309" i="8"/>
  <c r="N309" i="8"/>
  <c r="AY308" i="8"/>
  <c r="AQ307" i="8"/>
  <c r="BN306" i="8"/>
  <c r="BJ306" i="8"/>
  <c r="BF306" i="8"/>
  <c r="AQ305" i="8"/>
  <c r="BF303" i="8"/>
  <c r="AY303" i="8"/>
  <c r="AQ303" i="8"/>
  <c r="U303" i="8"/>
  <c r="N303" i="8"/>
  <c r="AM291" i="8"/>
  <c r="U291" i="8"/>
  <c r="N291" i="8"/>
  <c r="AM284" i="8"/>
  <c r="U284" i="8"/>
  <c r="N278" i="8"/>
  <c r="BN275" i="8"/>
  <c r="BJ275" i="8"/>
  <c r="BF275" i="8"/>
  <c r="BF272" i="8"/>
  <c r="AN272" i="8"/>
  <c r="U272" i="8"/>
  <c r="N272" i="8"/>
  <c r="AM260" i="8"/>
  <c r="U260" i="8"/>
  <c r="N260" i="8"/>
  <c r="AM253" i="8"/>
  <c r="U253" i="8"/>
  <c r="N247" i="8"/>
  <c r="BN244" i="8"/>
  <c r="BJ244" i="8"/>
  <c r="BF244" i="8"/>
  <c r="AU244" i="8"/>
  <c r="AM244" i="8"/>
  <c r="BF241" i="8"/>
  <c r="U241" i="8"/>
  <c r="N241" i="8"/>
  <c r="AM229" i="8"/>
  <c r="U229" i="8"/>
  <c r="N229" i="8"/>
  <c r="AM222" i="8"/>
  <c r="U222" i="8"/>
  <c r="N216" i="8"/>
  <c r="AU213" i="8"/>
  <c r="AQ213" i="8"/>
  <c r="AM213" i="8"/>
  <c r="AM210" i="8"/>
  <c r="U210" i="8"/>
  <c r="N210" i="8"/>
  <c r="AM198" i="8"/>
  <c r="U198" i="8"/>
  <c r="N198" i="8"/>
  <c r="AM191" i="8"/>
  <c r="U191" i="8"/>
  <c r="AK186" i="8"/>
  <c r="AC186" i="8"/>
  <c r="U186" i="8"/>
  <c r="N185" i="8"/>
  <c r="BA180" i="8"/>
  <c r="AS180" i="8"/>
  <c r="AK180" i="8"/>
  <c r="AC180" i="8"/>
  <c r="U180" i="8"/>
  <c r="AC174" i="8"/>
  <c r="U174" i="8"/>
  <c r="BX169" i="8"/>
  <c r="BN169" i="8"/>
  <c r="BJ169" i="8"/>
  <c r="BF169" i="8"/>
  <c r="U168" i="8"/>
  <c r="BF166" i="8"/>
  <c r="AM166" i="8"/>
  <c r="N166" i="8"/>
  <c r="AM154" i="8"/>
  <c r="U154" i="8"/>
  <c r="N154" i="8"/>
  <c r="AM147" i="8"/>
  <c r="U147" i="8"/>
  <c r="AY142" i="8"/>
  <c r="AS142" i="8"/>
  <c r="AM142" i="8"/>
  <c r="U142" i="8"/>
  <c r="N139" i="8"/>
  <c r="U137" i="8"/>
  <c r="BN133" i="8"/>
  <c r="BJ133" i="8"/>
  <c r="BF133" i="8"/>
  <c r="U132" i="8"/>
  <c r="N132" i="8"/>
  <c r="BF130" i="8"/>
  <c r="AM130" i="8"/>
  <c r="AM118" i="8"/>
  <c r="U118" i="8"/>
  <c r="N118" i="8"/>
  <c r="AM111" i="8"/>
  <c r="U111" i="8"/>
  <c r="AC106" i="8"/>
  <c r="U106" i="8"/>
  <c r="N105" i="8"/>
  <c r="BN102" i="8"/>
  <c r="BJ102" i="8"/>
  <c r="BF102" i="8"/>
  <c r="AC101" i="8"/>
  <c r="U101" i="8"/>
  <c r="BF99" i="8"/>
  <c r="AM99" i="8"/>
  <c r="N99" i="8"/>
  <c r="AM87" i="8"/>
  <c r="U87" i="8"/>
  <c r="N87" i="8"/>
  <c r="AM80" i="8"/>
  <c r="U80" i="8"/>
  <c r="N74" i="8"/>
  <c r="BN71" i="8"/>
  <c r="BJ71" i="8"/>
  <c r="BF71" i="8"/>
  <c r="AU71" i="8"/>
  <c r="AM71" i="8"/>
  <c r="BF68" i="8"/>
  <c r="U68" i="8"/>
  <c r="N68" i="8"/>
  <c r="AM57" i="8"/>
  <c r="U57" i="8"/>
  <c r="N57" i="8"/>
  <c r="AM50" i="8"/>
  <c r="U50"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365" i="7" l="1"/>
  <c r="AM352" i="7"/>
  <c r="U352" i="7"/>
  <c r="N352" i="7"/>
  <c r="AM345" i="7"/>
  <c r="U345" i="7"/>
  <c r="N339" i="7"/>
  <c r="BN336" i="7"/>
  <c r="BJ336" i="7"/>
  <c r="BF336" i="7"/>
  <c r="AU335" i="7"/>
  <c r="AM335" i="7"/>
  <c r="BF333" i="7"/>
  <c r="U333" i="7"/>
  <c r="N333" i="7"/>
  <c r="AM322" i="7"/>
  <c r="U322" i="7"/>
  <c r="N322" i="7"/>
  <c r="AM315" i="7"/>
  <c r="U315" i="7"/>
  <c r="AY311" i="7"/>
  <c r="AQ311" i="7"/>
  <c r="AQ309" i="7"/>
  <c r="N309" i="7"/>
  <c r="AY308" i="7"/>
  <c r="AQ307" i="7"/>
  <c r="BN306" i="7"/>
  <c r="BJ306" i="7"/>
  <c r="BF306" i="7"/>
  <c r="AQ305" i="7"/>
  <c r="BF303" i="7"/>
  <c r="AY303" i="7"/>
  <c r="AQ303" i="7"/>
  <c r="U303" i="7"/>
  <c r="N303" i="7"/>
  <c r="AM291" i="7"/>
  <c r="U291" i="7"/>
  <c r="N291" i="7"/>
  <c r="AM284" i="7"/>
  <c r="U284" i="7"/>
  <c r="N278" i="7"/>
  <c r="BN275" i="7"/>
  <c r="BJ275" i="7"/>
  <c r="BF275" i="7"/>
  <c r="BF272" i="7"/>
  <c r="AN272" i="7"/>
  <c r="U272" i="7"/>
  <c r="N272" i="7"/>
  <c r="AM260" i="7"/>
  <c r="U260" i="7"/>
  <c r="N260" i="7"/>
  <c r="AM253" i="7"/>
  <c r="U253" i="7"/>
  <c r="N247" i="7"/>
  <c r="BN244" i="7"/>
  <c r="BJ244" i="7"/>
  <c r="BF244" i="7"/>
  <c r="AU244" i="7"/>
  <c r="AM244" i="7"/>
  <c r="BF241" i="7"/>
  <c r="U241" i="7"/>
  <c r="N241" i="7"/>
  <c r="AM229" i="7"/>
  <c r="U229" i="7"/>
  <c r="N229" i="7"/>
  <c r="AM222" i="7"/>
  <c r="U222" i="7"/>
  <c r="N216" i="7"/>
  <c r="AU213" i="7"/>
  <c r="AQ213" i="7"/>
  <c r="AM213" i="7"/>
  <c r="AM210" i="7"/>
  <c r="U210" i="7"/>
  <c r="N210" i="7"/>
  <c r="AM198" i="7"/>
  <c r="U198" i="7"/>
  <c r="N198" i="7"/>
  <c r="AM191" i="7"/>
  <c r="U191" i="7"/>
  <c r="AK186" i="7"/>
  <c r="AC186" i="7"/>
  <c r="U186" i="7"/>
  <c r="N185" i="7"/>
  <c r="BA180" i="7"/>
  <c r="AS180" i="7"/>
  <c r="AK180" i="7"/>
  <c r="AC180" i="7"/>
  <c r="U180" i="7"/>
  <c r="AC174" i="7"/>
  <c r="U174" i="7"/>
  <c r="BX169" i="7"/>
  <c r="BN169" i="7"/>
  <c r="BJ169" i="7"/>
  <c r="BF169" i="7"/>
  <c r="U168" i="7"/>
  <c r="BF166" i="7"/>
  <c r="AM166" i="7"/>
  <c r="N166" i="7"/>
  <c r="AM154" i="7"/>
  <c r="U154" i="7"/>
  <c r="N154" i="7"/>
  <c r="AM147" i="7"/>
  <c r="U147" i="7"/>
  <c r="AY142" i="7"/>
  <c r="AS142" i="7"/>
  <c r="AM142" i="7"/>
  <c r="U142" i="7"/>
  <c r="N139" i="7"/>
  <c r="U137" i="7"/>
  <c r="BN133" i="7"/>
  <c r="BJ133" i="7"/>
  <c r="BF133" i="7"/>
  <c r="U132" i="7"/>
  <c r="N132" i="7"/>
  <c r="BF130" i="7"/>
  <c r="AM130" i="7"/>
  <c r="AM118" i="7"/>
  <c r="U118" i="7"/>
  <c r="N118" i="7"/>
  <c r="AM111" i="7"/>
  <c r="U111" i="7"/>
  <c r="AC106" i="7"/>
  <c r="U106" i="7"/>
  <c r="N105" i="7"/>
  <c r="BN102" i="7"/>
  <c r="BJ102" i="7"/>
  <c r="BF102" i="7"/>
  <c r="AC101" i="7"/>
  <c r="U101" i="7"/>
  <c r="BF99" i="7"/>
  <c r="AM99" i="7"/>
  <c r="N99" i="7"/>
  <c r="AM87" i="7"/>
  <c r="U87" i="7"/>
  <c r="N87" i="7"/>
  <c r="AM80" i="7"/>
  <c r="U80" i="7"/>
  <c r="N74" i="7"/>
  <c r="BN71" i="7"/>
  <c r="BJ71" i="7"/>
  <c r="BF71" i="7"/>
  <c r="AU71" i="7"/>
  <c r="AM71" i="7"/>
  <c r="BF68" i="7"/>
  <c r="U68" i="7"/>
  <c r="N68" i="7"/>
  <c r="AM57" i="7"/>
  <c r="U57" i="7"/>
  <c r="N57" i="7"/>
  <c r="AM50" i="7"/>
  <c r="U50"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365" i="6" l="1"/>
  <c r="AM352" i="6"/>
  <c r="U352" i="6"/>
  <c r="N352" i="6"/>
  <c r="AM345" i="6"/>
  <c r="U345" i="6"/>
  <c r="N339" i="6"/>
  <c r="BN336" i="6"/>
  <c r="BJ336" i="6"/>
  <c r="BF336" i="6"/>
  <c r="AU335" i="6"/>
  <c r="AM335" i="6"/>
  <c r="BF333" i="6"/>
  <c r="U333" i="6"/>
  <c r="N333" i="6"/>
  <c r="AM322" i="6"/>
  <c r="U322" i="6"/>
  <c r="N322" i="6"/>
  <c r="AM315" i="6"/>
  <c r="U315" i="6"/>
  <c r="AY311" i="6"/>
  <c r="AQ311" i="6"/>
  <c r="AQ309" i="6"/>
  <c r="N309" i="6"/>
  <c r="AY308" i="6"/>
  <c r="AQ307" i="6"/>
  <c r="BN306" i="6"/>
  <c r="BJ306" i="6"/>
  <c r="BF306" i="6"/>
  <c r="AQ305" i="6"/>
  <c r="BF303" i="6"/>
  <c r="AY303" i="6"/>
  <c r="AQ303" i="6"/>
  <c r="U303" i="6"/>
  <c r="N303" i="6"/>
  <c r="AM291" i="6"/>
  <c r="U291" i="6"/>
  <c r="N291" i="6"/>
  <c r="AM284" i="6"/>
  <c r="U284" i="6"/>
  <c r="N278" i="6"/>
  <c r="BN275" i="6"/>
  <c r="BJ275" i="6"/>
  <c r="BF275" i="6"/>
  <c r="BF272" i="6"/>
  <c r="AN272" i="6"/>
  <c r="U272" i="6"/>
  <c r="N272" i="6"/>
  <c r="AM260" i="6"/>
  <c r="U260" i="6"/>
  <c r="N260" i="6"/>
  <c r="AM253" i="6"/>
  <c r="U253" i="6"/>
  <c r="N247" i="6"/>
  <c r="BN244" i="6"/>
  <c r="BJ244" i="6"/>
  <c r="BF244" i="6"/>
  <c r="AU244" i="6"/>
  <c r="AM244" i="6"/>
  <c r="BF241" i="6"/>
  <c r="U241" i="6"/>
  <c r="N241" i="6"/>
  <c r="AM229" i="6"/>
  <c r="U229" i="6"/>
  <c r="N229" i="6"/>
  <c r="AM222" i="6"/>
  <c r="U222" i="6"/>
  <c r="N216" i="6"/>
  <c r="AU213" i="6"/>
  <c r="AQ213" i="6"/>
  <c r="AM213" i="6"/>
  <c r="AM210" i="6"/>
  <c r="U210" i="6"/>
  <c r="N210" i="6"/>
  <c r="AM198" i="6"/>
  <c r="U198" i="6"/>
  <c r="N198" i="6"/>
  <c r="AM191" i="6"/>
  <c r="U191" i="6"/>
  <c r="AK186" i="6"/>
  <c r="AC186" i="6"/>
  <c r="U186" i="6"/>
  <c r="N185" i="6"/>
  <c r="BA180" i="6"/>
  <c r="AS180" i="6"/>
  <c r="AK180" i="6"/>
  <c r="AC180" i="6"/>
  <c r="U180" i="6"/>
  <c r="AC174" i="6"/>
  <c r="U174" i="6"/>
  <c r="BX169" i="6"/>
  <c r="BN169" i="6"/>
  <c r="BJ169" i="6"/>
  <c r="BF169" i="6"/>
  <c r="U168" i="6"/>
  <c r="BF166" i="6"/>
  <c r="AM166" i="6"/>
  <c r="N166" i="6"/>
  <c r="AM154" i="6"/>
  <c r="U154" i="6"/>
  <c r="N154" i="6"/>
  <c r="AM147" i="6"/>
  <c r="U147" i="6"/>
  <c r="AY142" i="6"/>
  <c r="AS142" i="6"/>
  <c r="AM142" i="6"/>
  <c r="U142" i="6"/>
  <c r="N139" i="6"/>
  <c r="U137" i="6"/>
  <c r="BN133" i="6"/>
  <c r="BJ133" i="6"/>
  <c r="BF133" i="6"/>
  <c r="U132" i="6"/>
  <c r="N132" i="6"/>
  <c r="BF130" i="6"/>
  <c r="AM130" i="6"/>
  <c r="AM118" i="6"/>
  <c r="U118" i="6"/>
  <c r="N118" i="6"/>
  <c r="AM111" i="6"/>
  <c r="U111" i="6"/>
  <c r="AC106" i="6"/>
  <c r="U106" i="6"/>
  <c r="N105" i="6"/>
  <c r="BN102" i="6"/>
  <c r="BJ102" i="6"/>
  <c r="BF102" i="6"/>
  <c r="AC101" i="6"/>
  <c r="U101" i="6"/>
  <c r="BF99" i="6"/>
  <c r="AM99" i="6"/>
  <c r="N99" i="6"/>
  <c r="AM87" i="6"/>
  <c r="U87" i="6"/>
  <c r="N87" i="6"/>
  <c r="AM80" i="6"/>
  <c r="U80" i="6"/>
  <c r="N74" i="6"/>
  <c r="BN71" i="6"/>
  <c r="BJ71" i="6"/>
  <c r="BF71" i="6"/>
  <c r="AU71" i="6"/>
  <c r="AM71" i="6"/>
  <c r="BF68" i="6"/>
  <c r="U68" i="6"/>
  <c r="N68" i="6"/>
  <c r="AM57" i="6"/>
  <c r="U57" i="6"/>
  <c r="N57" i="6"/>
  <c r="AM50" i="6"/>
  <c r="U50"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365" i="5" l="1"/>
  <c r="AM352" i="5"/>
  <c r="U352" i="5"/>
  <c r="N352" i="5"/>
  <c r="AM345" i="5"/>
  <c r="U345" i="5"/>
  <c r="N339" i="5"/>
  <c r="BN336" i="5"/>
  <c r="BJ336" i="5"/>
  <c r="BF336" i="5"/>
  <c r="AU335" i="5"/>
  <c r="AM335" i="5"/>
  <c r="BF333" i="5"/>
  <c r="U333" i="5"/>
  <c r="N333" i="5"/>
  <c r="AM322" i="5"/>
  <c r="U322" i="5"/>
  <c r="N322" i="5"/>
  <c r="AM315" i="5"/>
  <c r="U315" i="5"/>
  <c r="AY311" i="5"/>
  <c r="AQ311" i="5"/>
  <c r="AQ309" i="5"/>
  <c r="N309" i="5"/>
  <c r="AY308" i="5"/>
  <c r="AQ307" i="5"/>
  <c r="BN306" i="5"/>
  <c r="BJ306" i="5"/>
  <c r="BF306" i="5"/>
  <c r="AQ305" i="5"/>
  <c r="BF303" i="5"/>
  <c r="AY303" i="5"/>
  <c r="AQ303" i="5"/>
  <c r="U303" i="5"/>
  <c r="N303" i="5"/>
  <c r="AM291" i="5"/>
  <c r="U291" i="5"/>
  <c r="N291" i="5"/>
  <c r="AM284" i="5"/>
  <c r="U284" i="5"/>
  <c r="N278" i="5"/>
  <c r="BN275" i="5"/>
  <c r="BJ275" i="5"/>
  <c r="BF275" i="5"/>
  <c r="BF272" i="5"/>
  <c r="AN272" i="5"/>
  <c r="U272" i="5"/>
  <c r="N272" i="5"/>
  <c r="AM260" i="5"/>
  <c r="U260" i="5"/>
  <c r="N260" i="5"/>
  <c r="AM253" i="5"/>
  <c r="U253" i="5"/>
  <c r="N247" i="5"/>
  <c r="BN244" i="5"/>
  <c r="BJ244" i="5"/>
  <c r="BF244" i="5"/>
  <c r="AU244" i="5"/>
  <c r="AM244" i="5"/>
  <c r="BF241" i="5"/>
  <c r="U241" i="5"/>
  <c r="N241" i="5"/>
  <c r="AM229" i="5"/>
  <c r="U229" i="5"/>
  <c r="N229" i="5"/>
  <c r="AM222" i="5"/>
  <c r="U222" i="5"/>
  <c r="N216" i="5"/>
  <c r="AU213" i="5"/>
  <c r="AQ213" i="5"/>
  <c r="AM213" i="5"/>
  <c r="AM210" i="5"/>
  <c r="U210" i="5"/>
  <c r="N210" i="5"/>
  <c r="AM198" i="5"/>
  <c r="U198" i="5"/>
  <c r="N198" i="5"/>
  <c r="AM191" i="5"/>
  <c r="U191" i="5"/>
  <c r="AK186" i="5"/>
  <c r="AC186" i="5"/>
  <c r="U186" i="5"/>
  <c r="N185" i="5"/>
  <c r="BA180" i="5"/>
  <c r="AS180" i="5"/>
  <c r="AK180" i="5"/>
  <c r="AC180" i="5"/>
  <c r="U180" i="5"/>
  <c r="AC174" i="5"/>
  <c r="U174" i="5"/>
  <c r="BX169" i="5"/>
  <c r="BN169" i="5"/>
  <c r="BJ169" i="5"/>
  <c r="BF169" i="5"/>
  <c r="U168" i="5"/>
  <c r="BF166" i="5"/>
  <c r="AM166" i="5"/>
  <c r="N166" i="5"/>
  <c r="AM154" i="5"/>
  <c r="U154" i="5"/>
  <c r="N154" i="5"/>
  <c r="AM147" i="5"/>
  <c r="U147" i="5"/>
  <c r="AY142" i="5"/>
  <c r="AS142" i="5"/>
  <c r="AM142" i="5"/>
  <c r="U142" i="5"/>
  <c r="N139" i="5"/>
  <c r="U137" i="5"/>
  <c r="BN133" i="5"/>
  <c r="BJ133" i="5"/>
  <c r="BF133" i="5"/>
  <c r="U132" i="5"/>
  <c r="N132" i="5"/>
  <c r="BF130" i="5"/>
  <c r="AM130" i="5"/>
  <c r="AM118" i="5"/>
  <c r="U118" i="5"/>
  <c r="N118" i="5"/>
  <c r="AM111" i="5"/>
  <c r="U111" i="5"/>
  <c r="AC106" i="5"/>
  <c r="U106" i="5"/>
  <c r="N105" i="5"/>
  <c r="BN102" i="5"/>
  <c r="BJ102" i="5"/>
  <c r="BF102" i="5"/>
  <c r="AC101" i="5"/>
  <c r="U101" i="5"/>
  <c r="BF99" i="5"/>
  <c r="AM99" i="5"/>
  <c r="N99" i="5"/>
  <c r="AM87" i="5"/>
  <c r="U87" i="5"/>
  <c r="N87" i="5"/>
  <c r="AM80" i="5"/>
  <c r="U80" i="5"/>
  <c r="N74" i="5"/>
  <c r="BN71" i="5"/>
  <c r="BJ71" i="5"/>
  <c r="BF71" i="5"/>
  <c r="AU71" i="5"/>
  <c r="AM71" i="5"/>
  <c r="BF68" i="5"/>
  <c r="U68" i="5"/>
  <c r="N68" i="5"/>
  <c r="AM57" i="5"/>
  <c r="U57" i="5"/>
  <c r="N57" i="5"/>
  <c r="AM50" i="5"/>
  <c r="U50"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365" i="4" l="1"/>
  <c r="AM352" i="4"/>
  <c r="U352" i="4"/>
  <c r="N352" i="4"/>
  <c r="AM345" i="4"/>
  <c r="U345" i="4"/>
  <c r="N339" i="4"/>
  <c r="BN336" i="4"/>
  <c r="BJ336" i="4"/>
  <c r="BF336" i="4"/>
  <c r="AU335" i="4"/>
  <c r="AM335" i="4"/>
  <c r="BF333" i="4"/>
  <c r="U333" i="4"/>
  <c r="N333" i="4"/>
  <c r="AM322" i="4"/>
  <c r="U322" i="4"/>
  <c r="N322" i="4"/>
  <c r="AM315" i="4"/>
  <c r="U315" i="4"/>
  <c r="AY311" i="4"/>
  <c r="AQ311" i="4"/>
  <c r="AQ309" i="4"/>
  <c r="N309" i="4"/>
  <c r="AY308" i="4"/>
  <c r="AQ307" i="4"/>
  <c r="BN306" i="4"/>
  <c r="BJ306" i="4"/>
  <c r="BF306" i="4"/>
  <c r="AQ305" i="4"/>
  <c r="BF303" i="4"/>
  <c r="AY303" i="4"/>
  <c r="AQ303" i="4"/>
  <c r="U303" i="4"/>
  <c r="N303" i="4"/>
  <c r="AM291" i="4"/>
  <c r="U291" i="4"/>
  <c r="N291" i="4"/>
  <c r="AM284" i="4"/>
  <c r="U284" i="4"/>
  <c r="N278" i="4"/>
  <c r="BN275" i="4"/>
  <c r="BJ275" i="4"/>
  <c r="BF275" i="4"/>
  <c r="BF272" i="4"/>
  <c r="AN272" i="4"/>
  <c r="U272" i="4"/>
  <c r="N272" i="4"/>
  <c r="AM260" i="4"/>
  <c r="U260" i="4"/>
  <c r="N260" i="4"/>
  <c r="AM253" i="4"/>
  <c r="U253" i="4"/>
  <c r="N247" i="4"/>
  <c r="BN244" i="4"/>
  <c r="BJ244" i="4"/>
  <c r="BF244" i="4"/>
  <c r="AU244" i="4"/>
  <c r="AM244" i="4"/>
  <c r="BF241" i="4"/>
  <c r="U241" i="4"/>
  <c r="N241" i="4"/>
  <c r="AM229" i="4"/>
  <c r="U229" i="4"/>
  <c r="N229" i="4"/>
  <c r="AM222" i="4"/>
  <c r="U222" i="4"/>
  <c r="N216" i="4"/>
  <c r="AU213" i="4"/>
  <c r="AQ213" i="4"/>
  <c r="AM213" i="4"/>
  <c r="AM210" i="4"/>
  <c r="U210" i="4"/>
  <c r="N210" i="4"/>
  <c r="AM198" i="4"/>
  <c r="U198" i="4"/>
  <c r="N198" i="4"/>
  <c r="AM191" i="4"/>
  <c r="U191" i="4"/>
  <c r="AK186" i="4"/>
  <c r="AC186" i="4"/>
  <c r="U186" i="4"/>
  <c r="N185" i="4"/>
  <c r="BA180" i="4"/>
  <c r="AS180" i="4"/>
  <c r="AK180" i="4"/>
  <c r="AC180" i="4"/>
  <c r="U180" i="4"/>
  <c r="AC174" i="4"/>
  <c r="U174" i="4"/>
  <c r="BX169" i="4"/>
  <c r="BN169" i="4"/>
  <c r="BJ169" i="4"/>
  <c r="BF169" i="4"/>
  <c r="U168" i="4"/>
  <c r="BF166" i="4"/>
  <c r="AM166" i="4"/>
  <c r="N166" i="4"/>
  <c r="AM154" i="4"/>
  <c r="U154" i="4"/>
  <c r="N154" i="4"/>
  <c r="AM147" i="4"/>
  <c r="U147" i="4"/>
  <c r="AY142" i="4"/>
  <c r="AS142" i="4"/>
  <c r="AM142" i="4"/>
  <c r="U142" i="4"/>
  <c r="N139" i="4"/>
  <c r="U137" i="4"/>
  <c r="BN133" i="4"/>
  <c r="BJ133" i="4"/>
  <c r="BF133" i="4"/>
  <c r="U132" i="4"/>
  <c r="N132" i="4"/>
  <c r="BF130" i="4"/>
  <c r="AM130" i="4"/>
  <c r="AM118" i="4"/>
  <c r="U118" i="4"/>
  <c r="N118" i="4"/>
  <c r="AM111" i="4"/>
  <c r="U111" i="4"/>
  <c r="AC106" i="4"/>
  <c r="U106" i="4"/>
  <c r="N105" i="4"/>
  <c r="BN102" i="4"/>
  <c r="BJ102" i="4"/>
  <c r="BF102" i="4"/>
  <c r="AC101" i="4"/>
  <c r="U101" i="4"/>
  <c r="BF99" i="4"/>
  <c r="AM99" i="4"/>
  <c r="N99" i="4"/>
  <c r="AM87" i="4"/>
  <c r="U87" i="4"/>
  <c r="N87" i="4"/>
  <c r="AM80" i="4"/>
  <c r="U80" i="4"/>
  <c r="N74" i="4"/>
  <c r="BN71" i="4"/>
  <c r="BJ71" i="4"/>
  <c r="BF71" i="4"/>
  <c r="AU71" i="4"/>
  <c r="AM71" i="4"/>
  <c r="BF68" i="4"/>
  <c r="U68" i="4"/>
  <c r="N68" i="4"/>
  <c r="AM57" i="4"/>
  <c r="U57" i="4"/>
  <c r="N57" i="4"/>
  <c r="AM50" i="4"/>
  <c r="U50"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365" i="3" l="1"/>
  <c r="AM352" i="3"/>
  <c r="U352" i="3"/>
  <c r="N352" i="3"/>
  <c r="AM345" i="3"/>
  <c r="U345" i="3"/>
  <c r="N339" i="3"/>
  <c r="BN336" i="3"/>
  <c r="BJ336" i="3"/>
  <c r="BF336" i="3"/>
  <c r="AU335" i="3"/>
  <c r="AM335" i="3"/>
  <c r="BF333" i="3"/>
  <c r="U333" i="3"/>
  <c r="N333" i="3"/>
  <c r="AM322" i="3"/>
  <c r="U322" i="3"/>
  <c r="N322" i="3"/>
  <c r="AM315" i="3"/>
  <c r="U315" i="3"/>
  <c r="AY311" i="3"/>
  <c r="AQ311" i="3"/>
  <c r="AQ309" i="3"/>
  <c r="N309" i="3"/>
  <c r="AY308" i="3"/>
  <c r="AQ307" i="3"/>
  <c r="BN306" i="3"/>
  <c r="BJ306" i="3"/>
  <c r="BF306" i="3"/>
  <c r="AQ305" i="3"/>
  <c r="BF303" i="3"/>
  <c r="AY303" i="3"/>
  <c r="AQ303" i="3"/>
  <c r="U303" i="3"/>
  <c r="N303" i="3"/>
  <c r="AM291" i="3"/>
  <c r="U291" i="3"/>
  <c r="N291" i="3"/>
  <c r="AM284" i="3"/>
  <c r="U284" i="3"/>
  <c r="N278" i="3"/>
  <c r="BN275" i="3"/>
  <c r="BJ275" i="3"/>
  <c r="BF275" i="3"/>
  <c r="BF272" i="3"/>
  <c r="AN272" i="3"/>
  <c r="U272" i="3"/>
  <c r="N272" i="3"/>
  <c r="AM260" i="3"/>
  <c r="U260" i="3"/>
  <c r="N260" i="3"/>
  <c r="AM253" i="3"/>
  <c r="U253" i="3"/>
  <c r="N247" i="3"/>
  <c r="BN244" i="3"/>
  <c r="BJ244" i="3"/>
  <c r="BF244" i="3"/>
  <c r="AU244" i="3"/>
  <c r="AM244" i="3"/>
  <c r="BF241" i="3"/>
  <c r="U241" i="3"/>
  <c r="N241" i="3"/>
  <c r="AM229" i="3"/>
  <c r="U229" i="3"/>
  <c r="N229" i="3"/>
  <c r="AM222" i="3"/>
  <c r="U222" i="3"/>
  <c r="N216" i="3"/>
  <c r="AU213" i="3"/>
  <c r="AQ213" i="3"/>
  <c r="AM213" i="3"/>
  <c r="AM210" i="3"/>
  <c r="U210" i="3"/>
  <c r="N210" i="3"/>
  <c r="AM198" i="3"/>
  <c r="U198" i="3"/>
  <c r="N198" i="3"/>
  <c r="AM191" i="3"/>
  <c r="U191" i="3"/>
  <c r="AK186" i="3"/>
  <c r="AC186" i="3"/>
  <c r="U186" i="3"/>
  <c r="N185" i="3"/>
  <c r="BA180" i="3"/>
  <c r="AS180" i="3"/>
  <c r="AK180" i="3"/>
  <c r="AC180" i="3"/>
  <c r="U180" i="3"/>
  <c r="AC174" i="3"/>
  <c r="U174" i="3"/>
  <c r="BX169" i="3"/>
  <c r="BN169" i="3"/>
  <c r="BJ169" i="3"/>
  <c r="BF169" i="3"/>
  <c r="U168" i="3"/>
  <c r="BF166" i="3"/>
  <c r="AM166" i="3"/>
  <c r="N166" i="3"/>
  <c r="AM154" i="3"/>
  <c r="U154" i="3"/>
  <c r="N154" i="3"/>
  <c r="AM147" i="3"/>
  <c r="U147" i="3"/>
  <c r="AY142" i="3"/>
  <c r="AS142" i="3"/>
  <c r="AM142" i="3"/>
  <c r="U142" i="3"/>
  <c r="N139" i="3"/>
  <c r="U137" i="3"/>
  <c r="BN133" i="3"/>
  <c r="BJ133" i="3"/>
  <c r="BF133" i="3"/>
  <c r="U132" i="3"/>
  <c r="N132" i="3"/>
  <c r="BF130" i="3"/>
  <c r="AM130" i="3"/>
  <c r="AM118" i="3"/>
  <c r="U118" i="3"/>
  <c r="N118" i="3"/>
  <c r="AM111" i="3"/>
  <c r="U111" i="3"/>
  <c r="AC106" i="3"/>
  <c r="U106" i="3"/>
  <c r="N105" i="3"/>
  <c r="BN102" i="3"/>
  <c r="BJ102" i="3"/>
  <c r="BF102" i="3"/>
  <c r="AC101" i="3"/>
  <c r="U101" i="3"/>
  <c r="BF99" i="3"/>
  <c r="AM99" i="3"/>
  <c r="N99" i="3"/>
  <c r="AM87" i="3"/>
  <c r="U87" i="3"/>
  <c r="N87" i="3"/>
  <c r="AM80" i="3"/>
  <c r="U80" i="3"/>
  <c r="N74" i="3"/>
  <c r="BN71" i="3"/>
  <c r="BJ71" i="3"/>
  <c r="BF71" i="3"/>
  <c r="AU71" i="3"/>
  <c r="AM71" i="3"/>
  <c r="BF68" i="3"/>
  <c r="U68" i="3"/>
  <c r="N68" i="3"/>
  <c r="AM57" i="3"/>
  <c r="U57" i="3"/>
  <c r="N57" i="3"/>
  <c r="AM50" i="3"/>
  <c r="U50"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365" i="2" l="1"/>
  <c r="AM352" i="2"/>
  <c r="U352" i="2"/>
  <c r="N352" i="2"/>
  <c r="AM345" i="2"/>
  <c r="U345" i="2"/>
  <c r="N339" i="2"/>
  <c r="BN336" i="2"/>
  <c r="BJ336" i="2"/>
  <c r="BF336" i="2"/>
  <c r="AU335" i="2"/>
  <c r="AM335" i="2"/>
  <c r="BF333" i="2"/>
  <c r="U333" i="2"/>
  <c r="N333" i="2"/>
  <c r="AM322" i="2"/>
  <c r="U322" i="2"/>
  <c r="N322" i="2"/>
  <c r="AM315" i="2"/>
  <c r="U315" i="2"/>
  <c r="AY311" i="2"/>
  <c r="AQ311" i="2"/>
  <c r="AQ309" i="2"/>
  <c r="N309" i="2"/>
  <c r="AY308" i="2"/>
  <c r="AQ307" i="2"/>
  <c r="BN306" i="2"/>
  <c r="BJ306" i="2"/>
  <c r="BF306" i="2"/>
  <c r="AQ305" i="2"/>
  <c r="BF303" i="2"/>
  <c r="AY303" i="2"/>
  <c r="AQ303" i="2"/>
  <c r="U303" i="2"/>
  <c r="N303" i="2"/>
  <c r="AM291" i="2"/>
  <c r="U291" i="2"/>
  <c r="N291" i="2"/>
  <c r="AM284" i="2"/>
  <c r="U284" i="2"/>
  <c r="N278" i="2"/>
  <c r="BN275" i="2"/>
  <c r="BJ275" i="2"/>
  <c r="BF275" i="2"/>
  <c r="BF272" i="2"/>
  <c r="AN272" i="2"/>
  <c r="U272" i="2"/>
  <c r="N272" i="2"/>
  <c r="AM260" i="2"/>
  <c r="U260" i="2"/>
  <c r="N260" i="2"/>
  <c r="AM253" i="2"/>
  <c r="U253" i="2"/>
  <c r="N247" i="2"/>
  <c r="BN244" i="2"/>
  <c r="BJ244" i="2"/>
  <c r="BF244" i="2"/>
  <c r="AU244" i="2"/>
  <c r="AM244" i="2"/>
  <c r="BF241" i="2"/>
  <c r="U241" i="2"/>
  <c r="N241" i="2"/>
  <c r="AM229" i="2"/>
  <c r="U229" i="2"/>
  <c r="N229" i="2"/>
  <c r="AM222" i="2"/>
  <c r="U222" i="2"/>
  <c r="N216" i="2"/>
  <c r="AU213" i="2"/>
  <c r="AQ213" i="2"/>
  <c r="AM213" i="2"/>
  <c r="AM210" i="2"/>
  <c r="U210" i="2"/>
  <c r="N210" i="2"/>
  <c r="AM198" i="2"/>
  <c r="U198" i="2"/>
  <c r="N198" i="2"/>
  <c r="AM191" i="2"/>
  <c r="U191" i="2"/>
  <c r="AK186" i="2"/>
  <c r="AC186" i="2"/>
  <c r="U186" i="2"/>
  <c r="N185" i="2"/>
  <c r="BA180" i="2"/>
  <c r="AS180" i="2"/>
  <c r="AK180" i="2"/>
  <c r="AC180" i="2"/>
  <c r="U180" i="2"/>
  <c r="AC174" i="2"/>
  <c r="U174" i="2"/>
  <c r="BX169" i="2"/>
  <c r="BN169" i="2"/>
  <c r="BJ169" i="2"/>
  <c r="BF169" i="2"/>
  <c r="U168" i="2"/>
  <c r="BF166" i="2"/>
  <c r="AM166" i="2"/>
  <c r="N166" i="2"/>
  <c r="AM154" i="2"/>
  <c r="U154" i="2"/>
  <c r="N154" i="2"/>
  <c r="AM147" i="2"/>
  <c r="U147" i="2"/>
  <c r="AY142" i="2"/>
  <c r="AS142" i="2"/>
  <c r="AM142" i="2"/>
  <c r="U142" i="2"/>
  <c r="N139" i="2"/>
  <c r="U137" i="2"/>
  <c r="BN133" i="2"/>
  <c r="BJ133" i="2"/>
  <c r="BF133" i="2"/>
  <c r="U132" i="2"/>
  <c r="N132" i="2"/>
  <c r="BF130" i="2"/>
  <c r="AM130" i="2"/>
  <c r="AM118" i="2"/>
  <c r="U118" i="2"/>
  <c r="N118" i="2"/>
  <c r="AM111" i="2"/>
  <c r="U111" i="2"/>
  <c r="AC106" i="2"/>
  <c r="U106" i="2"/>
  <c r="N105" i="2"/>
  <c r="BN102" i="2"/>
  <c r="BJ102" i="2"/>
  <c r="BF102" i="2"/>
  <c r="AC101" i="2"/>
  <c r="U101" i="2"/>
  <c r="BF99" i="2"/>
  <c r="AM99" i="2"/>
  <c r="N99" i="2"/>
  <c r="AM87" i="2"/>
  <c r="U87" i="2"/>
  <c r="N87" i="2"/>
  <c r="AM80" i="2"/>
  <c r="U80" i="2"/>
  <c r="N74" i="2"/>
  <c r="BN71" i="2"/>
  <c r="BJ71" i="2"/>
  <c r="BF71" i="2"/>
  <c r="AU71" i="2"/>
  <c r="AM71" i="2"/>
  <c r="BF68" i="2"/>
  <c r="U68" i="2"/>
  <c r="N68" i="2"/>
  <c r="AM57" i="2"/>
  <c r="U57" i="2"/>
  <c r="N57" i="2"/>
  <c r="AM50" i="2"/>
  <c r="U50"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365" i="1" l="1"/>
  <c r="AM352" i="1"/>
  <c r="U352" i="1"/>
  <c r="N352" i="1"/>
  <c r="AM345" i="1"/>
  <c r="U345" i="1"/>
  <c r="N339" i="1"/>
  <c r="BN336" i="1"/>
  <c r="BJ336" i="1"/>
  <c r="BF336" i="1"/>
  <c r="AU335" i="1"/>
  <c r="AM335" i="1"/>
  <c r="BF333" i="1"/>
  <c r="U333" i="1"/>
  <c r="N333" i="1"/>
  <c r="AM322" i="1"/>
  <c r="U322" i="1"/>
  <c r="N322" i="1"/>
  <c r="AM315" i="1"/>
  <c r="U315" i="1"/>
  <c r="AY311" i="1"/>
  <c r="AQ311" i="1"/>
  <c r="AQ309" i="1"/>
  <c r="N309" i="1"/>
  <c r="AY308" i="1"/>
  <c r="AQ307" i="1"/>
  <c r="BN306" i="1"/>
  <c r="BJ306" i="1"/>
  <c r="BF306" i="1"/>
  <c r="AQ305" i="1"/>
  <c r="BF303" i="1"/>
  <c r="AY303" i="1"/>
  <c r="AQ303" i="1"/>
  <c r="U303" i="1"/>
  <c r="N303" i="1"/>
  <c r="AM291" i="1"/>
  <c r="U291" i="1"/>
  <c r="N291" i="1"/>
  <c r="AM284" i="1"/>
  <c r="U284" i="1"/>
  <c r="N278" i="1"/>
  <c r="BN275" i="1"/>
  <c r="BJ275" i="1"/>
  <c r="BF275" i="1"/>
  <c r="BF272" i="1"/>
  <c r="AN272" i="1"/>
  <c r="U272" i="1"/>
  <c r="N272" i="1"/>
  <c r="AM260" i="1"/>
  <c r="U260" i="1"/>
  <c r="N260" i="1"/>
  <c r="AM253" i="1"/>
  <c r="U253" i="1"/>
  <c r="N247" i="1"/>
  <c r="BN244" i="1"/>
  <c r="BJ244" i="1"/>
  <c r="BF244" i="1"/>
  <c r="AU244" i="1"/>
  <c r="AM244" i="1"/>
  <c r="BF241" i="1"/>
  <c r="U241" i="1"/>
  <c r="N241" i="1"/>
  <c r="AM229" i="1"/>
  <c r="U229" i="1"/>
  <c r="N229" i="1"/>
  <c r="AM222" i="1"/>
  <c r="U222" i="1"/>
  <c r="N216" i="1"/>
  <c r="AU213" i="1"/>
  <c r="AQ213" i="1"/>
  <c r="AM213" i="1"/>
  <c r="AM210" i="1"/>
  <c r="U210" i="1"/>
  <c r="N210" i="1"/>
  <c r="AM198" i="1"/>
  <c r="U198" i="1"/>
  <c r="N198" i="1"/>
  <c r="AM191" i="1"/>
  <c r="U191" i="1"/>
  <c r="AK186" i="1"/>
  <c r="AC186" i="1"/>
  <c r="U186" i="1"/>
  <c r="N185" i="1"/>
  <c r="BA180" i="1"/>
  <c r="AS180" i="1"/>
  <c r="AK180" i="1"/>
  <c r="AC180" i="1"/>
  <c r="U180" i="1"/>
  <c r="AC174" i="1"/>
  <c r="U174" i="1"/>
  <c r="BX169" i="1"/>
  <c r="BN169" i="1"/>
  <c r="BJ169" i="1"/>
  <c r="BF169" i="1"/>
  <c r="U168" i="1"/>
  <c r="BF166" i="1"/>
  <c r="AM166" i="1"/>
  <c r="N166" i="1"/>
  <c r="AM154" i="1"/>
  <c r="U154" i="1"/>
  <c r="N154" i="1"/>
  <c r="AM147" i="1"/>
  <c r="U147" i="1"/>
  <c r="AY142" i="1"/>
  <c r="AS142" i="1"/>
  <c r="AM142" i="1"/>
  <c r="U142" i="1"/>
  <c r="N139" i="1"/>
  <c r="U137" i="1"/>
  <c r="BN133" i="1"/>
  <c r="BJ133" i="1"/>
  <c r="BF133" i="1"/>
  <c r="U132" i="1"/>
  <c r="N132" i="1"/>
  <c r="BF130" i="1"/>
  <c r="AM130" i="1"/>
  <c r="AM118" i="1"/>
  <c r="U118" i="1"/>
  <c r="N118" i="1"/>
  <c r="AM111" i="1"/>
  <c r="U111" i="1"/>
  <c r="AC106" i="1"/>
  <c r="U106" i="1"/>
  <c r="N105" i="1"/>
  <c r="BN102" i="1"/>
  <c r="BJ102" i="1"/>
  <c r="BF102" i="1"/>
  <c r="AC101" i="1"/>
  <c r="U101" i="1"/>
  <c r="BF99" i="1"/>
  <c r="AM99" i="1"/>
  <c r="N99" i="1"/>
  <c r="AM87" i="1"/>
  <c r="U87" i="1"/>
  <c r="N87" i="1"/>
  <c r="AM80" i="1"/>
  <c r="U80" i="1"/>
  <c r="N74" i="1"/>
  <c r="BN71" i="1"/>
  <c r="BJ71" i="1"/>
  <c r="BF71" i="1"/>
  <c r="AU71" i="1"/>
  <c r="AM71" i="1"/>
  <c r="BF68" i="1"/>
  <c r="U68" i="1"/>
  <c r="N68" i="1"/>
  <c r="AM57" i="1"/>
  <c r="U57" i="1"/>
  <c r="N57" i="1"/>
  <c r="AM50" i="1"/>
  <c r="U50"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<sst xmlns="http://schemas.openxmlformats.org/spreadsheetml/2006/main" count="3472" uniqueCount="86">
  <si>
    <t>団体名</t>
    <rPh sb="0" eb="3">
      <t>ダンタイメイ</t>
    </rPh>
    <phoneticPr fontId="8"/>
  </si>
  <si>
    <t>業種名</t>
    <rPh sb="0" eb="2">
      <t>ギョウシュ</t>
    </rPh>
    <rPh sb="2" eb="3">
      <t>メイ</t>
    </rPh>
    <phoneticPr fontId="8"/>
  </si>
  <si>
    <t>事業名</t>
    <rPh sb="0" eb="2">
      <t>ジギョウ</t>
    </rPh>
    <rPh sb="2" eb="3">
      <t>メイ</t>
    </rPh>
    <phoneticPr fontId="8"/>
  </si>
  <si>
    <t>施設名</t>
    <rPh sb="0" eb="2">
      <t>シセツ</t>
    </rPh>
    <rPh sb="2" eb="3">
      <t>メイ</t>
    </rPh>
    <phoneticPr fontId="8"/>
  </si>
  <si>
    <t>抜本的な改革の取組</t>
    <phoneticPr fontId="8"/>
  </si>
  <si>
    <t>事業廃止</t>
    <rPh sb="0" eb="2">
      <t>ジギョウ</t>
    </rPh>
    <rPh sb="2" eb="4">
      <t>ハイシ</t>
    </rPh>
    <phoneticPr fontId="8"/>
  </si>
  <si>
    <t>民営化・
民間譲渡</t>
    <rPh sb="0" eb="3">
      <t>ミンエイカ</t>
    </rPh>
    <rPh sb="5" eb="7">
      <t>ミンカン</t>
    </rPh>
    <rPh sb="7" eb="9">
      <t>ジョウト</t>
    </rPh>
    <phoneticPr fontId="8"/>
  </si>
  <si>
    <t>広域化等</t>
    <rPh sb="0" eb="3">
      <t>コウイキカ</t>
    </rPh>
    <rPh sb="3" eb="4">
      <t>トウ</t>
    </rPh>
    <phoneticPr fontId="8"/>
  </si>
  <si>
    <t>民間活用</t>
    <rPh sb="0" eb="2">
      <t>ミンカン</t>
    </rPh>
    <rPh sb="2" eb="4">
      <t>カツヨウ</t>
    </rPh>
    <phoneticPr fontId="8"/>
  </si>
  <si>
    <t>現行の経営
体制を継続</t>
    <rPh sb="0" eb="2">
      <t>ゲンコウ</t>
    </rPh>
    <rPh sb="3" eb="5">
      <t>ケイエイ</t>
    </rPh>
    <rPh sb="6" eb="8">
      <t>タイセイ</t>
    </rPh>
    <rPh sb="9" eb="11">
      <t>ケイゾク</t>
    </rPh>
    <phoneticPr fontId="8"/>
  </si>
  <si>
    <t>指定管理者
制度</t>
    <rPh sb="0" eb="2">
      <t>シテイ</t>
    </rPh>
    <rPh sb="2" eb="5">
      <t>カンリシャ</t>
    </rPh>
    <rPh sb="6" eb="8">
      <t>セイド</t>
    </rPh>
    <phoneticPr fontId="8"/>
  </si>
  <si>
    <t>包括的
民間委託</t>
    <rPh sb="0" eb="3">
      <t>ホウカツテキ</t>
    </rPh>
    <rPh sb="4" eb="6">
      <t>ミンカン</t>
    </rPh>
    <rPh sb="6" eb="8">
      <t>イタク</t>
    </rPh>
    <phoneticPr fontId="8"/>
  </si>
  <si>
    <t>PPP/PFI方式
の活用</t>
    <rPh sb="7" eb="9">
      <t>ホウシキ</t>
    </rPh>
    <rPh sb="11" eb="13">
      <t>カツヨウ</t>
    </rPh>
    <phoneticPr fontId="8"/>
  </si>
  <si>
    <t>地方独立行政法人への移行</t>
    <rPh sb="0" eb="2">
      <t>チホウ</t>
    </rPh>
    <rPh sb="2" eb="4">
      <t>ドクリツ</t>
    </rPh>
    <rPh sb="4" eb="6">
      <t>ギョウセイ</t>
    </rPh>
    <rPh sb="6" eb="8">
      <t>ホウジン</t>
    </rPh>
    <rPh sb="10" eb="12">
      <t>イコウ</t>
    </rPh>
    <phoneticPr fontId="8"/>
  </si>
  <si>
    <t>取組事項</t>
    <rPh sb="0" eb="2">
      <t>トリクミ</t>
    </rPh>
    <rPh sb="2" eb="4">
      <t>ジコウ</t>
    </rPh>
    <phoneticPr fontId="8"/>
  </si>
  <si>
    <t>（取組の概要）</t>
    <rPh sb="1" eb="2">
      <t>ト</t>
    </rPh>
    <rPh sb="2" eb="3">
      <t>ク</t>
    </rPh>
    <rPh sb="4" eb="6">
      <t>ガイヨウ</t>
    </rPh>
    <phoneticPr fontId="8"/>
  </si>
  <si>
    <t>（全部と一部の別）</t>
    <rPh sb="1" eb="3">
      <t>ゼンブ</t>
    </rPh>
    <rPh sb="4" eb="6">
      <t>イチブ</t>
    </rPh>
    <rPh sb="7" eb="8">
      <t>ベツ</t>
    </rPh>
    <phoneticPr fontId="8"/>
  </si>
  <si>
    <t>（実施（予定）時期）</t>
    <rPh sb="1" eb="3">
      <t>ジッシ</t>
    </rPh>
    <rPh sb="4" eb="6">
      <t>ヨテイ</t>
    </rPh>
    <rPh sb="7" eb="9">
      <t>ジキ</t>
    </rPh>
    <phoneticPr fontId="8"/>
  </si>
  <si>
    <t>実施済</t>
    <rPh sb="0" eb="2">
      <t>ジッシ</t>
    </rPh>
    <rPh sb="2" eb="3">
      <t>ズ</t>
    </rPh>
    <phoneticPr fontId="8"/>
  </si>
  <si>
    <t>全部廃止</t>
    <rPh sb="0" eb="2">
      <t>ゼンブ</t>
    </rPh>
    <rPh sb="2" eb="4">
      <t>ハイシ</t>
    </rPh>
    <phoneticPr fontId="8"/>
  </si>
  <si>
    <t>一部廃止</t>
    <rPh sb="0" eb="2">
      <t>イチブ</t>
    </rPh>
    <rPh sb="2" eb="4">
      <t>ハイシ</t>
    </rPh>
    <phoneticPr fontId="8"/>
  </si>
  <si>
    <t>①診療所化・介護施設化</t>
    <rPh sb="1" eb="4">
      <t>シンリョウジョ</t>
    </rPh>
    <rPh sb="4" eb="5">
      <t>カ</t>
    </rPh>
    <rPh sb="6" eb="8">
      <t>カイゴ</t>
    </rPh>
    <rPh sb="8" eb="10">
      <t>シセツ</t>
    </rPh>
    <rPh sb="10" eb="11">
      <t>カ</t>
    </rPh>
    <phoneticPr fontId="8"/>
  </si>
  <si>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8"/>
  </si>
  <si>
    <t>年</t>
    <rPh sb="0" eb="1">
      <t>ネン</t>
    </rPh>
    <phoneticPr fontId="8"/>
  </si>
  <si>
    <t>月</t>
    <rPh sb="0" eb="1">
      <t>ガツ</t>
    </rPh>
    <phoneticPr fontId="8"/>
  </si>
  <si>
    <t>日</t>
    <rPh sb="0" eb="1">
      <t>ニチ</t>
    </rPh>
    <phoneticPr fontId="8"/>
  </si>
  <si>
    <t>実施予定</t>
    <rPh sb="0" eb="2">
      <t>ジッシ</t>
    </rPh>
    <rPh sb="2" eb="4">
      <t>ヨテイ</t>
    </rPh>
    <phoneticPr fontId="8"/>
  </si>
  <si>
    <t>③事業目的の完了</t>
    <rPh sb="1" eb="3">
      <t>ジギョウ</t>
    </rPh>
    <rPh sb="3" eb="5">
      <t>モクテキ</t>
    </rPh>
    <rPh sb="6" eb="8">
      <t>カンリョウ</t>
    </rPh>
    <phoneticPr fontId="8"/>
  </si>
  <si>
    <t>④民営化・民間譲渡による廃止</t>
    <rPh sb="1" eb="4">
      <t>ミンエイカ</t>
    </rPh>
    <rPh sb="5" eb="7">
      <t>ミンカン</t>
    </rPh>
    <rPh sb="7" eb="9">
      <t>ジョウト</t>
    </rPh>
    <rPh sb="12" eb="14">
      <t>ハイシ</t>
    </rPh>
    <phoneticPr fontId="8"/>
  </si>
  <si>
    <t>⑤広域化による廃止</t>
    <rPh sb="1" eb="4">
      <t>コウイキカ</t>
    </rPh>
    <rPh sb="7" eb="9">
      <t>ハイシ</t>
    </rPh>
    <phoneticPr fontId="8"/>
  </si>
  <si>
    <t>⑥その他</t>
    <rPh sb="3" eb="4">
      <t>タ</t>
    </rPh>
    <phoneticPr fontId="8"/>
  </si>
  <si>
    <t>（取組の効果額）</t>
    <rPh sb="1" eb="2">
      <t>ト</t>
    </rPh>
    <rPh sb="2" eb="3">
      <t>ク</t>
    </rPh>
    <rPh sb="4" eb="6">
      <t>コウカ</t>
    </rPh>
    <rPh sb="6" eb="7">
      <t>ガク</t>
    </rPh>
    <phoneticPr fontId="8"/>
  </si>
  <si>
    <t>（取組の効果額内訳）</t>
    <rPh sb="1" eb="3">
      <t>トリクミ</t>
    </rPh>
    <rPh sb="4" eb="6">
      <t>コウカ</t>
    </rPh>
    <rPh sb="6" eb="7">
      <t>ガク</t>
    </rPh>
    <rPh sb="7" eb="9">
      <t>ウチワケ</t>
    </rPh>
    <phoneticPr fontId="8"/>
  </si>
  <si>
    <t>百万円(年)</t>
    <rPh sb="0" eb="2">
      <t>ヒャクマン</t>
    </rPh>
    <rPh sb="2" eb="3">
      <t>エン</t>
    </rPh>
    <rPh sb="4" eb="5">
      <t>ネン</t>
    </rPh>
    <phoneticPr fontId="8"/>
  </si>
  <si>
    <t>（検討状況・課題）</t>
    <rPh sb="1" eb="3">
      <t>ケントウ</t>
    </rPh>
    <rPh sb="3" eb="5">
      <t>ジョウキョウ</t>
    </rPh>
    <rPh sb="6" eb="8">
      <t>カダイ</t>
    </rPh>
    <phoneticPr fontId="8"/>
  </si>
  <si>
    <t>検討中</t>
    <rPh sb="0" eb="3">
      <t>ケントウチュウ</t>
    </rPh>
    <phoneticPr fontId="8"/>
  </si>
  <si>
    <t>民営化・民間譲渡</t>
    <rPh sb="0" eb="3">
      <t>ミンエイカ</t>
    </rPh>
    <rPh sb="4" eb="6">
      <t>ミンカン</t>
    </rPh>
    <rPh sb="6" eb="8">
      <t>ジョウト</t>
    </rPh>
    <phoneticPr fontId="8"/>
  </si>
  <si>
    <t>全部民営化・
全部民間譲渡</t>
    <rPh sb="0" eb="2">
      <t>ゼンブ</t>
    </rPh>
    <rPh sb="2" eb="5">
      <t>ミンエイカ</t>
    </rPh>
    <rPh sb="7" eb="9">
      <t>ゼンブ</t>
    </rPh>
    <rPh sb="9" eb="11">
      <t>ミンカン</t>
    </rPh>
    <rPh sb="11" eb="13">
      <t>ジョウト</t>
    </rPh>
    <phoneticPr fontId="8"/>
  </si>
  <si>
    <t>一部民営化・
一部民間譲渡</t>
    <rPh sb="0" eb="2">
      <t>イチブ</t>
    </rPh>
    <rPh sb="2" eb="5">
      <t>ミンエイカ</t>
    </rPh>
    <rPh sb="7" eb="8">
      <t>イチ</t>
    </rPh>
    <rPh sb="8" eb="9">
      <t>ブ</t>
    </rPh>
    <rPh sb="9" eb="11">
      <t>ミンカン</t>
    </rPh>
    <rPh sb="11" eb="13">
      <t>ジョウト</t>
    </rPh>
    <phoneticPr fontId="8"/>
  </si>
  <si>
    <t>（水道事業）広域化等</t>
    <rPh sb="1" eb="3">
      <t>スイドウ</t>
    </rPh>
    <rPh sb="3" eb="5">
      <t>ジギョウ</t>
    </rPh>
    <phoneticPr fontId="8"/>
  </si>
  <si>
    <t>（実施類型）</t>
    <rPh sb="1" eb="3">
      <t>ジッシ</t>
    </rPh>
    <rPh sb="3" eb="5">
      <t>ルイケイ</t>
    </rPh>
    <phoneticPr fontId="8"/>
  </si>
  <si>
    <t>経営統合</t>
    <rPh sb="0" eb="2">
      <t>ケイエイ</t>
    </rPh>
    <rPh sb="2" eb="4">
      <t>トウゴウ</t>
    </rPh>
    <phoneticPr fontId="8"/>
  </si>
  <si>
    <t>施設の
共同設置・利用</t>
    <rPh sb="0" eb="2">
      <t>シセツ</t>
    </rPh>
    <rPh sb="4" eb="6">
      <t>キョウドウ</t>
    </rPh>
    <rPh sb="6" eb="8">
      <t>セッチ</t>
    </rPh>
    <rPh sb="9" eb="11">
      <t>リヨウ</t>
    </rPh>
    <phoneticPr fontId="8"/>
  </si>
  <si>
    <t>施設管理の
共同化</t>
    <rPh sb="0" eb="2">
      <t>シセツ</t>
    </rPh>
    <rPh sb="2" eb="4">
      <t>カンリ</t>
    </rPh>
    <rPh sb="6" eb="9">
      <t>キョウドウカ</t>
    </rPh>
    <phoneticPr fontId="8"/>
  </si>
  <si>
    <t>管理の一体化</t>
    <rPh sb="0" eb="2">
      <t>カンリ</t>
    </rPh>
    <rPh sb="3" eb="6">
      <t>イッタイカ</t>
    </rPh>
    <phoneticPr fontId="8"/>
  </si>
  <si>
    <t>（簡易水道事業）広域化等</t>
    <rPh sb="1" eb="3">
      <t>カンイ</t>
    </rPh>
    <rPh sb="3" eb="5">
      <t>スイドウ</t>
    </rPh>
    <rPh sb="5" eb="7">
      <t>ジギョウ</t>
    </rPh>
    <phoneticPr fontId="8"/>
  </si>
  <si>
    <t>簡易水道事業統合(市町村内)</t>
    <rPh sb="0" eb="2">
      <t>カンイ</t>
    </rPh>
    <rPh sb="2" eb="4">
      <t>スイドウ</t>
    </rPh>
    <rPh sb="4" eb="6">
      <t>ジギョウ</t>
    </rPh>
    <rPh sb="6" eb="8">
      <t>トウゴウ</t>
    </rPh>
    <rPh sb="9" eb="12">
      <t>シチョウソン</t>
    </rPh>
    <rPh sb="12" eb="13">
      <t>ナイ</t>
    </rPh>
    <phoneticPr fontId="8"/>
  </si>
  <si>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8"/>
  </si>
  <si>
    <t>簡易水道事業統合以外</t>
    <rPh sb="0" eb="2">
      <t>カンイ</t>
    </rPh>
    <rPh sb="2" eb="4">
      <t>スイドウ</t>
    </rPh>
    <rPh sb="4" eb="6">
      <t>ジギョウ</t>
    </rPh>
    <rPh sb="6" eb="8">
      <t>トウゴウ</t>
    </rPh>
    <rPh sb="8" eb="10">
      <t>イガイ</t>
    </rPh>
    <phoneticPr fontId="8"/>
  </si>
  <si>
    <t>施設の共同
設置・利用</t>
    <rPh sb="0" eb="2">
      <t>シセツ</t>
    </rPh>
    <rPh sb="3" eb="5">
      <t>キョウドウ</t>
    </rPh>
    <rPh sb="6" eb="8">
      <t>セッチ</t>
    </rPh>
    <rPh sb="9" eb="11">
      <t>リヨウ</t>
    </rPh>
    <phoneticPr fontId="8"/>
  </si>
  <si>
    <t>施設管理の
共同化</t>
    <rPh sb="0" eb="2">
      <t>シセツ</t>
    </rPh>
    <rPh sb="2" eb="4">
      <t>カンリ</t>
    </rPh>
    <rPh sb="6" eb="8">
      <t>キョウドウ</t>
    </rPh>
    <rPh sb="8" eb="9">
      <t>カ</t>
    </rPh>
    <phoneticPr fontId="8"/>
  </si>
  <si>
    <t>管理の一体化</t>
    <rPh sb="0" eb="2">
      <t>カンリ</t>
    </rPh>
    <rPh sb="3" eb="5">
      <t>イッタイ</t>
    </rPh>
    <rPh sb="5" eb="6">
      <t>カ</t>
    </rPh>
    <phoneticPr fontId="8"/>
  </si>
  <si>
    <t>（下水道事業）広域化等</t>
    <rPh sb="1" eb="2">
      <t>シタ</t>
    </rPh>
    <rPh sb="2" eb="4">
      <t>スイドウ</t>
    </rPh>
    <rPh sb="4" eb="6">
      <t>ジギョウ</t>
    </rPh>
    <phoneticPr fontId="8"/>
  </si>
  <si>
    <t>汚水処理施設の統廃合</t>
    <rPh sb="0" eb="2">
      <t>オスイ</t>
    </rPh>
    <rPh sb="2" eb="4">
      <t>ショリ</t>
    </rPh>
    <rPh sb="4" eb="6">
      <t>シセツ</t>
    </rPh>
    <rPh sb="7" eb="10">
      <t>トウハイゴウ</t>
    </rPh>
    <phoneticPr fontId="8"/>
  </si>
  <si>
    <t>処理場廃止あり</t>
    <rPh sb="0" eb="3">
      <t>ショリジョウ</t>
    </rPh>
    <rPh sb="3" eb="5">
      <t>ハイシ</t>
    </rPh>
    <phoneticPr fontId="8"/>
  </si>
  <si>
    <t>処理場廃止なし</t>
    <rPh sb="0" eb="3">
      <t>ショリジョウ</t>
    </rPh>
    <rPh sb="3" eb="5">
      <t>ハイシ</t>
    </rPh>
    <phoneticPr fontId="8"/>
  </si>
  <si>
    <t>公共下水･流域下水の統合</t>
    <rPh sb="0" eb="2">
      <t>コウキョウ</t>
    </rPh>
    <rPh sb="2" eb="4">
      <t>ゲスイ</t>
    </rPh>
    <rPh sb="5" eb="7">
      <t>リュウイキ</t>
    </rPh>
    <rPh sb="7" eb="9">
      <t>ゲスイ</t>
    </rPh>
    <rPh sb="10" eb="12">
      <t>トウゴウ</t>
    </rPh>
    <phoneticPr fontId="8"/>
  </si>
  <si>
    <t>公共下水同士
の統合</t>
    <rPh sb="0" eb="2">
      <t>コウキョウ</t>
    </rPh>
    <rPh sb="2" eb="4">
      <t>ゲスイ</t>
    </rPh>
    <rPh sb="4" eb="6">
      <t>ドウシ</t>
    </rPh>
    <rPh sb="8" eb="10">
      <t>トウゴウ</t>
    </rPh>
    <phoneticPr fontId="8"/>
  </si>
  <si>
    <t>集落排水･公共下水との統合</t>
    <rPh sb="0" eb="2">
      <t>シュウラク</t>
    </rPh>
    <rPh sb="2" eb="4">
      <t>ハイスイ</t>
    </rPh>
    <rPh sb="5" eb="7">
      <t>コウキョウ</t>
    </rPh>
    <rPh sb="7" eb="9">
      <t>ゲスイ</t>
    </rPh>
    <rPh sb="11" eb="13">
      <t>トウゴウ</t>
    </rPh>
    <phoneticPr fontId="8"/>
  </si>
  <si>
    <t>特環下水と公共下水との結合</t>
    <rPh sb="0" eb="1">
      <t>トク</t>
    </rPh>
    <rPh sb="2" eb="4">
      <t>ゲスイ</t>
    </rPh>
    <rPh sb="5" eb="7">
      <t>コウキョウ</t>
    </rPh>
    <rPh sb="7" eb="9">
      <t>ゲスイ</t>
    </rPh>
    <rPh sb="11" eb="13">
      <t>ケツゴウ</t>
    </rPh>
    <phoneticPr fontId="8"/>
  </si>
  <si>
    <t>その他</t>
    <rPh sb="2" eb="3">
      <t>ホカ</t>
    </rPh>
    <phoneticPr fontId="8"/>
  </si>
  <si>
    <t>汚泥処理の
共同化</t>
    <rPh sb="0" eb="2">
      <t>オデイ</t>
    </rPh>
    <rPh sb="2" eb="4">
      <t>ショリ</t>
    </rPh>
    <rPh sb="6" eb="9">
      <t>キョウドウカ</t>
    </rPh>
    <phoneticPr fontId="8"/>
  </si>
  <si>
    <t>維持管理・事務
の共同化</t>
    <rPh sb="0" eb="2">
      <t>イジ</t>
    </rPh>
    <rPh sb="2" eb="4">
      <t>カンリ</t>
    </rPh>
    <rPh sb="5" eb="7">
      <t>ジム</t>
    </rPh>
    <rPh sb="9" eb="12">
      <t>キョウドウカ</t>
    </rPh>
    <phoneticPr fontId="8"/>
  </si>
  <si>
    <t>最適な汚水処理施設の選択（最適化）</t>
    <rPh sb="0" eb="2">
      <t>サイテキ</t>
    </rPh>
    <rPh sb="3" eb="5">
      <t>オスイ</t>
    </rPh>
    <rPh sb="5" eb="7">
      <t>ショリ</t>
    </rPh>
    <rPh sb="7" eb="9">
      <t>シセツ</t>
    </rPh>
    <rPh sb="10" eb="12">
      <t>センタク</t>
    </rPh>
    <rPh sb="13" eb="16">
      <t>サイテキカ</t>
    </rPh>
    <phoneticPr fontId="8"/>
  </si>
  <si>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8"/>
  </si>
  <si>
    <t>民間活用（指定管理者制度）</t>
    <rPh sb="0" eb="2">
      <t>ミンカン</t>
    </rPh>
    <rPh sb="2" eb="4">
      <t>カツヨウ</t>
    </rPh>
    <rPh sb="5" eb="7">
      <t>シテイ</t>
    </rPh>
    <rPh sb="7" eb="10">
      <t>カンリシャ</t>
    </rPh>
    <rPh sb="10" eb="12">
      <t>セイド</t>
    </rPh>
    <phoneticPr fontId="8"/>
  </si>
  <si>
    <t>（方式）</t>
    <rPh sb="1" eb="3">
      <t>ホウシキ</t>
    </rPh>
    <phoneticPr fontId="8"/>
  </si>
  <si>
    <t>代行制</t>
    <rPh sb="0" eb="3">
      <t>ダイコウセイ</t>
    </rPh>
    <phoneticPr fontId="8"/>
  </si>
  <si>
    <t>利用料金制</t>
    <rPh sb="0" eb="2">
      <t>リヨウ</t>
    </rPh>
    <rPh sb="2" eb="5">
      <t>リョウキンセイ</t>
    </rPh>
    <phoneticPr fontId="8"/>
  </si>
  <si>
    <t>民間活用（包括的民間委託）</t>
    <rPh sb="0" eb="2">
      <t>ミンカン</t>
    </rPh>
    <rPh sb="2" eb="4">
      <t>カツヨウ</t>
    </rPh>
    <rPh sb="5" eb="8">
      <t>ホウカツテキ</t>
    </rPh>
    <rPh sb="8" eb="10">
      <t>ミンカン</t>
    </rPh>
    <rPh sb="10" eb="12">
      <t>イタク</t>
    </rPh>
    <phoneticPr fontId="8"/>
  </si>
  <si>
    <t>（（実施済のみ）性能発注内容）</t>
    <rPh sb="2" eb="4">
      <t>ジッシ</t>
    </rPh>
    <rPh sb="4" eb="5">
      <t>ズ</t>
    </rPh>
    <rPh sb="8" eb="10">
      <t>セイノウ</t>
    </rPh>
    <rPh sb="10" eb="12">
      <t>ハッチュウ</t>
    </rPh>
    <rPh sb="12" eb="14">
      <t>ナイヨウ</t>
    </rPh>
    <phoneticPr fontId="8"/>
  </si>
  <si>
    <t>民間活用（ＰＰＰ/ＰＦＩ方式の活用）</t>
    <rPh sb="0" eb="2">
      <t>ミンカン</t>
    </rPh>
    <rPh sb="2" eb="4">
      <t>カツヨウ</t>
    </rPh>
    <rPh sb="12" eb="14">
      <t>ホウシキ</t>
    </rPh>
    <rPh sb="15" eb="17">
      <t>カツヨウ</t>
    </rPh>
    <phoneticPr fontId="8"/>
  </si>
  <si>
    <t>（導入・契約（予定）時期）</t>
    <rPh sb="1" eb="3">
      <t>ドウニュウ</t>
    </rPh>
    <rPh sb="4" eb="6">
      <t>ケイヤク</t>
    </rPh>
    <rPh sb="7" eb="9">
      <t>ヨテイ</t>
    </rPh>
    <rPh sb="10" eb="12">
      <t>ジキ</t>
    </rPh>
    <phoneticPr fontId="8"/>
  </si>
  <si>
    <t>BTO方式</t>
    <rPh sb="3" eb="5">
      <t>ホウシキ</t>
    </rPh>
    <phoneticPr fontId="8"/>
  </si>
  <si>
    <t>公共施設等運営権方式（コンセッション方式）</t>
    <rPh sb="0" eb="2">
      <t>コウキョウ</t>
    </rPh>
    <rPh sb="2" eb="4">
      <t>シセツ</t>
    </rPh>
    <rPh sb="4" eb="5">
      <t>トウ</t>
    </rPh>
    <rPh sb="5" eb="8">
      <t>ウンエイケン</t>
    </rPh>
    <rPh sb="8" eb="10">
      <t>ホウシキ</t>
    </rPh>
    <rPh sb="18" eb="20">
      <t>ホウシキ</t>
    </rPh>
    <phoneticPr fontId="8"/>
  </si>
  <si>
    <t>BOT方式</t>
    <rPh sb="3" eb="5">
      <t>ホウシキ</t>
    </rPh>
    <phoneticPr fontId="8"/>
  </si>
  <si>
    <t>BOO方式</t>
    <rPh sb="3" eb="5">
      <t>ホウシキ</t>
    </rPh>
    <phoneticPr fontId="8"/>
  </si>
  <si>
    <t>港湾運営会社制度</t>
    <rPh sb="0" eb="2">
      <t>コウワン</t>
    </rPh>
    <rPh sb="2" eb="4">
      <t>ウンエイ</t>
    </rPh>
    <rPh sb="4" eb="6">
      <t>ガイシャ</t>
    </rPh>
    <rPh sb="6" eb="8">
      <t>セイド</t>
    </rPh>
    <phoneticPr fontId="8"/>
  </si>
  <si>
    <t>DB方式</t>
    <rPh sb="2" eb="4">
      <t>ホウシキ</t>
    </rPh>
    <phoneticPr fontId="8"/>
  </si>
  <si>
    <t>DBO方式</t>
    <rPh sb="3" eb="5">
      <t>ホウシキ</t>
    </rPh>
    <phoneticPr fontId="8"/>
  </si>
  <si>
    <t>その他</t>
    <rPh sb="2" eb="3">
      <t>タ</t>
    </rPh>
    <phoneticPr fontId="8"/>
  </si>
  <si>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8"/>
  </si>
  <si>
    <t>（公務員型と非公務員型の別）</t>
    <rPh sb="1" eb="5">
      <t>コウムインガタ</t>
    </rPh>
    <rPh sb="6" eb="7">
      <t>ヒ</t>
    </rPh>
    <rPh sb="7" eb="11">
      <t>コウムインガタ</t>
    </rPh>
    <rPh sb="12" eb="13">
      <t>ベツ</t>
    </rPh>
    <phoneticPr fontId="8"/>
  </si>
  <si>
    <t>公務員型</t>
    <rPh sb="0" eb="3">
      <t>コウムイン</t>
    </rPh>
    <rPh sb="3" eb="4">
      <t>ガタ</t>
    </rPh>
    <phoneticPr fontId="8"/>
  </si>
  <si>
    <t>非公務員型</t>
    <rPh sb="0" eb="1">
      <t>ヒ</t>
    </rPh>
    <rPh sb="1" eb="4">
      <t>コウムイン</t>
    </rPh>
    <rPh sb="4" eb="5">
      <t>ガタ</t>
    </rPh>
    <phoneticPr fontId="8"/>
  </si>
  <si>
    <t>抜本的な改革に取り組まず、現行の経営体制・手法を継続する理由及び現在の経営状況・経営戦略等における中長期的な将来見通しを踏まえた、今後の経営改革の方向性</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</si>
</sst>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Yu Gothic"/>
      <family val="2"/>
      <charset val="128"/>
    </font>
    <font>
      <sz val="6"/>
      <name val="Yu Gothic"/>
      <family val="2"/>
      <charset val="128"/>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12">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9"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10"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2" fillId="0" borderId="0" xfId="0" applyFont="1">
      <alignment vertical="center"/>
    </xf>
    <xf numFmtId="0" fontId="13" fillId="2" borderId="2" xfId="0" applyFont="1" applyFill="1" applyBorder="1" applyAlignment="1"/>
    <xf numFmtId="0" fontId="13" fillId="2" borderId="3" xfId="0" applyFont="1" applyFill="1" applyBorder="1" applyAlignment="1"/>
    <xf numFmtId="0" fontId="13" fillId="2" borderId="4" xfId="0" applyFont="1" applyFill="1" applyBorder="1" applyAlignment="1"/>
    <xf numFmtId="0" fontId="13" fillId="0" borderId="0" xfId="0" applyFont="1" applyAlignment="1"/>
    <xf numFmtId="0" fontId="13"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3" fillId="2" borderId="0" xfId="0" applyFont="1" applyFill="1" applyAlignment="1"/>
    <xf numFmtId="0" fontId="13"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4" fillId="2" borderId="0" xfId="0" applyFont="1" applyFill="1">
      <alignment vertical="center"/>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6" fillId="0" borderId="0" xfId="0" applyFont="1" applyAlignment="1"/>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xf>
    <xf numFmtId="0" fontId="12" fillId="0" borderId="0" xfId="0" applyFont="1" applyAlignment="1">
      <alignment horizontal="center" vertical="center"/>
    </xf>
    <xf numFmtId="0" fontId="12" fillId="0" borderId="6" xfId="0" applyFont="1" applyBorder="1" applyAlignment="1">
      <alignment horizontal="center" vertical="center"/>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7" fillId="2" borderId="0" xfId="0" applyFont="1" applyFill="1">
      <alignment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8" fillId="0" borderId="5" xfId="0" applyFont="1" applyBorder="1" applyAlignment="1">
      <alignment horizontal="center" vertical="center" wrapText="1"/>
    </xf>
    <xf numFmtId="0" fontId="18" fillId="0" borderId="0" xfId="0" applyFont="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2" borderId="0" xfId="0" applyFont="1" applyFill="1">
      <alignment vertical="center"/>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6" fillId="2" borderId="7" xfId="0" applyFont="1" applyFill="1" applyBorder="1" applyAlignment="1"/>
    <xf numFmtId="0" fontId="16" fillId="2" borderId="8" xfId="0" applyFont="1" applyFill="1" applyBorder="1" applyAlignment="1"/>
    <xf numFmtId="0" fontId="13" fillId="2" borderId="8" xfId="0" applyFont="1" applyFill="1" applyBorder="1" applyAlignment="1"/>
    <xf numFmtId="0" fontId="13" fillId="2" borderId="9" xfId="0" applyFont="1" applyFill="1" applyBorder="1" applyAlignment="1"/>
    <xf numFmtId="0" fontId="17" fillId="0" borderId="0" xfId="0" applyFont="1">
      <alignment vertical="center"/>
    </xf>
    <xf numFmtId="0" fontId="16" fillId="0" borderId="0" xfId="0" applyFont="1">
      <alignment vertical="center"/>
    </xf>
    <xf numFmtId="0" fontId="17" fillId="2" borderId="2" xfId="0" applyFont="1" applyFill="1" applyBorder="1">
      <alignment vertical="center"/>
    </xf>
    <xf numFmtId="0" fontId="17" fillId="2" borderId="3" xfId="0" applyFont="1" applyFill="1" applyBorder="1">
      <alignment vertical="center"/>
    </xf>
    <xf numFmtId="0" fontId="16" fillId="2" borderId="10" xfId="0" applyFont="1" applyFill="1" applyBorder="1" applyAlignment="1">
      <alignment horizontal="left" wrapText="1"/>
    </xf>
    <xf numFmtId="0" fontId="16" fillId="2" borderId="3" xfId="0" applyFont="1" applyFill="1" applyBorder="1" applyAlignment="1">
      <alignment wrapText="1"/>
    </xf>
    <xf numFmtId="0" fontId="16" fillId="2" borderId="3" xfId="0" applyFont="1" applyFill="1" applyBorder="1" applyAlignment="1">
      <alignment shrinkToFit="1"/>
    </xf>
    <xf numFmtId="0" fontId="17" fillId="2" borderId="4" xfId="0" applyFont="1" applyFill="1" applyBorder="1">
      <alignment vertical="center"/>
    </xf>
    <xf numFmtId="0" fontId="19" fillId="0" borderId="0" xfId="0" applyFont="1">
      <alignment vertical="center"/>
    </xf>
    <xf numFmtId="0" fontId="17" fillId="2" borderId="5" xfId="0" applyFont="1" applyFill="1" applyBorder="1">
      <alignment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6" fillId="2" borderId="0" xfId="0" applyFont="1" applyFill="1" applyAlignment="1">
      <alignment wrapText="1"/>
    </xf>
    <xf numFmtId="0" fontId="16" fillId="2" borderId="0" xfId="0" applyFont="1" applyFill="1" applyAlignment="1"/>
    <xf numFmtId="0" fontId="20" fillId="2" borderId="0" xfId="0" applyFont="1" applyFill="1" applyAlignment="1"/>
    <xf numFmtId="0" fontId="3" fillId="2" borderId="0" xfId="0" applyFont="1" applyFill="1" applyAlignment="1">
      <alignment horizontal="left" vertical="center" wrapText="1"/>
    </xf>
    <xf numFmtId="0" fontId="17" fillId="2" borderId="6" xfId="0" applyFont="1" applyFill="1" applyBorder="1">
      <alignment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20" fillId="2" borderId="0" xfId="0" applyFont="1" applyFill="1">
      <alignment vertical="center"/>
    </xf>
    <xf numFmtId="0" fontId="16" fillId="2" borderId="0" xfId="0" applyFont="1" applyFill="1" applyAlignment="1">
      <alignment shrinkToFit="1"/>
    </xf>
    <xf numFmtId="0" fontId="3" fillId="2" borderId="0" xfId="0" applyFont="1" applyFill="1" applyAlignment="1">
      <alignment vertical="center" wrapText="1"/>
    </xf>
    <xf numFmtId="0" fontId="16" fillId="2" borderId="0" xfId="0" applyFont="1" applyFill="1" applyAlignment="1">
      <alignment horizontal="left" wrapText="1"/>
    </xf>
    <xf numFmtId="0" fontId="21" fillId="2" borderId="0" xfId="0" applyFont="1" applyFill="1">
      <alignment vertical="center"/>
    </xf>
    <xf numFmtId="0" fontId="20" fillId="2" borderId="0" xfId="0" applyFont="1" applyFill="1" applyAlignment="1">
      <alignment shrinkToFit="1"/>
    </xf>
    <xf numFmtId="0" fontId="20" fillId="2" borderId="0" xfId="0" applyFont="1" applyFill="1" applyAlignment="1">
      <alignment horizontal="left" vertical="center" wrapText="1"/>
    </xf>
    <xf numFmtId="0" fontId="20" fillId="2" borderId="0" xfId="0" applyFont="1" applyFill="1" applyAlignment="1">
      <alignment vertical="center" wrapText="1"/>
    </xf>
    <xf numFmtId="0" fontId="20" fillId="2" borderId="8" xfId="0" applyFont="1" applyFill="1" applyBorder="1" applyAlignment="1">
      <alignment wrapText="1"/>
    </xf>
    <xf numFmtId="0" fontId="20" fillId="2" borderId="0" xfId="0" applyFont="1" applyFill="1" applyAlignment="1">
      <alignment wrapText="1"/>
    </xf>
    <xf numFmtId="0" fontId="21" fillId="2" borderId="0" xfId="0" applyFont="1" applyFill="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3" fillId="2" borderId="0" xfId="0" applyFont="1" applyFill="1" applyAlignment="1">
      <alignment vertical="center" wrapText="1"/>
    </xf>
    <xf numFmtId="0" fontId="24" fillId="0" borderId="1"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4" xfId="0" applyFont="1" applyBorder="1" applyAlignment="1">
      <alignment horizontal="center" vertical="center" shrinkToFit="1"/>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8" fillId="0" borderId="5" xfId="0" applyFont="1" applyBorder="1" applyAlignment="1">
      <alignment horizontal="center" vertical="center"/>
    </xf>
    <xf numFmtId="0" fontId="18" fillId="0" borderId="0" xfId="0" applyFont="1" applyAlignment="1">
      <alignment horizontal="center" vertical="center"/>
    </xf>
    <xf numFmtId="0" fontId="18" fillId="0" borderId="6" xfId="0" applyFont="1" applyBorder="1" applyAlignment="1">
      <alignment horizontal="center" vertical="center"/>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0" fontId="22" fillId="0" borderId="6" xfId="0" applyFont="1" applyBorder="1" applyAlignment="1">
      <alignment horizontal="left" vertical="center" wrapText="1"/>
    </xf>
    <xf numFmtId="0" fontId="18" fillId="0" borderId="5" xfId="0" applyFont="1" applyBorder="1" applyAlignment="1">
      <alignment horizontal="center" vertical="center" shrinkToFit="1"/>
    </xf>
    <xf numFmtId="0" fontId="18" fillId="0" borderId="0" xfId="0" applyFont="1" applyAlignment="1">
      <alignment horizontal="center" vertical="center" shrinkToFit="1"/>
    </xf>
    <xf numFmtId="0" fontId="18" fillId="0" borderId="6" xfId="0" applyFont="1" applyBorder="1" applyAlignment="1">
      <alignment horizontal="center" vertical="center" shrinkToFit="1"/>
    </xf>
    <xf numFmtId="0" fontId="18" fillId="0" borderId="4" xfId="0" applyFont="1" applyBorder="1" applyAlignment="1">
      <alignment horizontal="center" vertical="center" wrapText="1"/>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14" fillId="2" borderId="0" xfId="0" applyFont="1" applyFill="1" applyAlignment="1">
      <alignment horizontal="center" vertical="center"/>
    </xf>
    <xf numFmtId="0" fontId="18" fillId="2" borderId="0" xfId="0" applyFont="1" applyFill="1" applyAlignment="1">
      <alignment horizontal="center" vertical="center"/>
    </xf>
    <xf numFmtId="0" fontId="20" fillId="2" borderId="0" xfId="0" applyFont="1" applyFill="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25" fillId="0" borderId="10" xfId="0" applyFont="1" applyBorder="1">
      <alignment vertical="center"/>
    </xf>
    <xf numFmtId="0" fontId="25" fillId="0" borderId="12" xfId="0" applyFont="1" applyBorder="1">
      <alignment vertical="center"/>
    </xf>
    <xf numFmtId="0" fontId="26" fillId="0" borderId="10" xfId="0" applyFont="1" applyBorder="1">
      <alignment vertical="center"/>
    </xf>
    <xf numFmtId="0" fontId="26" fillId="0" borderId="12" xfId="0" applyFont="1" applyBorder="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25" fillId="0" borderId="10" xfId="0" applyFont="1" applyBorder="1" applyAlignment="1">
      <alignment vertical="center" wrapText="1"/>
    </xf>
    <xf numFmtId="0" fontId="27" fillId="2" borderId="0" xfId="0" applyFont="1" applyFill="1">
      <alignment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0" fillId="2" borderId="3" xfId="0" applyFill="1" applyBorder="1">
      <alignment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16" fillId="4" borderId="3"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16" fillId="4"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23" fillId="2" borderId="0" xfId="0" applyFont="1" applyFill="1">
      <alignment vertical="center"/>
    </xf>
    <xf numFmtId="0" fontId="17" fillId="2" borderId="7" xfId="0" applyFont="1" applyFill="1" applyBorder="1">
      <alignment vertical="center"/>
    </xf>
    <xf numFmtId="0" fontId="17" fillId="2" borderId="8" xfId="0" applyFont="1" applyFill="1" applyBorder="1">
      <alignment vertical="center"/>
    </xf>
    <xf numFmtId="0" fontId="17" fillId="2" borderId="9" xfId="0" applyFont="1" applyFill="1" applyBorder="1">
      <alignment vertical="center"/>
    </xf>
    <xf numFmtId="0" fontId="20" fillId="2" borderId="8" xfId="0" applyFont="1" applyFill="1" applyBorder="1" applyAlignment="1"/>
    <xf numFmtId="0" fontId="24" fillId="0" borderId="1" xfId="0" applyFont="1" applyBorder="1" applyAlignment="1">
      <alignment horizontal="center" vertical="center" wrapText="1" shrinkToFit="1"/>
    </xf>
    <xf numFmtId="0" fontId="18" fillId="0" borderId="7" xfId="0" applyFont="1" applyBorder="1" applyAlignment="1">
      <alignment horizontal="center" vertical="center" shrinkToFit="1"/>
    </xf>
    <xf numFmtId="0" fontId="18" fillId="0" borderId="8" xfId="0" applyFont="1" applyBorder="1" applyAlignment="1">
      <alignment horizontal="center" vertical="center" shrinkToFit="1"/>
    </xf>
    <xf numFmtId="0" fontId="18" fillId="0" borderId="9" xfId="0" applyFont="1" applyBorder="1" applyAlignment="1">
      <alignment horizontal="center" vertical="center" shrinkToFit="1"/>
    </xf>
    <xf numFmtId="0" fontId="0" fillId="2" borderId="0" xfId="0" applyFill="1">
      <alignment vertical="center"/>
    </xf>
    <xf numFmtId="0" fontId="16" fillId="2" borderId="3" xfId="0" applyFont="1" applyFill="1" applyBorder="1" applyAlignment="1">
      <alignment horizontal="left" wrapText="1"/>
    </xf>
    <xf numFmtId="0" fontId="16" fillId="2" borderId="0" xfId="0" applyFont="1" applyFill="1" applyAlignment="1">
      <alignment horizontal="left" wrapText="1"/>
    </xf>
    <xf numFmtId="0" fontId="14" fillId="0" borderId="1" xfId="0" applyFont="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2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18" fillId="0" borderId="1" xfId="0" applyFont="1" applyBorder="1" applyAlignment="1">
      <alignment horizontal="center" vertical="center" wrapText="1"/>
    </xf>
    <xf numFmtId="0" fontId="20" fillId="2" borderId="6" xfId="0" applyFont="1" applyFill="1" applyBorder="1">
      <alignment vertical="center"/>
    </xf>
    <xf numFmtId="0" fontId="14" fillId="2" borderId="8" xfId="0" applyFont="1" applyFill="1" applyBorder="1" applyAlignment="1">
      <alignment horizontal="center" vertical="center"/>
    </xf>
    <xf numFmtId="0" fontId="22" fillId="0" borderId="0" xfId="0" applyFont="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0" xfId="0" applyFont="1" applyAlignment="1">
      <alignment horizontal="center" vertical="center" wrapText="1"/>
    </xf>
    <xf numFmtId="0" fontId="25" fillId="0" borderId="6"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16" fillId="2" borderId="0" xfId="0" applyFont="1" applyFill="1" applyAlignment="1">
      <alignment horizontal="left" vertical="center" wrapText="1"/>
    </xf>
    <xf numFmtId="0" fontId="24" fillId="0" borderId="2"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4"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0" xfId="0" applyFont="1" applyAlignment="1">
      <alignment horizontal="center" vertical="center" shrinkToFit="1"/>
    </xf>
    <xf numFmtId="0" fontId="24" fillId="0" borderId="6"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9" xfId="0" applyFont="1" applyBorder="1" applyAlignment="1">
      <alignment horizontal="center" vertical="center" shrinkToFit="1"/>
    </xf>
    <xf numFmtId="0" fontId="16" fillId="2" borderId="8" xfId="0" applyFont="1" applyFill="1" applyBorder="1" applyAlignment="1">
      <alignment horizontal="left" wrapText="1"/>
    </xf>
    <xf numFmtId="0" fontId="24" fillId="2" borderId="0" xfId="0" applyFont="1" applyFill="1" applyAlignment="1">
      <alignment horizontal="left" vertical="center"/>
    </xf>
    <xf numFmtId="0" fontId="12" fillId="2" borderId="0" xfId="0" applyFont="1" applyFill="1">
      <alignmen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0" xfId="0" applyFont="1" applyAlignment="1">
      <alignment horizontal="lef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0" fontId="22" fillId="0" borderId="9" xfId="0" applyFont="1" applyBorder="1" applyAlignment="1">
      <alignment horizontal="left" vertical="center"/>
    </xf>
    <xf numFmtId="0" fontId="29"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0" xfId="0" applyFont="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17" fillId="0" borderId="1" xfId="0" quotePrefix="1"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6"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0" xfId="0" applyFont="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32" fillId="0" borderId="0" xfId="0" applyFont="1" applyAlignment="1">
      <alignment horizontal="left" vertical="center" wrapText="1"/>
    </xf>
    <xf numFmtId="0" fontId="0" fillId="2" borderId="2" xfId="0" applyFill="1" applyBorder="1">
      <alignment vertical="center"/>
    </xf>
    <xf numFmtId="0" fontId="12"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cellXfs>
  <cellStyles count="1">
    <cellStyle name="標準" xfId="0" builtinId="0"/>
  </cellStyles>
  <dxfs count="3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CDB0AE9-0207-4201-A107-C18F7EC46F3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7BC711D-1929-4072-9FAA-D9744121E69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2A2136D-AD6D-4564-957E-D9E7BC9D68B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0EEBE56-EFDB-4CF2-BD9F-5ECDCDF7F62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BF54A57-46FC-4A9D-AA0F-3210E4BA33A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DB61FE8-9127-4113-8AC0-D4294FCF21B2}"/>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1E7697FE-8157-405D-918C-E83A3692181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C902B211-BE7F-4D61-9942-5A03B32C5F1A}"/>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783EBC81-223F-4BF9-B326-9A84FCA97EBF}"/>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4E8AEFF2-F954-4096-A989-CEF16E273DD5}"/>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5115DBCC-B943-4156-ACDC-F331386F4FD5}"/>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7E32746E-B7CC-4A61-A85F-EAEA93FA7D05}"/>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8C72A15D-FC06-4BD1-8B96-EDA82F99DC1D}"/>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479D4A84-0B37-4B63-9F27-E1CD570931B6}"/>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5EEDA5D7-9A08-4604-BA40-5C5DD5FE5B2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9AA8CE09-062B-4EF9-A1B4-47D3F6429CCC}"/>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85CC73B9-6868-4B3C-A2DF-7A75BEEE1BE1}"/>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E24372C2-158E-4553-AE02-055324E99598}"/>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512B8E7B-B116-4D4A-8E1F-BFB5242216EC}"/>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BF166DD1-7BF8-4F1C-AE68-FF52CCDD1EE6}"/>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9AD4C7CD-F07B-4B07-B535-708AC239C83D}"/>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ECA9E88D-7C29-45DF-A280-A83B4ACD614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A5F0F555-1026-4ED6-BC08-9A9E0AF6294A}"/>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5D104B90-4346-42CE-98B4-B142A6E4B42D}"/>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1DF4D562-A91C-41D7-B717-E110AEC2139A}"/>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610FD499-3AED-48B7-902D-2FC03A3B2D16}"/>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EA2F9E7-1DC3-4E8B-8593-D08ED09D88E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F6C7EE4-5168-4D41-A245-72D6D674ECE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8325D31-8033-4428-BBC8-938E67AD77A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942D302C-59FF-4DE5-8085-21C0AE95B508}"/>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FEAA932-DA7F-45E6-AB9E-C224D3721D8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ED70CE1-9234-4EAF-95A9-B154C850AD51}"/>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E84A474B-D289-405D-A566-24C17289E4C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5C2E7B91-669E-4156-8D11-B612DA83005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3661A244-0F4F-4502-A9E5-3040E707AB68}"/>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838280BB-98ED-40DF-A12D-D3C3AAB7CF1E}"/>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1F72DC56-0A92-4A36-913E-A4BE3BF23667}"/>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3266D3F4-0416-436F-B8ED-96A6A9DACFC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557FA5A5-36E1-490E-BFCF-6BF733A060E8}"/>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E70AD504-B999-40E5-9D81-7174ECBCA798}"/>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CAD2634D-13E4-4E2B-8893-935959CCA2C5}"/>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A116FACE-4146-466C-A655-D1269FF8F22B}"/>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C0ED8A54-BAE4-4B8F-AE34-1C91090E5A64}"/>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1D7FFCC2-5E70-4C7E-AD3F-4D9898C745EF}"/>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2FAAD93B-BAE7-4F23-B60F-91B7D9EC9E11}"/>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7959F0D5-57A2-497F-8A22-6A7B691FC143}"/>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4BA4B447-2736-4A05-AE77-399224AD3C34}"/>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360B9411-2FFF-45E9-BACA-5225E090654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6E8B34D6-A63C-4F35-8D8E-098B4CA67C9A}"/>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4F7F899F-A04B-4C34-A8C2-2FF91ECA6809}"/>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815817C5-772B-471E-8624-2CAA35FE14D4}"/>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F5323746-5E09-4BFD-B0D3-B461971F33FB}"/>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C0B932C-4EFC-4553-A5A7-47D590A03F6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9BEB1FC-0E42-4F75-81B6-DE64C2472BD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07F3DBC-EC9B-4818-9A51-9396EC60B3C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EF5480CB-160A-4E80-8C01-53C97B6B4FE2}"/>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9093D16-0579-4EFF-A8A8-99A22684F53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D31BFF3E-D3C7-4CBC-9F77-8356383D67A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26C1B818-92F2-45B1-A39E-5C1FF172D1EB}"/>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67F2D7B8-B44C-4161-9B4C-D913918A594F}"/>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43F95177-43A0-4B2C-A575-B1CECFF73C06}"/>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F38851D-C76B-4C4D-AD85-12B81FD149F7}"/>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69A78CFA-058C-44AD-8A1A-63FDEF04930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10469A2A-9088-44EA-A45C-24BE8CD13932}"/>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CE1F7344-4020-4B69-B769-F747D187DD3A}"/>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4AC063B4-E35A-4FAC-BA12-E79387FD25C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2A5FF741-2EF8-41E3-B1D7-BA4C125DE88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D4A38C21-9556-428D-9D87-6A1E71D44106}"/>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3175CA62-F19E-43A0-B066-4A8C9C80753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31B8FFE5-1B1D-4F7D-BDFF-C61F2621232C}"/>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4224AF46-823A-47BE-B856-BE277FBA5E35}"/>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8DA5FBA7-9F71-4855-91EC-072A43A3C9BF}"/>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75246A81-36A2-471D-81A1-332BD986BD7F}"/>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6537F02F-B844-4BEE-B7A0-AAA81811580A}"/>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DFABD4BC-B93F-4661-BCAC-761455E85E75}"/>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5A0E4863-D49F-49DD-A3AB-67D50934982C}"/>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9B3B808B-3E40-4CA7-B559-EFC5604684E5}"/>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9F8E8EE4-CA5D-4DA4-9016-F6A2D10B46B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18B6C38-2F64-420A-8EDB-2F00B738F54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8EDAD60-9CEE-4AA9-BD90-8CFB7EE4CD6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E2276A1-9AA1-4962-B673-833039BE389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A6A0953-1856-487F-AFE9-2F6B691F35B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1107DB9-61D0-467E-B8F8-1399E9141D8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3535454-9C79-415B-BA19-9C88EDDEBC96}"/>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41E285D-AD9D-4DCA-B856-07D4E8888766}"/>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872D9432-8297-467C-BF73-214A3A3F999C}"/>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5A6AC2B3-B734-4ABB-83B4-A3876AA273F6}"/>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6E15363-E246-43DB-A964-497E69252EA9}"/>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756A31E4-3030-4C84-B675-1FA669F4D4A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E985ADBE-4F5B-4082-BE9B-25D69E3CC2FC}"/>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11CDB57F-0D20-4714-84A7-08ECBC963537}"/>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9D70F452-D6BC-488E-A1F1-03C63082BDEC}"/>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31D5AE79-86D5-4A8A-8D43-CE20622B39AC}"/>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C900455E-0009-4E09-89D6-BCD2F0A7A09C}"/>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5156CC25-E0A3-4A3F-BA70-C18EC919840F}"/>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598327F-23A7-4539-991B-4F91A02B54B1}"/>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335E8D20-A6A2-4B09-A885-07B2E752FABD}"/>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C47A001-586C-4D8C-8690-873D8DC277B6}"/>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88726777-85D8-4E9A-88B6-078CB7D3D197}"/>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34339E65-B6A4-4472-817F-4DCC3E4BA0F5}"/>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DA52F893-D267-4826-B8C3-6FF2B2BD7795}"/>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A0A5C40-D813-4E8D-AA45-D0FAD9A83646}"/>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E70B9F1-D272-4BD2-BD3A-4FA4285CE131}"/>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B0451808-5C0F-4DF2-BCBB-7EA51078F676}"/>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35A60F7-39D7-4F62-AF10-EDE2F2AB80E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62525A-EED0-43D7-8A94-950B1598EF8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D15A401-278D-460A-8F60-723875FBD20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82E7302-8B05-4682-864B-F7C5313A008B}"/>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C3D767B-48B3-4AA5-9A78-E3239759EE0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6C5915EB-3CFE-4FE8-B42A-AEB5DA60675B}"/>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3CE0EF7D-24A5-46E0-9C71-FC3E3766F289}"/>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DEC41D1D-7ABE-4FE6-8C1A-A5C22BBBB55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63727AFA-CDDE-4AD6-AD65-11F4853A9C27}"/>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DC77126-4F81-48C4-B6A7-FA8B41AD4E03}"/>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A4F3E21C-B956-4561-AAE9-E7FB3ED2619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9362BFC2-05B6-4AFD-A36B-2516CD9DA159}"/>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DA2C02A1-8ED3-4131-902B-B94E5AECB006}"/>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CA1AD180-B52E-4689-AEED-A7F4B017C117}"/>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99AA1B0F-6581-4D50-BD33-F353C60D3E7A}"/>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65752C33-2F34-4F5A-96CF-F7A4EEC62E24}"/>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46FC9611-76E5-455A-AA00-213D57971CB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43FC68DA-D2C2-40C0-8E32-549D091BE77D}"/>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6F1CCB6A-DFBD-4E1C-919B-C7A5305A7B7E}"/>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411E7AFB-D578-46A3-9336-9E0012EEB30D}"/>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46A0271D-EFCB-4D54-9D74-6D2382D9955D}"/>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4A1BC95-25FB-44C2-B2CD-25355423C746}"/>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3C93D90-BC0E-43E6-BA7D-40CD0EF5CB29}"/>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C0AFFCFC-B702-45EE-800B-D2A562FB2E86}"/>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8767B73D-9D40-4591-A9A5-1B4427EB8A05}"/>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86EEDD12-C43F-4179-A56A-F75DC4DD3464}"/>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BEDCEDA-0A0B-47EC-861A-DC5D54CC26A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5CB6093-0163-4622-AB11-A86BE2AE374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2247A5E-F509-4FE0-B04A-076D204CE20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4C1DF0FB-C8B6-4AB0-9832-1464DACC7455}"/>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9F73C8D-783E-484F-908C-894323DF2F9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A8BC515-0BC1-426C-B106-D4862EA14A82}"/>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5F38A3D-A0FA-44DF-B6DF-B33A6482395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D3D2A346-535A-4FEC-A16E-69B3D5B4B919}"/>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59D3C2F8-DADF-4455-9CF8-135998A07D34}"/>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5A5EFC0-3D6B-457B-B9F3-9C0C1251E486}"/>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E8E4260C-B9DF-4C9A-9228-428F6521AAA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FE7F0DB-49D8-4514-AA15-AAAF0B2489BC}"/>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F5414B66-60BE-4370-BB69-8C8267A798F9}"/>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8CED665B-03FC-4F9D-98FD-39B9790E1B0D}"/>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DA4CF245-B57D-430A-8647-B57963A9BC6E}"/>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17CBEB10-C403-41C9-968E-E14AAA9A0AF6}"/>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5E32FF7C-EE11-4B11-8B74-D3A6DDFE33B4}"/>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FC36DAD5-255E-4940-9C05-A91B87FAFDC4}"/>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BB0AC589-105D-4508-AE41-D5BEE68E9B8C}"/>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7148B46F-B020-4B10-BA17-1F0F35A8B98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FDD1FEE9-1A1A-4844-ACE4-97BDC38F3AD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D662AC85-70C9-4033-AB06-43FD24E470D9}"/>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5222F3BD-99EC-4C1B-9D24-DAE0EEBCD25A}"/>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61CEBAA2-39F1-43F2-8581-33C8BC1BDB8A}"/>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F5964132-F28A-4FCB-AB19-5687F96E6B8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5CBB215C-CFA0-4337-9C37-2F7C2ED36F79}"/>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7CB6511-462B-480F-A879-A89B2B4CC6E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DC7AE67-FAB8-40B2-B26A-446D145CFBE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9964E5F-AB34-4BDD-942C-09161A9B4FE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67A7DC4-6778-446C-8B06-5E75EAFD35FE}"/>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6F2CA855-E6C9-4EEB-A1DD-8A2F26154D1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3A508A8-9955-45C9-B435-9D26E497B017}"/>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EE0DD04F-5A99-4E30-9288-A9CF2F5A9676}"/>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14EF66F-82CB-49D3-8E65-C8742D7E5E6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D46A879A-A5E1-464B-894A-E5D665ED1CFE}"/>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49B7042F-6887-4DA5-88B1-1855F1BB4DF8}"/>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FC3795B6-9EBC-4E94-A67C-68594A15D99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45EFDD6-1627-4193-9A29-2F3BAF968B5B}"/>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6D712EAD-44EA-4BBE-B337-C81AA4FF2A16}"/>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4E196D30-E1A6-4966-B74D-9979E21D295D}"/>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9C553080-4DCD-4868-81B1-3C61B55887F5}"/>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AC7B5E2-7001-4F21-BE9F-8AA49CFEDD4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17A9E517-C0BB-4A49-86A4-38A0BA56C45E}"/>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AF471F75-168D-4EE1-B65F-E8547E84389D}"/>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695EBB2-D87C-4021-B836-71747751D077}"/>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8E060B8-8591-49D0-AE25-38E08C86DD39}"/>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E37D5DD-A8CA-4686-8340-E5C20621DDF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905C67D-ECBD-4F96-B3BC-CEB64C8D72F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35939719-9CE7-4B74-83C3-FC8539B30B74}"/>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2DCF58BD-9354-4FA6-8FD5-132094DDF991}"/>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884AFAE9-CE84-47C6-8C22-FE33A1C01377}"/>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D886D5B3-2E0E-41CE-85FF-7E7D6311CEA3}"/>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C816495-91AC-41FF-830D-B559175BFAE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8E98A67-7BC5-45B5-BEE4-FA0F2DBF156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25DE5A7-83FB-449E-8291-8C1848AEF68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956796F-3163-4C43-A5D7-4A8EAE090B4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7BA3376-E205-400D-BB60-F6F4FF3BA3E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FBF9335-A3EC-4F9B-8640-F0D1ABF401CD}"/>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DAE8523-1A34-4687-B806-370B098BCA87}"/>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3BD00EF4-3833-4697-BED7-A2C3D9EE2E9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52D5B9F5-6DCF-4AED-898C-328CD8070DBC}"/>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3242F8D5-FE23-46CF-A739-D80A4A0FB71E}"/>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98DE8AE-6EC0-4A4D-9693-A6B70AD1B38F}"/>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222A88AB-9EFC-4F3A-A9D8-57587BC1F534}"/>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993846F-EAB4-4299-9D96-DABCD1702894}"/>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91DFEBA9-B7BA-4BB8-A5F5-4D3148CBA89B}"/>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EEEF820C-181C-4D00-ABEA-AF2014D42462}"/>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53B45F8-9E43-4D0B-98E7-86AE551C54C5}"/>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9C2B1CC1-8528-4840-BC72-F0F0DB66F006}"/>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95DC2470-F985-432B-BF6E-A51C1D21D408}"/>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A63219DC-64A9-40D5-933B-FFB1202056B6}"/>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8D5048B-EBBD-4575-BA15-28BAD8673DCC}"/>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541357A4-6FF8-4824-991F-02B1D91B3906}"/>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19CB17B3-D45A-4E51-B06C-A8896845168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71F67230-4C8F-461A-AA71-CCF7449980FA}"/>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28FC72A3-5E8F-48FE-9B90-719AC32D30F7}"/>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B6716099-A19F-419C-984C-2873FE918A45}"/>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EB753856-E72C-49C7-84A2-B67A8278049D}"/>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588A457-602D-47AA-97D6-18ACBBA4752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AD688BB-C16F-4BC6-8F46-D307CAD0E42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B3B6CAC-D4A1-40C6-99DF-05EEA733BB0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9C0FE339-2108-4C72-83BA-198ADC942E1D}"/>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BBC9C7B-CDEE-473B-A3BF-DE8E5526981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F79AA927-2068-40F6-A686-6C1EADFB4A41}"/>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6E029F8-183C-4B14-A577-8EF968C0FB7C}"/>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730E3F35-3CE5-4799-B5F0-56229778F229}"/>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914F9AA7-4B6E-4862-BDF2-0444C3C749D6}"/>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6EC4E79F-892A-42F0-8C1B-F820931A3E53}"/>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A25F99CD-8B1B-4E9A-8968-04FF34B25697}"/>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42FD4A3-4E60-4876-85C2-0C5790DA7F4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D82FB8EB-24E5-4786-8D68-18E42ADA52CA}"/>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64990CD5-58DC-4707-8C3C-6396C0B729B9}"/>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BC1C2FE7-94BF-4ABA-8F51-B130C418F87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6BE8690D-FD4A-459A-9AAD-E5C359A08241}"/>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B66FEBE5-A497-47CB-9BF1-57ED5C835EB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BC18933F-87C9-4624-9B82-2CCFD800C08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2793CB56-979D-4CBC-BBF3-D0E55FA43EE2}"/>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F284253D-3A99-45C5-BFB0-222E4BAE8019}"/>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BD03959A-7C19-42BD-81FA-0AC845655E2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D309E33D-0280-40A1-A904-00EC323C17AA}"/>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D6E1CE94-7B40-44FE-A3F6-BBBE1978D14A}"/>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B6629747-65DE-42D3-90E2-FC9CFCE0B676}"/>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4B9212DD-9439-4792-85C4-4647C2C7EBE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B73673CD-16D2-4FB4-BA93-B9FA065B20F6}"/>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72C67413-8894-4466-A046-A3D35CEC3EC7}"/>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F5EB39-B86A-410D-8EFB-0AD29790877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0AC8C6E-5A86-4979-A55C-F97D27A1E3C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44A10E7-8FDE-442F-986B-FE996EA7095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1DB4C06-87BA-41AB-9482-E0A47C1C0D0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DFFA6C8D-0CCB-44D0-9197-96FB145606D3}"/>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4370D6A-050B-4F79-B89B-5E04891B590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67153709-20F0-491C-9DA9-FDED6B15DA95}"/>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6CE65C9C-DB0C-4FFB-9028-061428EC7FF3}"/>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E0F3EA13-BB1A-4E0A-9370-4B2C3E6FBB6D}"/>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B5098414-893C-4DF4-A966-7E15FFEC8563}"/>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220AF86F-05CF-4C20-9B69-5E346748BA6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B68460D0-1B47-4826-A3AF-8006953C1A19}"/>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50A12C9-2E90-46CB-B46C-1F95218CD7E5}"/>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5A1FED9E-5891-4B4B-A616-60ABF72CA655}"/>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DD506FB2-EF20-4B0A-8C58-7DB8019E457C}"/>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92890B74-51F5-46CE-B8CF-8B2893C9A5FC}"/>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36E2A019-45B4-4219-9BA2-7482AEA3AB42}"/>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83D558E9-4458-4490-B6D5-4920AF8C6D74}"/>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53CF4A1A-5B40-4DC8-B696-161D59809E49}"/>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375C5416-1EFE-46BC-A9F7-89B006DE6DEF}"/>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79E6F7E7-0BA4-4A9A-816B-4FD625F524E4}"/>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7A9E5454-FB12-42BA-8716-AF19477B222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1B0B9999-7B21-4E76-8244-3F6501197A92}"/>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DA33D1C8-2D98-4E9E-9EB2-CAB5D0DC428C}"/>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862FF39F-FC10-41FE-87D7-375CD29F3ED6}"/>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679AEF5-1F28-42E6-A9D7-5C566A253FD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3F44937-2D33-4129-B4C4-5C72F56FE1B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D50937-D561-4760-BD31-466EB61D299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5AFEF998-F70F-4942-98FF-610A998CA43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39DD7B1-0849-4434-80C1-3958E6B9BB2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E3DDC26C-207E-430A-838E-B87A2BABE4E9}"/>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EA8A018-B9B7-4278-9C3C-B265E88AAB73}"/>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6662A4A7-61CC-45BC-B257-391E1CEF0E9A}"/>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C3DFB029-F8EE-4B2B-8517-C679C41BF83F}"/>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BAFCDE20-B8AA-4A8C-B29E-0212BAFA1DD9}"/>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3DB45A4-113B-4B07-A42A-2486F0C510D1}"/>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CA81D20-099E-46F1-AEE0-08FF7EF93C0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7CD75105-E1D6-4007-8112-796EB49B1BDF}"/>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7B09488-C9D4-4BCE-A205-28927A3F4E47}"/>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86E6BA3F-00EC-4424-95BB-2CA568F5AED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ED7BCF1-4AEB-404B-BABB-39FE0054A846}"/>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5BA011D-6243-415A-BF71-BB8DE5FE6CF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5BCBF811-9385-47B6-A3E3-B0DEEF2BAE6C}"/>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A489AF22-F2D5-46A6-A025-F7E06F91FFA7}"/>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5C0E83CA-7FE2-4B6F-9337-84D26A1451F5}"/>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9DC7907C-47BB-46A9-BD90-991A5890E13F}"/>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B85A0EDE-C8C3-43E0-8BA2-F8D898B37FC5}"/>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6C2AEF9A-E223-46AC-A706-E72594C51993}"/>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40F83F42-7E1D-450F-BCED-1F69D2D30135}"/>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39137DD-1C63-424A-A393-2C1E937B6CC4}"/>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6CB9D327-F3EF-4562-A18A-2F0BF06665CB}"/>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5AFF5A2-AA3C-4E85-9EFB-16340D68FBE7}"/>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8B8A909-9AC2-4A1A-B610-536E07FE495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9BCE471-3EEE-4BFB-85E3-E445879E708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87F54E2-2081-4894-8485-E485AF90EBCE}"/>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1B626FE-6F34-40EB-98CA-DE430940A0C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722F38A-35A1-4394-AEB3-A405F94F1C14}"/>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5633DC0-AF70-4563-8635-AD78757AAC6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D18D49AB-6DBD-4D64-ADC7-8819B8E62B1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F8B7B8C4-E4DF-4FB8-830E-66A2E5933B93}"/>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9C3737BF-AEE0-4E12-A5D8-DB2C38C69B35}"/>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3D218847-134E-4B82-877C-E07B3130AE92}"/>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DEE9C05-8691-4729-9138-B016466EF372}"/>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6916E0C9-FB3A-4C78-AA32-8E581E85E337}"/>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CF4C267-3B52-482B-B9CE-C88B8FF55E64}"/>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DEB12828-C635-4507-A3F3-4957A94F92A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4EE6AA0B-A157-43E4-B5FE-598CFEDCE1FC}"/>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89E594B4-C5A9-43D0-A96E-573B2169765A}"/>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DF0D1984-EAC4-4BBA-B7D1-A7A8DC432ED4}"/>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60534BE6-F749-48C5-9B13-288D9E0CEB7D}"/>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7E73C37C-D62A-4A1B-B277-7943A2B4AA3A}"/>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7BCDF491-4BD6-45BB-8726-615344DEB03F}"/>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56880B31-8FF1-4B6F-A7BB-C6F0215A6399}"/>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DBEB613D-7EAD-4C60-B6FA-59817CC2A488}"/>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72643EC3-3C95-46AC-9D8B-13E89ACEAEBD}"/>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1DDEE45D-FD34-4449-9649-19A463B2DFCE}"/>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B996E74C-3BB3-44F6-9FAD-08DF2912E287}"/>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1F399F3-F3AB-4A01-99F1-D7F6D6583417}"/>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E3322CC-94A4-45FA-BB82-D75FCB603AF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1140A3F-31FF-4CCE-90BC-C7E529B2328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7975A4EC-E079-4E56-826B-637FBFD19564}"/>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EC6883-3054-447A-B819-3B0145958CB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1708E2A-BFF9-4E27-A33C-DAE824DD332B}"/>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C642044-F457-42AE-9E92-A0349D78CA2C}"/>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B9E1FAD7-A0C1-4BA9-8DC4-0A969C282472}"/>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608A24E6-09E0-4CE3-B690-DBDE2066C22B}"/>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E011DE37-76B1-42C9-B737-2F328880F492}"/>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40394189-ECC4-4FC3-8BB7-67F66D91520C}"/>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AA160C2-8615-405D-8554-496FDE04CB1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CD161687-8F12-4883-96F4-D4049BC0BAC1}"/>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8430A00-0427-46DC-B448-BA009D124308}"/>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2D057527-67D3-439D-8548-AC0A2896F129}"/>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2B134D04-3BB1-4C55-9023-2EB3E189D501}"/>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CCC7BCAA-38C3-4EFF-9B99-D7A5A51675BA}"/>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94320FD4-9C22-4D54-9A1F-449B6692FBA7}"/>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1FE75EA8-9F99-4163-92CA-F4DD0790636E}"/>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67D35FA0-E278-41C1-8AB1-DDE259FC9507}"/>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0E1C7E72-FB1B-4E7D-A2D4-E2D92E88D0E4}"/>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459458C1-5934-4E69-83AA-907FA28ED2D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5070084-96F9-4D21-AC73-BDBDD756D676}"/>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DBAF6136-BAFE-4674-8F7D-9BA160C8F69E}"/>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96E6EE36-2624-4ED2-8C49-36AD614C1105}"/>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FBB8A002-5A6F-4A79-B2D5-A112FEA82778}"/>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5EE4333-9423-430F-9098-6CC3EDD8286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C89A0C6-E797-4898-832C-1DD7879552C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9628431-0415-4D14-97C8-787ADAC5377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DF780BA-2A8C-48A5-96B6-A65263448FE3}"/>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0636324-94F1-425F-8822-6C62CECE2AC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1DD29CB-2739-4A8B-A4C0-84E15FAFFF5D}"/>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916D981-8885-4A35-9F8F-A4C2CF46D2C6}"/>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C1FEC4FD-AC90-44EA-89DC-CEC8AFADB82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9884A8F5-2513-4A51-B282-602D0E29DCC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A3926635-92BC-43CD-B662-AC459F4A03BA}"/>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DCB317C6-5DD6-4B54-B115-3DAA68161D8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8628CA4-E35C-406C-837F-F6C9D5C46FFA}"/>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C8EE3DAA-B041-479B-9710-423DDCC6D334}"/>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BE9D78FC-4469-4279-A6AD-36D737C0D7FC}"/>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9C4FAE47-D4E8-4511-B43D-BCB172E0A64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69EBC5DA-DF92-4F79-A254-C368F5EB4256}"/>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E168C63A-5F9E-4A1B-A5CE-2F8E561CFE9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A906DA45-83EF-4101-AB62-1437157ADB41}"/>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D4F691ED-A926-446A-952D-9C4FFF2F9E33}"/>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CC8CD8C9-171D-4393-8819-D92D310DED7C}"/>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928EBD19-B410-4153-A0AF-73BFAF0F692D}"/>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B7E4FC6D-CFFB-41CC-B263-D3854DF59A1B}"/>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4D26A524-C61D-469D-A0FE-194A845710FB}"/>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E065AF62-289F-420E-848A-0957C8595F6C}"/>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35494942-1DEC-462B-9F41-81D49CBC4494}"/>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74E6CF64-D86A-4744-BBBA-BFC9A1A70A99}"/>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46B778E-7F16-4767-8CE4-F8384F459EC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CD4AAF8-FCE4-4089-B009-A9BAE056900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96E0153-AF44-41D7-AAA2-44DFBF774C3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2702E9D-8AB0-4DA8-8DDF-F8E1CB97ABED}"/>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9F4C5E9-335F-455F-A639-A8C7CD25AE2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B52C8FD-DCE5-41A0-8A39-CB74E5863D64}"/>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3DAE471-C1C3-4533-88D2-A18132473E48}"/>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CE17FC-5C5D-47E7-8355-4317388503A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F7C96FB6-6049-491F-974A-882F65DA4929}"/>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35D5DBAD-FB02-4328-AE1A-715826A1E324}"/>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7D7D2914-18BE-446B-BE59-31FBB28B0D54}"/>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38A65FC-9BAA-465D-A53B-1531EA3EB5EC}"/>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9E2E2A74-5B1E-4ABC-8B6F-3A57E0B8C35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BF701F65-9735-4E7E-BFF5-A7AA103A1C6B}"/>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DDDDEB9A-F7FF-46B6-AA9C-7F95B8A5D534}"/>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783AD381-3CEF-4A84-8026-1DCE9D2CC1F2}"/>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7CEA4D11-68E5-4371-A3E1-7D423CC7067A}"/>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D127B78B-924A-4A1B-8A9A-46C7B99B286A}"/>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6CAF5C63-05D0-4502-BF61-2F1240A0092F}"/>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96BBA5C-AA84-4857-972E-3D63C6268FBD}"/>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DE51C4D7-C45E-470E-90C1-6655C836B063}"/>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D763A252-6A7F-47ED-BE33-F4A2D586D3C4}"/>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333A6E77-11DA-49F4-8675-F58ADCEDF5C7}"/>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2C455FBD-A77F-41F4-A71B-004D76DB262F}"/>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EB1714B0-E494-4244-AFB1-05C9ADD48F1F}"/>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AC4DC790-F5C2-4D0F-AC5B-E6C7CE63936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FAF7A88-1DEC-4E12-A070-2869C3835E8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732C00B-C1FC-42FA-AC91-2A6EA23A35E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B420378-3E8B-4695-B848-AB2EF0DCC66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C4996484-D0E5-428F-AA1C-8F046AD7A5A7}"/>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B3A2A5E-99CA-4E0C-8C08-EFFBAD904D2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52CCA803-6CAC-44C8-B070-49ABFFDE3B32}"/>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3985C3ED-7A48-460F-A796-B9AA0FA90583}"/>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422E1A73-D0B5-4FBA-B865-B9A4366C8D38}"/>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3DE0A54A-0769-4F3A-B940-63445302B501}"/>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5D83D8F2-F5F8-4579-AB45-85F6CD7E587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5C208CDE-BDE0-402B-8E33-E2D3CF02556B}"/>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1A06993E-F4D0-4949-820C-D09CB65707B1}"/>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D210F3A2-17F6-4F6D-A5E4-F07344A9D81D}"/>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6831A1DC-F9D4-4F18-A72A-56924C3B7B74}"/>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A93A81AC-6592-4579-9311-5F76CF936C32}"/>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CE4CAF8B-D714-479B-8EA7-F200FF769DE8}"/>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26A7F046-AEF1-48A9-A8D0-0233B8266D43}"/>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6E664E9C-C909-4701-852D-B809CBF8B081}"/>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8D5E08B-A4DE-4CAE-BFA4-16D7E2BF2097}"/>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C71D4186-7B41-468A-A00B-7C473B74CDC3}"/>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7B539381-AA13-4EEC-8615-D0E01E892E24}"/>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3F3E010A-BAE1-473E-A790-37BBA3449A51}"/>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8C41C4E0-8F40-4E44-B5DB-694959C3D867}"/>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386FD158-6FD7-48B3-81D9-1C3F74ED30B1}"/>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436D3F1C-0D5F-48FC-A604-90FB0EFC6DD1}"/>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237A488F-8F8D-4BDD-8600-2D1364572AC9}"/>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23429;&#22320;&#36896;&#25104;&#20107;&#2698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19979;&#27700;&#36947;&#20107;&#26989;&#12539;&#29305;&#23450;&#29872;&#22659;&#20445;&#20840;&#20844;&#20849;&#19979;&#27700;&#36947;&#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19979;&#27700;&#36947;&#20107;&#26989;&#12539;&#23567;&#35215;&#27169;&#38598;&#21512;&#25490;&#27700;&#26045;&#3537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19979;&#27700;&#36947;&#20107;&#26989;&#12539;&#20844;&#20849;&#19979;&#27700;&#36947;&#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19979;&#27700;&#36947;&#20107;&#26989;&#12539;&#20491;&#21029;&#25490;&#27700;&#20966;&#29702;&#26045;&#35373;&#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19979;&#27700;&#36947;&#20107;&#26989;&#12539;&#28417;&#26989;&#38598;&#33853;&#25490;&#27700;&#26045;&#35373;&#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19979;&#27700;&#36947;&#20107;&#26989;&#12539;&#31777;&#26131;&#25490;&#27700;&#26045;&#35373;&#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12460;&#12473;&#20107;&#2698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27700;&#36947;&#20107;&#2698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35251;&#20809;&#26045;&#35373;&#20107;&#26989;&#12539;&#32034;&#3694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31777;&#26131;&#27700;&#36947;&#20107;&#2698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20171;&#35703;&#12469;&#12540;&#12499;&#12473;&#20107;&#26989;&#12539;&#32769;&#20154;&#30701;&#26399;&#20837;&#25152;&#26045;&#3537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20171;&#35703;&#12469;&#12540;&#12499;&#12473;&#20107;&#26989;&#12539;&#32769;&#20154;&#12487;&#12452;&#12469;&#12540;&#12499;&#12473;&#12475;&#12531;&#12479;&#12540;&#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20171;&#35703;&#12469;&#12540;&#12499;&#12473;&#20107;&#26989;&#12539;&#25351;&#23450;&#20171;&#35703;&#32769;&#20154;&#31119;&#31049;&#26045;&#3537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19979;&#27700;&#36947;&#20107;&#26989;&#12539;&#36786;&#26989;&#38598;&#33853;&#25490;&#27700;&#26045;&#35373;&#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09010\Desktop\&#12304;&#30001;&#21033;&#26412;&#33624;&#24066;&#12305;&#22320;&#26041;&#20844;&#21942;&#20225;&#26989;&#12398;&#25244;&#26412;&#30340;&#12394;&#25913;&#38761;&#31561;&#12398;&#21462;&#32068;&#29366;&#27841;&#35519;&#26619;&#65288;&#22238;&#31572;&#65289;\&#35519;&#26619;&#34920;&#65288;&#30001;&#21033;&#26412;&#33624;&#24066;&#12539;&#19979;&#27700;&#36947;&#20107;&#26989;&#12539;&#29305;&#23450;&#22320;&#22495;&#25490;&#27700;&#20966;&#29702;&#26045;&#3537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宅地造成事業</v>
          </cell>
          <cell r="W18" t="str">
            <v>その他造成</v>
          </cell>
          <cell r="BD18" t="str">
            <v>●</v>
          </cell>
        </row>
        <row r="20">
          <cell r="F20" t="str">
            <v>ー</v>
          </cell>
        </row>
        <row r="49">
          <cell r="R49" t="str">
            <v>●</v>
          </cell>
          <cell r="X49" t="str">
            <v>●</v>
          </cell>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t="str">
            <v>宅地造成事業後に建設が予定される集合住宅の全体スケジュールやコストなどを総合的に見直した結果、用地取得から造成、建設工事を民間事業者が直接実施することになり、市は役割を終え順調に進んでいることから、事業を廃止した。</v>
          </cell>
        </row>
        <row r="73">
          <cell r="G73" t="str">
            <v>●</v>
          </cell>
          <cell r="S73" t="str">
            <v>令和</v>
          </cell>
          <cell r="V73">
            <v>4</v>
          </cell>
        </row>
        <row r="74">
          <cell r="G74" t="str">
            <v xml:space="preserve"> </v>
          </cell>
          <cell r="V74">
            <v>3</v>
          </cell>
        </row>
        <row r="75">
          <cell r="V75">
            <v>31</v>
          </cell>
        </row>
        <row r="79">
          <cell r="O79" t="str">
            <v xml:space="preserve"> </v>
          </cell>
          <cell r="AG79" t="str">
            <v xml:space="preserve"> </v>
          </cell>
        </row>
        <row r="80">
          <cell r="O80" t="str">
            <v xml:space="preserve"> </v>
          </cell>
          <cell r="AG80" t="str">
            <v xml:space="preserve"> </v>
          </cell>
        </row>
        <row r="81">
          <cell r="O81" t="str">
            <v>●</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下水道事業</v>
          </cell>
          <cell r="W18" t="str">
            <v>特定環境保全公共下水道</v>
          </cell>
          <cell r="BD18" t="str">
            <v>×</v>
          </cell>
        </row>
        <row r="20">
          <cell r="F20" t="str">
            <v>ー</v>
          </cell>
        </row>
        <row r="49">
          <cell r="AA49" t="str">
            <v xml:space="preserve"> </v>
          </cell>
        </row>
        <row r="50">
          <cell r="X50" t="str">
            <v xml:space="preserve"> </v>
          </cell>
          <cell r="AD50" t="str">
            <v xml:space="preserve"> </v>
          </cell>
        </row>
        <row r="51">
          <cell r="R51" t="str">
            <v>●</v>
          </cell>
          <cell r="X51" t="str">
            <v xml:space="preserve"> </v>
          </cell>
          <cell r="AA51" t="str">
            <v>●</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7">
          <cell r="Y237" t="str">
            <v xml:space="preserve"> </v>
          </cell>
        </row>
        <row r="239">
          <cell r="Y239" t="str">
            <v xml:space="preserve"> </v>
          </cell>
        </row>
        <row r="240">
          <cell r="Y240"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75">
          <cell r="B275" t="str">
            <v>　処理施設を多く抱え維持管理費の縮減が課題となっており、特定環境公共下水道処理施設を廃止し、公共下水道処理施設に統合する計画で、令和６年度に工事を行うこととしている。処理施設数が減ることで維持管理費用が減少すると見込んでい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v>
          </cell>
        </row>
        <row r="316">
          <cell r="Y316" t="str">
            <v>●</v>
          </cell>
        </row>
        <row r="317">
          <cell r="Y317" t="str">
            <v xml:space="preserve"> </v>
          </cell>
        </row>
        <row r="319">
          <cell r="Y319" t="str">
            <v xml:space="preserve"> </v>
          </cell>
        </row>
        <row r="320">
          <cell r="Y320" t="str">
            <v xml:space="preserve"> </v>
          </cell>
        </row>
        <row r="321">
          <cell r="Y321" t="str">
            <v xml:space="preserve"> </v>
          </cell>
        </row>
        <row r="322">
          <cell r="Y322" t="str">
            <v>●</v>
          </cell>
        </row>
        <row r="323">
          <cell r="Y323" t="str">
            <v xml:space="preserve"> </v>
          </cell>
        </row>
        <row r="328">
          <cell r="N328" t="str">
            <v xml:space="preserve"> </v>
          </cell>
        </row>
        <row r="329">
          <cell r="N329" t="str">
            <v xml:space="preserve"> </v>
          </cell>
        </row>
        <row r="330">
          <cell r="N330" t="str">
            <v xml:space="preserve"> </v>
          </cell>
        </row>
        <row r="335">
          <cell r="B335" t="str">
            <v>令和</v>
          </cell>
          <cell r="E335">
            <v>7</v>
          </cell>
        </row>
        <row r="336">
          <cell r="E336">
            <v>4</v>
          </cell>
        </row>
        <row r="337">
          <cell r="E337">
            <v>1</v>
          </cell>
        </row>
        <row r="344">
          <cell r="E344">
            <v>21.9</v>
          </cell>
        </row>
        <row r="346">
          <cell r="B346" t="str">
            <v>①維持管理費　　　　　年▲8.8百万円
②維持管理委託料　　年▲13.1百万円</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下水道事業</v>
          </cell>
          <cell r="W18" t="str">
            <v>小規模集合排水施設</v>
          </cell>
          <cell r="BD18" t="str">
            <v>×</v>
          </cell>
        </row>
        <row r="20">
          <cell r="F20" t="str">
            <v>ー</v>
          </cell>
        </row>
        <row r="49">
          <cell r="AA49" t="str">
            <v xml:space="preserve"> </v>
          </cell>
        </row>
        <row r="50">
          <cell r="X50" t="str">
            <v xml:space="preserve"> </v>
          </cell>
          <cell r="AD50" t="str">
            <v xml:space="preserve"> </v>
          </cell>
        </row>
        <row r="51">
          <cell r="X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7">
          <cell r="Y317" t="str">
            <v xml:space="preserve"> </v>
          </cell>
        </row>
        <row r="319">
          <cell r="Y319" t="str">
            <v xml:space="preserve"> </v>
          </cell>
        </row>
        <row r="320">
          <cell r="Y320" t="str">
            <v xml:space="preserve"> </v>
          </cell>
        </row>
        <row r="321">
          <cell r="Y321" t="str">
            <v xml:space="preserve"> </v>
          </cell>
        </row>
        <row r="328">
          <cell r="N328" t="str">
            <v xml:space="preserve"> </v>
          </cell>
        </row>
        <row r="329">
          <cell r="N329" t="str">
            <v xml:space="preserve"> </v>
          </cell>
        </row>
        <row r="330">
          <cell r="N330"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令和2年4月1日より公営企業化し、また同年度中、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下水道事業</v>
          </cell>
          <cell r="W18" t="str">
            <v>公共下水道</v>
          </cell>
          <cell r="BD18" t="str">
            <v>×</v>
          </cell>
        </row>
        <row r="20">
          <cell r="F20" t="str">
            <v>ー</v>
          </cell>
        </row>
        <row r="49">
          <cell r="AA49" t="str">
            <v xml:space="preserve"> </v>
          </cell>
        </row>
        <row r="50">
          <cell r="X50" t="str">
            <v xml:space="preserve"> </v>
          </cell>
          <cell r="AD50" t="str">
            <v xml:space="preserve"> </v>
          </cell>
        </row>
        <row r="51">
          <cell r="R51" t="str">
            <v>●</v>
          </cell>
          <cell r="X51" t="str">
            <v xml:space="preserve"> </v>
          </cell>
          <cell r="AA51" t="str">
            <v>●</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75">
          <cell r="B275" t="str">
            <v>　処理施設を多く抱え維持管理費の縮減が課題となっており、農業集落排水処理施設を廃止し、公共下水道処理施設に統合を計画し工事を行っている。今後も統廃合を進める予定であり、処理施設数が減ることで維持管理費用が減少すると見込んでい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v>
          </cell>
        </row>
        <row r="316">
          <cell r="Y316" t="str">
            <v>●</v>
          </cell>
        </row>
        <row r="317">
          <cell r="Y317" t="str">
            <v xml:space="preserve"> </v>
          </cell>
        </row>
        <row r="319">
          <cell r="Y319" t="str">
            <v xml:space="preserve"> </v>
          </cell>
        </row>
        <row r="320">
          <cell r="Y320" t="str">
            <v xml:space="preserve"> </v>
          </cell>
        </row>
        <row r="321">
          <cell r="Y321" t="str">
            <v>●</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5">
          <cell r="B335" t="str">
            <v>令和</v>
          </cell>
          <cell r="E335">
            <v>4</v>
          </cell>
        </row>
        <row r="336">
          <cell r="E336">
            <v>4</v>
          </cell>
        </row>
        <row r="337">
          <cell r="E337">
            <v>1</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下水道事業</v>
          </cell>
          <cell r="W18" t="str">
            <v>個別排水処理施設</v>
          </cell>
          <cell r="BD18" t="str">
            <v>×</v>
          </cell>
        </row>
        <row r="20">
          <cell r="F20" t="str">
            <v>ー</v>
          </cell>
        </row>
        <row r="49">
          <cell r="AA49" t="str">
            <v xml:space="preserve"> </v>
          </cell>
        </row>
        <row r="50">
          <cell r="X50" t="str">
            <v xml:space="preserve"> </v>
          </cell>
          <cell r="AD50" t="str">
            <v xml:space="preserve"> </v>
          </cell>
        </row>
        <row r="51">
          <cell r="X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7">
          <cell r="Y317" t="str">
            <v xml:space="preserve"> </v>
          </cell>
        </row>
        <row r="319">
          <cell r="Y319" t="str">
            <v xml:space="preserve"> </v>
          </cell>
        </row>
        <row r="320">
          <cell r="Y320" t="str">
            <v xml:space="preserve"> </v>
          </cell>
        </row>
        <row r="321">
          <cell r="Y321" t="str">
            <v xml:space="preserve"> </v>
          </cell>
        </row>
        <row r="328">
          <cell r="N328" t="str">
            <v xml:space="preserve"> </v>
          </cell>
        </row>
        <row r="329">
          <cell r="N329" t="str">
            <v xml:space="preserve"> </v>
          </cell>
        </row>
        <row r="330">
          <cell r="N330"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令和2年4月1日より公営企業化し、同年度中に、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ell>
        </row>
      </sheetData>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下水道事業</v>
          </cell>
          <cell r="W18" t="str">
            <v>漁業集落排水施設</v>
          </cell>
          <cell r="BD18" t="str">
            <v>×</v>
          </cell>
        </row>
        <row r="20">
          <cell r="F20" t="str">
            <v>ー</v>
          </cell>
        </row>
        <row r="49">
          <cell r="AA49" t="str">
            <v xml:space="preserve"> </v>
          </cell>
        </row>
        <row r="50">
          <cell r="X50" t="str">
            <v xml:space="preserve"> </v>
          </cell>
          <cell r="AD50" t="str">
            <v xml:space="preserve"> </v>
          </cell>
        </row>
        <row r="51">
          <cell r="R51" t="str">
            <v>●</v>
          </cell>
          <cell r="X51" t="str">
            <v xml:space="preserve"> </v>
          </cell>
          <cell r="AA51" t="str">
            <v>●</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75">
          <cell r="B275" t="str">
            <v>　処理施設を多く抱え維持管理費の縮減が課題となっており、漁業集落排水処理施設を廃止し、農業集落排水処理施設に統合する計画で、令和１３年度に工事を行うこととしている。処理施設数が減ることで維持管理費用が減少すると見込んでい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v>
          </cell>
        </row>
        <row r="316">
          <cell r="Y316" t="str">
            <v>●</v>
          </cell>
        </row>
        <row r="317">
          <cell r="Y317" t="str">
            <v xml:space="preserve"> </v>
          </cell>
        </row>
        <row r="319">
          <cell r="Y319" t="str">
            <v xml:space="preserve"> </v>
          </cell>
        </row>
        <row r="320">
          <cell r="Y320" t="str">
            <v xml:space="preserve"> </v>
          </cell>
        </row>
        <row r="321">
          <cell r="Y321" t="str">
            <v xml:space="preserve"> </v>
          </cell>
        </row>
        <row r="323">
          <cell r="Y323" t="str">
            <v>●</v>
          </cell>
        </row>
        <row r="328">
          <cell r="N328" t="str">
            <v xml:space="preserve"> </v>
          </cell>
        </row>
        <row r="329">
          <cell r="N329" t="str">
            <v xml:space="preserve"> </v>
          </cell>
        </row>
        <row r="330">
          <cell r="N330" t="str">
            <v xml:space="preserve"> </v>
          </cell>
        </row>
        <row r="335">
          <cell r="B335" t="str">
            <v>令和</v>
          </cell>
          <cell r="E335">
            <v>14</v>
          </cell>
        </row>
        <row r="336">
          <cell r="E336">
            <v>4</v>
          </cell>
        </row>
        <row r="337">
          <cell r="E337">
            <v>1</v>
          </cell>
        </row>
        <row r="344">
          <cell r="E344">
            <v>5.3</v>
          </cell>
        </row>
        <row r="346">
          <cell r="B346" t="str">
            <v>①維持管理費　　　　　年▲2.5百万円
②維持管理委託料　　年▲2.8百万円</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下水道事業</v>
          </cell>
          <cell r="W18" t="str">
            <v>簡易排水施設</v>
          </cell>
          <cell r="BD18" t="str">
            <v>×</v>
          </cell>
        </row>
        <row r="20">
          <cell r="F20" t="str">
            <v>ー</v>
          </cell>
        </row>
        <row r="49">
          <cell r="AA49" t="str">
            <v xml:space="preserve"> </v>
          </cell>
        </row>
        <row r="50">
          <cell r="X50" t="str">
            <v xml:space="preserve"> </v>
          </cell>
          <cell r="AD50" t="str">
            <v xml:space="preserve"> </v>
          </cell>
        </row>
        <row r="51">
          <cell r="X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7">
          <cell r="Y317" t="str">
            <v xml:space="preserve"> </v>
          </cell>
        </row>
        <row r="319">
          <cell r="Y319" t="str">
            <v xml:space="preserve"> </v>
          </cell>
        </row>
        <row r="320">
          <cell r="Y320" t="str">
            <v xml:space="preserve"> </v>
          </cell>
        </row>
        <row r="321">
          <cell r="Y321" t="str">
            <v xml:space="preserve"> </v>
          </cell>
        </row>
        <row r="328">
          <cell r="N328" t="str">
            <v xml:space="preserve"> </v>
          </cell>
        </row>
        <row r="329">
          <cell r="N329" t="str">
            <v xml:space="preserve"> </v>
          </cell>
        </row>
        <row r="330">
          <cell r="N330"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令和2年4月1日より公営企業化し、また同年度中、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ガス事業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現在のところ、民営化する予定はないため、現行の体制を維持することが望ましいと考える。
ガス小売全面自由化により当市供給区域内に参入する小売り事業者の予定は今のところないが、今後参入の動きがあった場合、価格競争に対抗できるような料金設定を検討していかなければならない。</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水道事業</v>
          </cell>
          <cell r="W18" t="str">
            <v>―</v>
          </cell>
          <cell r="BD18" t="str">
            <v>×</v>
          </cell>
        </row>
        <row r="20">
          <cell r="F20" t="str">
            <v>ー</v>
          </cell>
        </row>
        <row r="49">
          <cell r="R49" t="str">
            <v xml:space="preserve"> </v>
          </cell>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4">
          <cell r="G74" t="str">
            <v xml:space="preserve"> </v>
          </cell>
        </row>
        <row r="79">
          <cell r="O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当市水道事業は平成１７年３月に本荘、矢島、西目、鳥海の４地域の上水道を経営統合する形で創設され、平成１８年３月に由利地区簡易水道事業を譲り受けました。さらに、平成２９年３月には由利本荘市簡易水道事業の全部を譲り受ける事業統合をおこない現在に至っています。創設後は平成１７年度より黒字経営を続けており、現在累積欠損金はありません。
　今後はまず、給水人口が減少する中で料金改定を踏まえた料金収入の確保を行うとともに、施設・設備の廃止・統合を含めた効率的な施設の維持管理、その他経常費用の見直し等により経営の健全化を図っていきたいと考えております。
　</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観光施設事業</v>
          </cell>
          <cell r="W18" t="str">
            <v>索道</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xml:space="preserve">  市ではスキー場運営について、令和２年度からの指定管理者制度への移行を目指し、令和元年度中に公募を行ったが応募がなかった。このため、説明会に参加された事業者に対し、応募できなかった理由等について聞き取りを行ったところ、「季節営業故に従業員や有資格者など人材確保が困難であることや、天候に著しく左右される事業であることなどを考慮し、事業展開は難しいと判断した。」との内容であった。その後、公募要件の見直しによる再公募を検討したものの、経費が膨れあがり、市としては財政的なメリットが皆無になることが判明したため、再公募を断念し今後も直営で継続することと判断したものである。（現在のスキー場運営は、安全統括管理者を市職員が兼務し、その他従業員を会計年度任用職員とするなど、最少の経費で運営しているため。）
  なお、スキー場を取り巻く環境は、県内人口の減少や少子高齢化による来場者数の減少のほか、設備の更新・改修費用の捻出など、非常に厳しいものがあるが、本市唯一の本格スキー場としてその役割は大きいため、当面は住民ニーズの把握や事業効果の検証を通し、適切な設備投資と効率的な運営を念頭に直営で経営していくものである。</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簡易水道事業</v>
          </cell>
          <cell r="W18" t="str">
            <v>―</v>
          </cell>
          <cell r="BD18" t="str">
            <v>×</v>
          </cell>
        </row>
        <row r="20">
          <cell r="F20" t="str">
            <v>ー</v>
          </cell>
        </row>
        <row r="49">
          <cell r="R49" t="str">
            <v>●</v>
          </cell>
          <cell r="X49" t="str">
            <v>●</v>
          </cell>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t="str">
            <v>　平成２９年３月に由利本荘市上水道事業への事業統合をおこないました。
　これにより、経営成績（毎年度の利益・損失等フロー情報）・財政状態（資産・負債等ストック情報）の的確な把握が可能となりました。</v>
          </cell>
        </row>
        <row r="73">
          <cell r="G73" t="str">
            <v>●</v>
          </cell>
          <cell r="S73" t="str">
            <v>平成</v>
          </cell>
          <cell r="V73">
            <v>29</v>
          </cell>
        </row>
        <row r="74">
          <cell r="G74" t="str">
            <v xml:space="preserve"> </v>
          </cell>
          <cell r="V74">
            <v>3</v>
          </cell>
        </row>
        <row r="75">
          <cell r="V75">
            <v>31</v>
          </cell>
        </row>
        <row r="79">
          <cell r="O79" t="str">
            <v xml:space="preserve"> </v>
          </cell>
          <cell r="AG79" t="str">
            <v>●</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当市水道事業は平成１７年３月に本荘、矢島、西目、鳥海の４地域の上水道を経営統合する形で創設され、平成１８年３月に由利地区簡易水道事業を譲り受けました。さらに、平成２９年３月には由利本荘市簡易水道事業の全部を譲り受ける事業統合をおこない現在に至っています。創設後は平成１７年度より黒字経営を続けており、現在累積欠損金はありません。
　今後はまず、給水人口が減少する中で料金改定を踏まえた料金収入の確保を行うとともに、施設・設備の廃止・統合を含めた効率的な施設の維持管理、その他経常費用の見直し等により経営の健全化を図っていきたいと考えております。
　</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介護サービス事業</v>
          </cell>
          <cell r="W18" t="str">
            <v>老人短期入所施設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R52" t="str">
            <v>●</v>
          </cell>
          <cell r="X52" t="str">
            <v>●</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1">
          <cell r="B371" t="str">
            <v>市組織のスリム化や財政基盤の確立と共に住民サービスを充実させることを目的とし、行政改革大綱を定めている。
特別養護老人ホーム「鳥寿苑」は、Ｈ28.4.1に指定管理を開始。（Ｈ37年度末まで10年間）
特別養護老人ホーム「東光苑」は、Ｈ29.4.1から指定管理を開始。（Ｈ37年度末まで9年間）</v>
          </cell>
        </row>
        <row r="377">
          <cell r="G377" t="str">
            <v xml:space="preserve"> </v>
          </cell>
          <cell r="X377">
            <v>28</v>
          </cell>
        </row>
        <row r="378">
          <cell r="G378" t="str">
            <v>●</v>
          </cell>
          <cell r="X378">
            <v>4</v>
          </cell>
        </row>
        <row r="379">
          <cell r="X379">
            <v>1</v>
          </cell>
        </row>
        <row r="386">
          <cell r="E386">
            <v>114</v>
          </cell>
        </row>
        <row r="388">
          <cell r="B388" t="str">
            <v>・人件費　　　年▲100
・維持管理費　年▲14
　　計　　　　　年▲114</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介護サービス事業</v>
          </cell>
          <cell r="W18" t="str">
            <v>老人デイサービスセンター</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R52" t="str">
            <v>●</v>
          </cell>
          <cell r="X52" t="str">
            <v>●</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1">
          <cell r="B371" t="str">
            <v>市組織のスリム化や財政基盤の確立と共に住民サービスを充実させることを目的とし、行政改革大綱を定めている。
特別養護老人ホーム「鳥寿苑」は、Ｈ28.4.1に指定管理を開始。（Ｈ37年度末まで10年間）
特別養護老人ホーム「東光苑」は、Ｈ29.4.1から指定管理を開始。（Ｈ37年度末まで9年間）</v>
          </cell>
        </row>
        <row r="377">
          <cell r="G377" t="str">
            <v xml:space="preserve"> </v>
          </cell>
          <cell r="X377">
            <v>28</v>
          </cell>
        </row>
        <row r="378">
          <cell r="G378" t="str">
            <v>●</v>
          </cell>
          <cell r="X378">
            <v>4</v>
          </cell>
        </row>
        <row r="379">
          <cell r="X379">
            <v>1</v>
          </cell>
        </row>
        <row r="386">
          <cell r="E386">
            <v>93</v>
          </cell>
        </row>
        <row r="388">
          <cell r="B388" t="str">
            <v>・人件費　　　　年▲81
・維持管理費　年▲12
　　　計　　　　　年▲93</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介護サービス事業</v>
          </cell>
          <cell r="W18" t="str">
            <v>指定介護老人福祉施設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R52" t="str">
            <v>●</v>
          </cell>
          <cell r="X52" t="str">
            <v>●</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1">
          <cell r="B371" t="str">
            <v>市組織のスリム化や財政基盤の確立と共に住民サービスを充実させることを目的とし、行政改革大綱を定めている。
特別養護老人ホーム「鳥寿苑」は、Ｈ28.4.1に指定管理を開始。（Ｈ37年度末まで10年間）
特別養護老人ホーム「東光苑」は、Ｈ29.4.1から指定管理を開始。（Ｈ37年度末まで9年間）</v>
          </cell>
        </row>
        <row r="377">
          <cell r="G377" t="str">
            <v xml:space="preserve"> </v>
          </cell>
          <cell r="X377">
            <v>28</v>
          </cell>
        </row>
        <row r="378">
          <cell r="G378" t="str">
            <v>●</v>
          </cell>
          <cell r="X378">
            <v>4</v>
          </cell>
        </row>
        <row r="379">
          <cell r="X379">
            <v>1</v>
          </cell>
        </row>
        <row r="386">
          <cell r="E386">
            <v>251</v>
          </cell>
        </row>
        <row r="388">
          <cell r="B388" t="str">
            <v>・人件費　　　年▲218
・維持管理費　年▲33
　　計　　　　　年▲251</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下水道事業</v>
          </cell>
          <cell r="W18" t="str">
            <v>農業集落排水施設</v>
          </cell>
          <cell r="BD18" t="str">
            <v>×</v>
          </cell>
        </row>
        <row r="20">
          <cell r="F20" t="str">
            <v>ー</v>
          </cell>
        </row>
        <row r="49">
          <cell r="AA49" t="str">
            <v xml:space="preserve"> </v>
          </cell>
        </row>
        <row r="50">
          <cell r="X50" t="str">
            <v xml:space="preserve"> </v>
          </cell>
          <cell r="AD50" t="str">
            <v xml:space="preserve"> </v>
          </cell>
        </row>
        <row r="51">
          <cell r="R51" t="str">
            <v>●</v>
          </cell>
          <cell r="X51" t="str">
            <v>●</v>
          </cell>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197">
          <cell r="B197" t="str">
            <v>　処理施設を多く抱え維持管理費の縮減が課題となっており、農業集落排水処理施設を廃止し、公共下水道処理施設等に統合する計画である。処理施設数が減ることで維持管理費用が減少すると見込んでいる。</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v>
          </cell>
        </row>
        <row r="236">
          <cell r="Y236" t="str">
            <v>●</v>
          </cell>
        </row>
        <row r="237">
          <cell r="Y237" t="str">
            <v xml:space="preserve"> </v>
          </cell>
        </row>
        <row r="239">
          <cell r="Y239" t="str">
            <v xml:space="preserve"> </v>
          </cell>
        </row>
        <row r="240">
          <cell r="Y240" t="str">
            <v xml:space="preserve"> </v>
          </cell>
        </row>
        <row r="241">
          <cell r="Y241" t="str">
            <v>●</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6">
          <cell r="B256" t="str">
            <v>平成</v>
          </cell>
          <cell r="E256">
            <v>23</v>
          </cell>
        </row>
        <row r="257">
          <cell r="E257">
            <v>4</v>
          </cell>
        </row>
        <row r="258">
          <cell r="E258">
            <v>1</v>
          </cell>
        </row>
        <row r="265">
          <cell r="E265">
            <v>9.6999999999999993</v>
          </cell>
        </row>
        <row r="267">
          <cell r="B267" t="str">
            <v>①維持管理費　　　　　年▲4.4百万円
②維持管理委託料　　年▲5.3百万円</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7">
          <cell r="Y317" t="str">
            <v xml:space="preserve"> </v>
          </cell>
        </row>
        <row r="319">
          <cell r="Y319" t="str">
            <v xml:space="preserve"> </v>
          </cell>
        </row>
        <row r="320">
          <cell r="Y320" t="str">
            <v xml:space="preserve"> </v>
          </cell>
        </row>
        <row r="321">
          <cell r="Y321" t="str">
            <v xml:space="preserve"> </v>
          </cell>
        </row>
        <row r="323">
          <cell r="Y323" t="str">
            <v xml:space="preserve"> </v>
          </cell>
        </row>
        <row r="328">
          <cell r="N328" t="str">
            <v xml:space="preserve"> </v>
          </cell>
        </row>
        <row r="329">
          <cell r="N329" t="str">
            <v xml:space="preserve"> </v>
          </cell>
        </row>
        <row r="330">
          <cell r="N330" t="str">
            <v xml:space="preserve"> </v>
          </cell>
        </row>
        <row r="346">
          <cell r="B346">
            <v>1</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由利本荘市</v>
          </cell>
        </row>
        <row r="18">
          <cell r="F18" t="str">
            <v>下水道事業</v>
          </cell>
          <cell r="W18" t="str">
            <v>特定地域排水処理施設</v>
          </cell>
          <cell r="BD18" t="str">
            <v>×</v>
          </cell>
        </row>
        <row r="20">
          <cell r="F20" t="str">
            <v>ー</v>
          </cell>
        </row>
        <row r="49">
          <cell r="AA49" t="str">
            <v xml:space="preserve"> </v>
          </cell>
        </row>
        <row r="50">
          <cell r="X50" t="str">
            <v xml:space="preserve"> </v>
          </cell>
          <cell r="AD50" t="str">
            <v xml:space="preserve"> </v>
          </cell>
        </row>
        <row r="51">
          <cell r="X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7">
          <cell r="Y317" t="str">
            <v xml:space="preserve"> </v>
          </cell>
        </row>
        <row r="319">
          <cell r="Y319" t="str">
            <v xml:space="preserve"> </v>
          </cell>
        </row>
        <row r="320">
          <cell r="Y320" t="str">
            <v xml:space="preserve"> </v>
          </cell>
        </row>
        <row r="321">
          <cell r="Y321" t="str">
            <v xml:space="preserve"> </v>
          </cell>
        </row>
        <row r="328">
          <cell r="N328" t="str">
            <v xml:space="preserve"> </v>
          </cell>
        </row>
        <row r="329">
          <cell r="N329" t="str">
            <v xml:space="preserve"> </v>
          </cell>
        </row>
        <row r="330">
          <cell r="N330"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令和2年4月1日より公営企業化し、同年度中に、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2827-AE5E-42B8-ADB5-2FB253FA14DB}">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IF(COUNTIF([1]回答表!K16,"*")&gt;0,[1]回答表!K16,"")</f>
        <v>由利本荘市</v>
      </c>
      <c r="D11" s="8"/>
      <c r="E11" s="8"/>
      <c r="F11" s="8"/>
      <c r="G11" s="8"/>
      <c r="H11" s="8"/>
      <c r="I11" s="8"/>
      <c r="J11" s="8"/>
      <c r="K11" s="8"/>
      <c r="L11" s="8"/>
      <c r="M11" s="8"/>
      <c r="N11" s="8"/>
      <c r="O11" s="8"/>
      <c r="P11" s="8"/>
      <c r="Q11" s="8"/>
      <c r="R11" s="8"/>
      <c r="S11" s="8"/>
      <c r="T11" s="8"/>
      <c r="U11" s="22" t="str">
        <f>IF(COUNTIF([1]回答表!F18,"*")&gt;0,[1]回答表!F18,"")</f>
        <v>宅地造成事業</v>
      </c>
      <c r="V11" s="23"/>
      <c r="W11" s="23"/>
      <c r="X11" s="23"/>
      <c r="Y11" s="23"/>
      <c r="Z11" s="23"/>
      <c r="AA11" s="23"/>
      <c r="AB11" s="23"/>
      <c r="AC11" s="23"/>
      <c r="AD11" s="23"/>
      <c r="AE11" s="23"/>
      <c r="AF11" s="10"/>
      <c r="AG11" s="10"/>
      <c r="AH11" s="10"/>
      <c r="AI11" s="10"/>
      <c r="AJ11" s="10"/>
      <c r="AK11" s="10"/>
      <c r="AL11" s="10"/>
      <c r="AM11" s="10"/>
      <c r="AN11" s="11"/>
      <c r="AO11" s="24" t="str">
        <f>IF(COUNTIF([1]回答表!W18,"*")&gt;0,[1]回答表!W18,"")</f>
        <v>その他造成</v>
      </c>
      <c r="AP11" s="10"/>
      <c r="AQ11" s="10"/>
      <c r="AR11" s="10"/>
      <c r="AS11" s="10"/>
      <c r="AT11" s="10"/>
      <c r="AU11" s="10"/>
      <c r="AV11" s="10"/>
      <c r="AW11" s="10"/>
      <c r="AX11" s="10"/>
      <c r="AY11" s="10"/>
      <c r="AZ11" s="10"/>
      <c r="BA11" s="10"/>
      <c r="BB11" s="10"/>
      <c r="BC11" s="10"/>
      <c r="BD11" s="10"/>
      <c r="BE11" s="10"/>
      <c r="BF11" s="11"/>
      <c r="BG11" s="21" t="str">
        <f>IF(COUNTIF([1]回答表!F20,"*")&gt;0,[1]回答表!F20,"")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IF([1]回答表!R49="●","●","")</f>
        <v>●</v>
      </c>
      <c r="E24" s="80"/>
      <c r="F24" s="80"/>
      <c r="G24" s="80"/>
      <c r="H24" s="80"/>
      <c r="I24" s="80"/>
      <c r="J24" s="81"/>
      <c r="K24" s="79" t="str">
        <f>IF([1]回答表!R50="●","●","")</f>
        <v/>
      </c>
      <c r="L24" s="80"/>
      <c r="M24" s="80"/>
      <c r="N24" s="80"/>
      <c r="O24" s="80"/>
      <c r="P24" s="80"/>
      <c r="Q24" s="81"/>
      <c r="R24" s="79" t="str">
        <f>IF([1]回答表!R51="●","●","")</f>
        <v/>
      </c>
      <c r="S24" s="80"/>
      <c r="T24" s="80"/>
      <c r="U24" s="80"/>
      <c r="V24" s="80"/>
      <c r="W24" s="80"/>
      <c r="X24" s="81"/>
      <c r="Y24" s="79" t="str">
        <f>IF([1]回答表!R52="●","●","")</f>
        <v/>
      </c>
      <c r="Z24" s="80"/>
      <c r="AA24" s="80"/>
      <c r="AB24" s="80"/>
      <c r="AC24" s="80"/>
      <c r="AD24" s="80"/>
      <c r="AE24" s="81"/>
      <c r="AF24" s="79" t="str">
        <f>IF([1]回答表!R53="●","●","")</f>
        <v/>
      </c>
      <c r="AG24" s="80"/>
      <c r="AH24" s="80"/>
      <c r="AI24" s="80"/>
      <c r="AJ24" s="80"/>
      <c r="AK24" s="80"/>
      <c r="AL24" s="81"/>
      <c r="AM24" s="79" t="str">
        <f>IF([1]回答表!R54="●","●","")</f>
        <v/>
      </c>
      <c r="AN24" s="80"/>
      <c r="AO24" s="80"/>
      <c r="AP24" s="80"/>
      <c r="AQ24" s="80"/>
      <c r="AR24" s="80"/>
      <c r="AS24" s="81"/>
      <c r="AT24" s="79" t="str">
        <f>IF([1]回答表!R55="●","●","")</f>
        <v/>
      </c>
      <c r="AU24" s="80"/>
      <c r="AV24" s="80"/>
      <c r="AW24" s="80"/>
      <c r="AX24" s="80"/>
      <c r="AY24" s="80"/>
      <c r="AZ24" s="81"/>
      <c r="BA24" s="68"/>
      <c r="BB24" s="82" t="str">
        <f>IF([1]回答表!R56="●","●","")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IF([1]回答表!X49="●","●","")</f>
        <v>●</v>
      </c>
      <c r="O36" s="131"/>
      <c r="P36" s="131"/>
      <c r="Q36" s="132"/>
      <c r="R36" s="119"/>
      <c r="S36" s="119"/>
      <c r="T36" s="119"/>
      <c r="U36" s="133" t="str">
        <f>IF([1]回答表!X49="●",[1]回答表!B67,IF([1]回答表!AA49="●",[1]回答表!B95,""))</f>
        <v>宅地造成事業後に建設が予定される集合住宅の全体スケジュールやコストなどを総合的に見直した結果、用地取得から造成、建設工事を民間事業者が直接実施することになり、市は役割を終え順調に進んでいることから、事業を廃止した。</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IF([1]回答表!X49="●",[1]回答表!S73,IF([1]回答表!AA49="●",[1]回答表!S101,""))</f>
        <v>令和</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IF([1]回答表!X49="●",[1]回答表!G73,IF([1]回答表!AA49="●",[1]回答表!G101,""))</f>
        <v>●</v>
      </c>
      <c r="AN38" s="83"/>
      <c r="AO38" s="83"/>
      <c r="AP38" s="83"/>
      <c r="AQ38" s="83"/>
      <c r="AR38" s="83"/>
      <c r="AS38" s="83"/>
      <c r="AT38" s="153"/>
      <c r="AU38" s="82" t="str">
        <f>IF([1]回答表!X49="●",[1]回答表!G74,IF([1]回答表!AA49="●",[1]回答表!G102,""))</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IF([1]回答表!X49="●",[1]回答表!V73,IF([1]回答表!AA49="●",[1]回答表!V101,""))</f>
        <v>4</v>
      </c>
      <c r="BG39" s="16"/>
      <c r="BH39" s="16"/>
      <c r="BI39" s="17"/>
      <c r="BJ39" s="150">
        <f>IF([1]回答表!X49="●",[1]回答表!V74,IF([1]回答表!AA49="●",[1]回答表!V102,""))</f>
        <v>3</v>
      </c>
      <c r="BK39" s="16"/>
      <c r="BL39" s="16"/>
      <c r="BM39" s="17"/>
      <c r="BN39" s="150">
        <f>IF([1]回答表!X49="●",[1]回答表!V75,IF([1]回答表!AA49="●",[1]回答表!V103,""))</f>
        <v>31</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IF([1]回答表!X49="●",[1]回答表!O79,IF([1]回答表!AA49="●",[1]回答表!O107,""))</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IF([1]回答表!X49="●",[1]回答表!O80,IF([1]回答表!AA49="●",[1]回答表!O108,""))</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IF([1]回答表!X49="●",[1]回答表!O81,IF([1]回答表!AA49="●",[1]回答表!O109,""))</f>
        <v>●</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IF([1]回答表!X49="●",[1]回答表!O82,IF([1]回答表!AA49="●",[1]回答表!O110,""))</f>
        <v xml:space="preserve">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IF([1]回答表!X49="●",[1]回答表!AG79,IF([1]回答表!AA49="●",[1]回答表!AG107,""))</f>
        <v xml:space="preserve">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IF([1]回答表!X49="●",[1]回答表!AG80,IF([1]回答表!AA49="●",[1]回答表!AG108,""))</f>
        <v xml:space="preserve">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f>IF([1]回答表!X49="●",[1]回答表!E85,IF([1]回答表!AA49="●",[1]回答表!E113,""))</f>
        <v>0</v>
      </c>
      <c r="V50" s="182"/>
      <c r="W50" s="182"/>
      <c r="X50" s="182"/>
      <c r="Y50" s="182"/>
      <c r="Z50" s="182"/>
      <c r="AA50" s="182"/>
      <c r="AB50" s="182"/>
      <c r="AC50" s="182"/>
      <c r="AD50" s="182"/>
      <c r="AE50" s="183" t="s">
        <v>33</v>
      </c>
      <c r="AF50" s="183"/>
      <c r="AG50" s="183"/>
      <c r="AH50" s="183"/>
      <c r="AI50" s="183"/>
      <c r="AJ50" s="184"/>
      <c r="AK50" s="136"/>
      <c r="AL50" s="136"/>
      <c r="AM50" s="133">
        <f>IF([1]回答表!X49="●",[1]回答表!B87,IF([1]回答表!AA49="●",[1]回答表!B115,""))</f>
        <v>0</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IF([1]回答表!AD49="●","●","")</f>
        <v/>
      </c>
      <c r="O57" s="131"/>
      <c r="P57" s="131"/>
      <c r="Q57" s="132"/>
      <c r="R57" s="119"/>
      <c r="S57" s="119"/>
      <c r="T57" s="119"/>
      <c r="U57" s="133" t="str">
        <f>IF([1]回答表!AD49="●",[1]回答表!B123,"")</f>
        <v/>
      </c>
      <c r="V57" s="134"/>
      <c r="W57" s="134"/>
      <c r="X57" s="134"/>
      <c r="Y57" s="134"/>
      <c r="Z57" s="134"/>
      <c r="AA57" s="134"/>
      <c r="AB57" s="134"/>
      <c r="AC57" s="134"/>
      <c r="AD57" s="134"/>
      <c r="AE57" s="134"/>
      <c r="AF57" s="134"/>
      <c r="AG57" s="134"/>
      <c r="AH57" s="134"/>
      <c r="AI57" s="134"/>
      <c r="AJ57" s="135"/>
      <c r="AK57" s="189"/>
      <c r="AL57" s="189"/>
      <c r="AM57" s="133" t="str">
        <f>IF([1]回答表!AD49="●",[1]回答表!B128,"")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IF([1]回答表!X50="●","●","")</f>
        <v/>
      </c>
      <c r="O68" s="131"/>
      <c r="P68" s="131"/>
      <c r="Q68" s="132"/>
      <c r="R68" s="119"/>
      <c r="S68" s="119"/>
      <c r="T68" s="119"/>
      <c r="U68" s="133" t="str">
        <f>IF([1]回答表!X50="●",[1]回答表!B138,IF([1]回答表!AA50="●",[1]回答表!B159,""))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IF([1]回答表!X50="●",[1]回答表!S144,IF([1]回答表!AA50="●",[1]回答表!S165,""))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IF([1]回答表!X50="●",[1]回答表!J144,IF([1]回答表!AA50="●",[1]回答表!J165,""))</f>
        <v/>
      </c>
      <c r="AN71" s="83"/>
      <c r="AO71" s="83"/>
      <c r="AP71" s="83"/>
      <c r="AQ71" s="83"/>
      <c r="AR71" s="83"/>
      <c r="AS71" s="83"/>
      <c r="AT71" s="153"/>
      <c r="AU71" s="82" t="str">
        <f>IF([1]回答表!X50="●",[1]回答表!J145,IF([1]回答表!AA50="●",[1]回答表!J166,""))</f>
        <v/>
      </c>
      <c r="AV71" s="83"/>
      <c r="AW71" s="83"/>
      <c r="AX71" s="83"/>
      <c r="AY71" s="83"/>
      <c r="AZ71" s="83"/>
      <c r="BA71" s="83"/>
      <c r="BB71" s="153"/>
      <c r="BC71" s="120"/>
      <c r="BD71" s="109"/>
      <c r="BE71" s="109"/>
      <c r="BF71" s="150" t="str">
        <f>IF([1]回答表!X50="●",[1]回答表!V144,IF([1]回答表!AA50="●",[1]回答表!V165,""))</f>
        <v/>
      </c>
      <c r="BG71" s="151"/>
      <c r="BH71" s="151"/>
      <c r="BI71" s="151"/>
      <c r="BJ71" s="150" t="str">
        <f>IF([1]回答表!X50="●",[1]回答表!V145,IF([1]回答表!AA50="●",[1]回答表!V166,""))</f>
        <v/>
      </c>
      <c r="BK71" s="151"/>
      <c r="BL71" s="151"/>
      <c r="BM71" s="151"/>
      <c r="BN71" s="150" t="str">
        <f>IF([1]回答表!X50="●",[1]回答表!V146,IF([1]回答表!AA50="●",[1]回答表!V167,""))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IF([1]回答表!X50="●",[1]回答表!E149,IF([1]回答表!AA50="●",[1]回答表!E170,""))</f>
        <v/>
      </c>
      <c r="V80" s="182"/>
      <c r="W80" s="182"/>
      <c r="X80" s="182"/>
      <c r="Y80" s="182"/>
      <c r="Z80" s="182"/>
      <c r="AA80" s="182"/>
      <c r="AB80" s="182"/>
      <c r="AC80" s="182"/>
      <c r="AD80" s="182"/>
      <c r="AE80" s="183" t="s">
        <v>33</v>
      </c>
      <c r="AF80" s="183"/>
      <c r="AG80" s="183"/>
      <c r="AH80" s="183"/>
      <c r="AI80" s="183"/>
      <c r="AJ80" s="184"/>
      <c r="AK80" s="136"/>
      <c r="AL80" s="136"/>
      <c r="AM80" s="133" t="str">
        <f>IF([1]回答表!X50="●",[1]回答表!B151,IF([1]回答表!AA50="●",[1]回答表!B172,""))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IF([1]回答表!AD50="●","●","")</f>
        <v/>
      </c>
      <c r="O87" s="131"/>
      <c r="P87" s="131"/>
      <c r="Q87" s="132"/>
      <c r="R87" s="119"/>
      <c r="S87" s="119"/>
      <c r="T87" s="119"/>
      <c r="U87" s="133" t="str">
        <f>IF([1]回答表!AD50="●",[1]回答表!B180,"")</f>
        <v/>
      </c>
      <c r="V87" s="134"/>
      <c r="W87" s="134"/>
      <c r="X87" s="134"/>
      <c r="Y87" s="134"/>
      <c r="Z87" s="134"/>
      <c r="AA87" s="134"/>
      <c r="AB87" s="134"/>
      <c r="AC87" s="134"/>
      <c r="AD87" s="134"/>
      <c r="AE87" s="134"/>
      <c r="AF87" s="134"/>
      <c r="AG87" s="134"/>
      <c r="AH87" s="134"/>
      <c r="AI87" s="134"/>
      <c r="AJ87" s="135"/>
      <c r="AK87" s="189"/>
      <c r="AL87" s="189"/>
      <c r="AM87" s="133" t="str">
        <f>IF([1]回答表!AD50="●",[1]回答表!B186,"")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IF([1]回答表!F18="水道事業",IF([1]回答表!X51="●","●",""),"")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IF([1]回答表!F18="水道事業",IF([1]回答表!X51="●",[1]回答表!B197,IF([1]回答表!AA51="●",[1]回答表!B275,"")),"")</f>
        <v/>
      </c>
      <c r="AN99" s="134"/>
      <c r="AO99" s="134"/>
      <c r="AP99" s="134"/>
      <c r="AQ99" s="134"/>
      <c r="AR99" s="134"/>
      <c r="AS99" s="134"/>
      <c r="AT99" s="134"/>
      <c r="AU99" s="134"/>
      <c r="AV99" s="134"/>
      <c r="AW99" s="134"/>
      <c r="AX99" s="134"/>
      <c r="AY99" s="134"/>
      <c r="AZ99" s="134"/>
      <c r="BA99" s="134"/>
      <c r="BB99" s="134"/>
      <c r="BC99" s="135"/>
      <c r="BD99" s="109"/>
      <c r="BE99" s="109"/>
      <c r="BF99" s="138" t="str">
        <f>IF([1]回答表!F18="水道事業",IF([1]回答表!X51="●",[1]回答表!B256,IF([1]回答表!AA51="●",[1]回答表!B335,"")),"")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IF([1]回答表!F18="水道事業",IF([1]回答表!X51="●",[1]回答表!J205,IF([1]回答表!AA51="●",[1]回答表!J283,"")),"")</f>
        <v/>
      </c>
      <c r="V101" s="83"/>
      <c r="W101" s="83"/>
      <c r="X101" s="83"/>
      <c r="Y101" s="83"/>
      <c r="Z101" s="83"/>
      <c r="AA101" s="83"/>
      <c r="AB101" s="153"/>
      <c r="AC101" s="82" t="str">
        <f>IF([1]回答表!F18="水道事業",IF([1]回答表!X51="●",[1]回答表!J210,IF([1]回答表!AA51="●",[1]回答表!J290,"")),"")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IF([1]回答表!F18="水道事業",IF([1]回答表!X51="●",[1]回答表!E256,IF([1]回答表!AA51="●",[1]回答表!E335,"")),"")</f>
        <v/>
      </c>
      <c r="BG102" s="151"/>
      <c r="BH102" s="151"/>
      <c r="BI102" s="151"/>
      <c r="BJ102" s="150" t="str">
        <f>IF([1]回答表!F18="水道事業",IF([1]回答表!X51="●",[1]回答表!E257,IF([1]回答表!AA51="●",[1]回答表!E336,"")),"")</f>
        <v/>
      </c>
      <c r="BK102" s="151"/>
      <c r="BL102" s="151"/>
      <c r="BM102" s="151"/>
      <c r="BN102" s="150" t="str">
        <f>IF([1]回答表!F18="水道事業",IF([1]回答表!X51="●",[1]回答表!E258,IF([1]回答表!AA51="●",[1]回答表!E337,"")),"")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IF([1]回答表!F18="水道事業",IF([1]回答表!AA51="●","●",""),"")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IF([1]回答表!F18="水道事業",IF([1]回答表!X51="●",[1]回答表!J213,IF([1]回答表!AA51="●",[1]回答表!J293,"")),"")</f>
        <v/>
      </c>
      <c r="V106" s="83"/>
      <c r="W106" s="83"/>
      <c r="X106" s="83"/>
      <c r="Y106" s="83"/>
      <c r="Z106" s="83"/>
      <c r="AA106" s="83"/>
      <c r="AB106" s="153"/>
      <c r="AC106" s="82" t="str">
        <f>IF([1]回答表!F18="水道事業",IF([1]回答表!X51="●",[1]回答表!J217,IF([1]回答表!AA51="●",[1]回答表!J297,"")),"")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IF([1]回答表!F18="水道事業",IF([1]回答表!X51="●",[1]回答表!E265,IF([1]回答表!AA51="●",[1]回答表!E344,"")),"")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IF([1]回答表!F18="水道事業",IF([1]回答表!X51="●",[1]回答表!B267,IF([1]回答表!AA51="●",[1]回答表!B346,"")),"")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IF([1]回答表!F18="水道事業",IF([1]回答表!AD51="●","●",""),"")</f>
        <v/>
      </c>
      <c r="O118" s="131"/>
      <c r="P118" s="131"/>
      <c r="Q118" s="132"/>
      <c r="R118" s="119"/>
      <c r="S118" s="119"/>
      <c r="T118" s="119"/>
      <c r="U118" s="133" t="str">
        <f>IF([1]回答表!F18="水道事業",IF([1]回答表!AD51="●",[1]回答表!B354,""),"")</f>
        <v/>
      </c>
      <c r="V118" s="134"/>
      <c r="W118" s="134"/>
      <c r="X118" s="134"/>
      <c r="Y118" s="134"/>
      <c r="Z118" s="134"/>
      <c r="AA118" s="134"/>
      <c r="AB118" s="134"/>
      <c r="AC118" s="134"/>
      <c r="AD118" s="134"/>
      <c r="AE118" s="134"/>
      <c r="AF118" s="134"/>
      <c r="AG118" s="134"/>
      <c r="AH118" s="134"/>
      <c r="AI118" s="134"/>
      <c r="AJ118" s="135"/>
      <c r="AK118" s="189"/>
      <c r="AL118" s="189"/>
      <c r="AM118" s="133" t="str">
        <f>IF([1]回答表!F18="水道事業",IF([1]回答表!AD51="●",[1]回答表!B360,""),"")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IF([1]回答表!F18="簡易水道事業",IF([1]回答表!X51="●",[1]回答表!B197,IF([1]回答表!AA51="●",[1]回答表!B275,"")),"")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IF([1]回答表!F18="簡易水道事業",IF([1]回答表!X51="●",[1]回答表!B256,IF([1]回答表!AA51="●",[1]回答表!B335,"")),"")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IF([1]回答表!F18="簡易水道事業",IF([1]回答表!X51="●","●",""),"")</f>
        <v/>
      </c>
      <c r="O132" s="131"/>
      <c r="P132" s="131"/>
      <c r="Q132" s="132"/>
      <c r="R132" s="119"/>
      <c r="S132" s="119"/>
      <c r="T132" s="119"/>
      <c r="U132" s="82" t="str">
        <f>IF([1]回答表!F18="簡易水道事業",IF([1]回答表!X51="●",[1]回答表!S224,IF([1]回答表!AA51="●",[1]回答表!S304,"")),"")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IF([1]回答表!F18="簡易水道事業",IF([1]回答表!X51="●",[1]回答表!E256,IF([1]回答表!AA51="●",[1]回答表!E335,"")),"")</f>
        <v/>
      </c>
      <c r="BG133" s="151"/>
      <c r="BH133" s="151"/>
      <c r="BI133" s="151"/>
      <c r="BJ133" s="150" t="str">
        <f>IF([1]回答表!F18="簡易水道事業",IF([1]回答表!X51="●",[1]回答表!E257,IF([1]回答表!AA51="●",[1]回答表!E336,"")),"")</f>
        <v/>
      </c>
      <c r="BK133" s="151"/>
      <c r="BL133" s="151"/>
      <c r="BM133" s="151"/>
      <c r="BN133" s="150" t="str">
        <f>IF([1]回答表!F18="簡易水道事業",IF([1]回答表!X51="●",[1]回答表!E258,IF([1]回答表!AA51="●",[1]回答表!E337,"")),"")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IF([1]回答表!F18="簡易水道事業",IF([1]回答表!X51="●",[1]回答表!S225,IF([1]回答表!AA51="●",[1]回答表!S305,"")),"")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IF([1]回答表!F18="簡易水道事業",IF([1]回答表!AA51="●","●",""),"")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IF([1]回答表!F18="簡易水道事業",IF([1]回答表!X51="●",[1]回答表!S226,IF([1]回答表!AA51="●",[1]回答表!S306,"")),"")</f>
        <v/>
      </c>
      <c r="V142" s="83"/>
      <c r="W142" s="83"/>
      <c r="X142" s="83"/>
      <c r="Y142" s="83"/>
      <c r="Z142" s="83"/>
      <c r="AA142" s="83"/>
      <c r="AB142" s="83"/>
      <c r="AC142" s="83"/>
      <c r="AD142" s="83"/>
      <c r="AE142" s="83"/>
      <c r="AF142" s="83"/>
      <c r="AG142" s="83"/>
      <c r="AH142" s="83"/>
      <c r="AI142" s="83"/>
      <c r="AJ142" s="153"/>
      <c r="AK142" s="68"/>
      <c r="AL142" s="68"/>
      <c r="AM142" s="231" t="str">
        <f>IF([1]回答表!F18="簡易水道事業",IF([1]回答表!X51="●",[1]回答表!Y228,IF([1]回答表!AA51="●",[1]回答表!Y308,"")),"")</f>
        <v/>
      </c>
      <c r="AN142" s="231"/>
      <c r="AO142" s="231"/>
      <c r="AP142" s="231"/>
      <c r="AQ142" s="231"/>
      <c r="AR142" s="231"/>
      <c r="AS142" s="231" t="str">
        <f>IF([1]回答表!F18="簡易水道事業",IF([1]回答表!X51="●",[1]回答表!Y229,IF([1]回答表!AA51="●",[1]回答表!Y309,"")),"")</f>
        <v/>
      </c>
      <c r="AT142" s="231"/>
      <c r="AU142" s="231"/>
      <c r="AV142" s="231"/>
      <c r="AW142" s="231"/>
      <c r="AX142" s="231"/>
      <c r="AY142" s="231" t="str">
        <f>IF([1]回答表!F18="簡易水道事業",IF([1]回答表!X51="●",[1]回答表!Y230,IF([1]回答表!AA51="●",[1]回答表!Y310,"")),"")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IF([1]回答表!F18="簡易水道事業",IF([1]回答表!X51="●",[1]回答表!E265,IF([1]回答表!AA51="●",[1]回答表!E344,"")),"")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IF([1]回答表!F18="簡易水道事業",IF([1]回答表!X51="●",[1]回答表!B267,IF([1]回答表!AA51="●",[1]回答表!B346,"")),"")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IF([1]回答表!F18="簡易水道事業",IF([1]回答表!AD51="●","●",""),"")</f>
        <v/>
      </c>
      <c r="O154" s="131"/>
      <c r="P154" s="131"/>
      <c r="Q154" s="132"/>
      <c r="R154" s="119"/>
      <c r="S154" s="119"/>
      <c r="T154" s="119"/>
      <c r="U154" s="133" t="str">
        <f>IF([1]回答表!F18="簡易水道事業",IF([1]回答表!AD51="●",[1]回答表!B354,""),"")</f>
        <v/>
      </c>
      <c r="V154" s="134"/>
      <c r="W154" s="134"/>
      <c r="X154" s="134"/>
      <c r="Y154" s="134"/>
      <c r="Z154" s="134"/>
      <c r="AA154" s="134"/>
      <c r="AB154" s="134"/>
      <c r="AC154" s="134"/>
      <c r="AD154" s="134"/>
      <c r="AE154" s="134"/>
      <c r="AF154" s="134"/>
      <c r="AG154" s="134"/>
      <c r="AH154" s="134"/>
      <c r="AI154" s="134"/>
      <c r="AJ154" s="135"/>
      <c r="AK154" s="189"/>
      <c r="AL154" s="189"/>
      <c r="AM154" s="133" t="str">
        <f>IF([1]回答表!F18="簡易水道事業",IF([1]回答表!AD51="●",[1]回答表!B360,""),"")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IF([1]回答表!F18="下水道事業",IF([1]回答表!X51="●","●",""),"")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IF([1]回答表!F18="下水道事業",IF([1]回答表!X51="●",[1]回答表!B197,IF([1]回答表!AA51="●",[1]回答表!B275,"")),"")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IF([1]回答表!F18="下水道事業",IF([1]回答表!X51="●",[1]回答表!B256,IF([1]回答表!AA51="●",[1]回答表!B335,"")),"")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IF([1]回答表!F18="下水道事業",IF([1]回答表!X51="●",[1]回答表!N234,IF([1]回答表!AA51="●",[1]回答表!N314,"")),"")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IF([1]回答表!F18="下水道事業",IF([1]回答表!X51="●",[1]回答表!E256,IF([1]回答表!AA51="●",[1]回答表!E335,"")),"")</f>
        <v/>
      </c>
      <c r="BG169" s="151"/>
      <c r="BH169" s="151"/>
      <c r="BI169" s="151"/>
      <c r="BJ169" s="150" t="str">
        <f>IF([1]回答表!F18="下水道事業",IF([1]回答表!X51="●",[1]回答表!E257,IF([1]回答表!AA51="●",[1]回答表!E336,"")),"")</f>
        <v/>
      </c>
      <c r="BK169" s="151"/>
      <c r="BL169" s="151"/>
      <c r="BM169" s="151"/>
      <c r="BN169" s="150" t="str">
        <f>IF([1]回答表!F18="下水道事業",IF([1]回答表!X51="●",[1]回答表!E258,IF([1]回答表!AA51="●",[1]回答表!E337,"")),"")</f>
        <v/>
      </c>
      <c r="BO169" s="151"/>
      <c r="BP169" s="151"/>
      <c r="BQ169" s="152"/>
      <c r="BR169" s="112"/>
      <c r="BX169" s="234" t="str">
        <f>IF([1]回答表!AQ21="下水道事業",IF([1]回答表!BI54="○",[1]回答表!AM200,IF([1]回答表!BL54="○",[1]回答表!AM278,"")),"")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IF([1]回答表!F18="下水道事業",IF([1]回答表!X51="●",[1]回答表!Y236,IF([1]回答表!AA51="●",[1]回答表!Y316,"")),"")</f>
        <v/>
      </c>
      <c r="V174" s="83"/>
      <c r="W174" s="83"/>
      <c r="X174" s="83"/>
      <c r="Y174" s="83"/>
      <c r="Z174" s="83"/>
      <c r="AA174" s="83"/>
      <c r="AB174" s="153"/>
      <c r="AC174" s="82" t="str">
        <f>IF([1]回答表!F18="下水道事業",IF([1]回答表!X51="●",[1]回答表!Y237,IF([1]回答表!AA51="●",[1]回答表!Y317,"")),"")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IF([1]回答表!F18="下水道事業",IF([1]回答表!X51="●",[1]回答表!Y239,IF([1]回答表!AA51="●",[1]回答表!Y319,"")),"")</f>
        <v/>
      </c>
      <c r="V180" s="83"/>
      <c r="W180" s="83"/>
      <c r="X180" s="83"/>
      <c r="Y180" s="83"/>
      <c r="Z180" s="83"/>
      <c r="AA180" s="83"/>
      <c r="AB180" s="153"/>
      <c r="AC180" s="82" t="str">
        <f>IF([1]回答表!F18="下水道事業",IF([1]回答表!X51="●",[1]回答表!Y240,IF([1]回答表!AA51="●",[1]回答表!Y320,"")),"")</f>
        <v/>
      </c>
      <c r="AD180" s="83"/>
      <c r="AE180" s="83"/>
      <c r="AF180" s="83"/>
      <c r="AG180" s="83"/>
      <c r="AH180" s="83"/>
      <c r="AI180" s="83"/>
      <c r="AJ180" s="153"/>
      <c r="AK180" s="82" t="str">
        <f>IF([1]回答表!F18="下水道事業",IF([1]回答表!X51="●",[1]回答表!Y241,IF([1]回答表!AA51="●",[1]回答表!Y321,"")),"")</f>
        <v/>
      </c>
      <c r="AL180" s="83"/>
      <c r="AM180" s="83"/>
      <c r="AN180" s="83"/>
      <c r="AO180" s="83"/>
      <c r="AP180" s="83"/>
      <c r="AQ180" s="83"/>
      <c r="AR180" s="153"/>
      <c r="AS180" s="82" t="str">
        <f>IF([1]回答表!F18="下水道事業",IF([1]回答表!X51="●",[1]回答表!Y242,IF([1]回答表!AA51="●",[1]回答表!Y322,"")),"")</f>
        <v/>
      </c>
      <c r="AT180" s="83"/>
      <c r="AU180" s="83"/>
      <c r="AV180" s="83"/>
      <c r="AW180" s="83"/>
      <c r="AX180" s="83"/>
      <c r="AY180" s="83"/>
      <c r="AZ180" s="153"/>
      <c r="BA180" s="82" t="str">
        <f>IF([1]回答表!F18="下水道事業",IF([1]回答表!X51="●",[1]回答表!Y243,IF([1]回答表!AA51="●",[1]回答表!Y323,"")),"")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IF([1]回答表!F18="下水道事業",IF([1]回答表!AA51="●","●",""),"")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IF([1]回答表!F18="下水道事業",IF([1]回答表!X51="●",[1]回答表!N248,IF([1]回答表!AA51="●",[1]回答表!N328,"")),"")</f>
        <v/>
      </c>
      <c r="V186" s="83"/>
      <c r="W186" s="83"/>
      <c r="X186" s="83"/>
      <c r="Y186" s="83"/>
      <c r="Z186" s="83"/>
      <c r="AA186" s="83"/>
      <c r="AB186" s="153"/>
      <c r="AC186" s="82" t="str">
        <f>IF([1]回答表!F18="下水道事業",IF([1]回答表!X51="●",[1]回答表!N249,IF([1]回答表!AA51="●",[1]回答表!N329,"")),"")</f>
        <v/>
      </c>
      <c r="AD186" s="83"/>
      <c r="AE186" s="83"/>
      <c r="AF186" s="83"/>
      <c r="AG186" s="83"/>
      <c r="AH186" s="83"/>
      <c r="AI186" s="83"/>
      <c r="AJ186" s="153"/>
      <c r="AK186" s="82" t="str">
        <f>IF([1]回答表!F18="下水道事業",IF([1]回答表!X51="●",[1]回答表!N250,IF([1]回答表!AA51="●",[1]回答表!N330,"")),"")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IF([1]回答表!F18="下水道事業",IF([1]回答表!X51="●",[1]回答表!E265,IF([1]回答表!AA51="●",[1]回答表!E344,"")),"")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IF([1]回答表!F18="下水道事業",IF([1]回答表!X51="●",[1]回答表!B267,IF([1]回答表!AA51="●",[1]回答表!B346,"")),"")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IF([1]回答表!F18="下水道事業",IF([1]回答表!AD51="●","●",""),"")</f>
        <v/>
      </c>
      <c r="O198" s="131"/>
      <c r="P198" s="131"/>
      <c r="Q198" s="132"/>
      <c r="R198" s="119"/>
      <c r="S198" s="119"/>
      <c r="T198" s="119"/>
      <c r="U198" s="133" t="str">
        <f>IF([1]回答表!F18="下水道事業",IF([1]回答表!AD51="●",[1]回答表!B354,""),"")</f>
        <v/>
      </c>
      <c r="V198" s="134"/>
      <c r="W198" s="134"/>
      <c r="X198" s="134"/>
      <c r="Y198" s="134"/>
      <c r="Z198" s="134"/>
      <c r="AA198" s="134"/>
      <c r="AB198" s="134"/>
      <c r="AC198" s="134"/>
      <c r="AD198" s="134"/>
      <c r="AE198" s="134"/>
      <c r="AF198" s="134"/>
      <c r="AG198" s="134"/>
      <c r="AH198" s="134"/>
      <c r="AI198" s="134"/>
      <c r="AJ198" s="135"/>
      <c r="AK198" s="189"/>
      <c r="AL198" s="189"/>
      <c r="AM198" s="133" t="str">
        <f>IF([1]回答表!F18="下水道事業",IF([1]回答表!AD51="●",[1]回答表!B360,""),"")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IF([1]回答表!BD18="●",IF([1]回答表!X51="●","●",""),"")</f>
        <v/>
      </c>
      <c r="O210" s="131"/>
      <c r="P210" s="131"/>
      <c r="Q210" s="132"/>
      <c r="R210" s="119"/>
      <c r="S210" s="119"/>
      <c r="T210" s="119"/>
      <c r="U210" s="133" t="str">
        <f>IF([1]回答表!BD18="●",IF([1]回答表!X51="●",[1]回答表!B197,IF([1]回答表!AA51="●",[1]回答表!B275,"")),"")</f>
        <v/>
      </c>
      <c r="V210" s="134"/>
      <c r="W210" s="134"/>
      <c r="X210" s="134"/>
      <c r="Y210" s="134"/>
      <c r="Z210" s="134"/>
      <c r="AA210" s="134"/>
      <c r="AB210" s="134"/>
      <c r="AC210" s="134"/>
      <c r="AD210" s="134"/>
      <c r="AE210" s="134"/>
      <c r="AF210" s="134"/>
      <c r="AG210" s="134"/>
      <c r="AH210" s="134"/>
      <c r="AI210" s="134"/>
      <c r="AJ210" s="135"/>
      <c r="AK210" s="136"/>
      <c r="AL210" s="136"/>
      <c r="AM210" s="138" t="str">
        <f>IF([1]回答表!BD18="●",IF([1]回答表!X51="●",[1]回答表!B256,IF([1]回答表!AA51="●",[1]回答表!B335,"")),"")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IF([1]回答表!BD18="●",IF([1]回答表!X51="●",[1]回答表!E256,IF([1]回答表!AA51="●",[1]回答表!E335,"")),"")</f>
        <v/>
      </c>
      <c r="AN213" s="151"/>
      <c r="AO213" s="151"/>
      <c r="AP213" s="151"/>
      <c r="AQ213" s="150" t="str">
        <f>IF([1]回答表!BD18="●",IF([1]回答表!X51="●",[1]回答表!E257,IF([1]回答表!AA51="●",[1]回答表!E336,"")),"")</f>
        <v/>
      </c>
      <c r="AR213" s="151"/>
      <c r="AS213" s="151"/>
      <c r="AT213" s="151"/>
      <c r="AU213" s="150" t="str">
        <f>IF([1]回答表!BD18="●",IF([1]回答表!X51="●",[1]回答表!E258,IF([1]回答表!AA51="●",[1]回答表!E337,"")),"")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IF([1]回答表!BD18="●",IF([1]回答表!AA51="●","●",""),"")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IF([1]回答表!BD18="●",IF([1]回答表!X51="●",[1]回答表!E265,IF([1]回答表!AA51="●",[1]回答表!E344,"")),"")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IF([1]回答表!BD18="●",IF([1]回答表!X51="●",[1]回答表!B267,IF([1]回答表!AA51="●",[1]回答表!B346,"")),"")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IF([1]回答表!BD18="●",IF([1]回答表!AD51="●","●",""),"")</f>
        <v/>
      </c>
      <c r="O229" s="131"/>
      <c r="P229" s="131"/>
      <c r="Q229" s="132"/>
      <c r="R229" s="119"/>
      <c r="S229" s="119"/>
      <c r="T229" s="119"/>
      <c r="U229" s="133" t="str">
        <f>IF([1]回答表!BD18="●",IF([1]回答表!AD51="●",[1]回答表!B354,""),"")</f>
        <v/>
      </c>
      <c r="V229" s="134"/>
      <c r="W229" s="134"/>
      <c r="X229" s="134"/>
      <c r="Y229" s="134"/>
      <c r="Z229" s="134"/>
      <c r="AA229" s="134"/>
      <c r="AB229" s="134"/>
      <c r="AC229" s="134"/>
      <c r="AD229" s="134"/>
      <c r="AE229" s="134"/>
      <c r="AF229" s="134"/>
      <c r="AG229" s="134"/>
      <c r="AH229" s="134"/>
      <c r="AI229" s="134"/>
      <c r="AJ229" s="135"/>
      <c r="AK229" s="249"/>
      <c r="AL229" s="249"/>
      <c r="AM229" s="133" t="str">
        <f>IF([1]回答表!BD18="●",IF([1]回答表!AD51="●",[1]回答表!B360,""),"")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IF([1]回答表!X52="●","●","")</f>
        <v/>
      </c>
      <c r="O241" s="131"/>
      <c r="P241" s="131"/>
      <c r="Q241" s="132"/>
      <c r="R241" s="119"/>
      <c r="S241" s="119"/>
      <c r="T241" s="119"/>
      <c r="U241" s="133" t="str">
        <f>IF([1]回答表!X52="●",[1]回答表!B371,IF([1]回答表!AA52="●",[1]回答表!B396,""))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IF([1]回答表!X52="●",[1]回答表!U377,IF([1]回答表!AA52="●",[1]回答表!U402,""))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IF([1]回答表!X52="●",[1]回答表!G377,IF([1]回答表!AA52="●",[1]回答表!G402,""))</f>
        <v/>
      </c>
      <c r="AN244" s="83"/>
      <c r="AO244" s="83"/>
      <c r="AP244" s="83"/>
      <c r="AQ244" s="83"/>
      <c r="AR244" s="83"/>
      <c r="AS244" s="83"/>
      <c r="AT244" s="153"/>
      <c r="AU244" s="82" t="str">
        <f>IF([1]回答表!X52="●",[1]回答表!G378,IF([1]回答表!AA52="●",[1]回答表!G403,""))</f>
        <v/>
      </c>
      <c r="AV244" s="83"/>
      <c r="AW244" s="83"/>
      <c r="AX244" s="83"/>
      <c r="AY244" s="83"/>
      <c r="AZ244" s="83"/>
      <c r="BA244" s="83"/>
      <c r="BB244" s="153"/>
      <c r="BC244" s="120"/>
      <c r="BD244" s="109"/>
      <c r="BE244" s="109"/>
      <c r="BF244" s="150" t="str">
        <f>IF([1]回答表!X52="●",[1]回答表!X377,IF([1]回答表!AA52="●",[1]回答表!X402,""))</f>
        <v/>
      </c>
      <c r="BG244" s="151"/>
      <c r="BH244" s="151"/>
      <c r="BI244" s="151"/>
      <c r="BJ244" s="150" t="str">
        <f>IF([1]回答表!X52="●",[1]回答表!X378,IF([1]回答表!AA52="●",[1]回答表!X403,""))</f>
        <v/>
      </c>
      <c r="BK244" s="151"/>
      <c r="BL244" s="151"/>
      <c r="BM244" s="152"/>
      <c r="BN244" s="150" t="str">
        <f>IF([1]回答表!X52="●",[1]回答表!X379,IF([1]回答表!AA52="●",[1]回答表!X404,""))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IF([1]回答表!X52="●",[1]回答表!E386,IF([1]回答表!AA52="●",[1]回答表!E407,""))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IF([1]回答表!X52="●",[1]回答表!B388,IF([1]回答表!AA52="●",[1]回答表!B409,""))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IF([1]回答表!AD52="●","●","")</f>
        <v/>
      </c>
      <c r="O260" s="131"/>
      <c r="P260" s="131"/>
      <c r="Q260" s="132"/>
      <c r="R260" s="119"/>
      <c r="S260" s="119"/>
      <c r="T260" s="119"/>
      <c r="U260" s="133" t="str">
        <f>IF([1]回答表!AD52="●",[1]回答表!B417,"")</f>
        <v/>
      </c>
      <c r="V260" s="134"/>
      <c r="W260" s="134"/>
      <c r="X260" s="134"/>
      <c r="Y260" s="134"/>
      <c r="Z260" s="134"/>
      <c r="AA260" s="134"/>
      <c r="AB260" s="134"/>
      <c r="AC260" s="134"/>
      <c r="AD260" s="134"/>
      <c r="AE260" s="134"/>
      <c r="AF260" s="134"/>
      <c r="AG260" s="134"/>
      <c r="AH260" s="134"/>
      <c r="AI260" s="134"/>
      <c r="AJ260" s="135"/>
      <c r="AK260" s="249"/>
      <c r="AL260" s="249"/>
      <c r="AM260" s="133" t="str">
        <f>IF([1]回答表!AD52="●",[1]回答表!B423,"")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IF([1]回答表!X53="●","●","")</f>
        <v/>
      </c>
      <c r="O272" s="131"/>
      <c r="P272" s="131"/>
      <c r="Q272" s="132"/>
      <c r="R272" s="119"/>
      <c r="S272" s="119"/>
      <c r="T272" s="119"/>
      <c r="U272" s="133" t="str">
        <f>IF([1]回答表!X53="●",[1]回答表!B434,IF([1]回答表!AA53="●",[1]回答表!B465,""))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IF([1]回答表!X53="●",[1]回答表!B440,"")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IF([1]回答表!X53="●",[1]回答表!B446,IF([1]回答表!AA53="●",[1]回答表!B471,""))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IF([1]回答表!X53="●",[1]回答表!E446,IF([1]回答表!AA53="●",[1]回答表!E471,""))</f>
        <v/>
      </c>
      <c r="BG275" s="151"/>
      <c r="BH275" s="151"/>
      <c r="BI275" s="151"/>
      <c r="BJ275" s="150" t="str">
        <f>IF([1]回答表!X53="●",[1]回答表!E447,IF([1]回答表!AA53="●",[1]回答表!E472,""))</f>
        <v/>
      </c>
      <c r="BK275" s="151"/>
      <c r="BL275" s="151"/>
      <c r="BM275" s="152"/>
      <c r="BN275" s="150" t="str">
        <f>IF([1]回答表!X53="●",[1]回答表!E448,IF([1]回答表!AA53="●",[1]回答表!E473,""))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IF([1]回答表!X53="●",[1]回答表!E455,IF([1]回答表!AA53="●",[1]回答表!E476,""))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IF([1]回答表!X53="●",[1]回答表!B457,IF([1]回答表!AA53="●",[1]回答表!B478,""))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IF([1]回答表!AD53="●","●","")</f>
        <v/>
      </c>
      <c r="O291" s="131"/>
      <c r="P291" s="131"/>
      <c r="Q291" s="132"/>
      <c r="R291" s="119"/>
      <c r="S291" s="119"/>
      <c r="T291" s="119"/>
      <c r="U291" s="133" t="str">
        <f>IF([1]回答表!AD53="●",[1]回答表!B486,"")</f>
        <v/>
      </c>
      <c r="V291" s="134"/>
      <c r="W291" s="134"/>
      <c r="X291" s="134"/>
      <c r="Y291" s="134"/>
      <c r="Z291" s="134"/>
      <c r="AA291" s="134"/>
      <c r="AB291" s="134"/>
      <c r="AC291" s="134"/>
      <c r="AD291" s="134"/>
      <c r="AE291" s="134"/>
      <c r="AF291" s="134"/>
      <c r="AG291" s="134"/>
      <c r="AH291" s="134"/>
      <c r="AI291" s="134"/>
      <c r="AJ291" s="135"/>
      <c r="AK291" s="249"/>
      <c r="AL291" s="249"/>
      <c r="AM291" s="133" t="str">
        <f>IF([1]回答表!AD53="●",[1]回答表!B492,"")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IF([1]回答表!X54="●","●","")</f>
        <v/>
      </c>
      <c r="O303" s="131"/>
      <c r="P303" s="131"/>
      <c r="Q303" s="132"/>
      <c r="R303" s="119"/>
      <c r="S303" s="119"/>
      <c r="T303" s="119"/>
      <c r="U303" s="133" t="str">
        <f>IF([1]回答表!X54="●",[1]回答表!B503,IF([1]回答表!AA54="●",[1]回答表!B526,""))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IF([1]回答表!X54="●",[1]回答表!BC510,IF([1]回答表!AA54="●",[1]回答表!BC533,""))</f>
        <v/>
      </c>
      <c r="AR303" s="271"/>
      <c r="AS303" s="271"/>
      <c r="AT303" s="271"/>
      <c r="AU303" s="272" t="s">
        <v>74</v>
      </c>
      <c r="AV303" s="273"/>
      <c r="AW303" s="273"/>
      <c r="AX303" s="274"/>
      <c r="AY303" s="271" t="str">
        <f>IF([1]回答表!X54="●",[1]回答表!BC515,IF([1]回答表!AA54="●",[1]回答表!BC538,""))</f>
        <v/>
      </c>
      <c r="AZ303" s="271"/>
      <c r="BA303" s="271"/>
      <c r="BB303" s="271"/>
      <c r="BC303" s="120"/>
      <c r="BD303" s="109"/>
      <c r="BE303" s="109"/>
      <c r="BF303" s="138" t="str">
        <f>IF([1]回答表!X54="●",[1]回答表!S509,IF([1]回答表!AA54="●",[1]回答表!S532,""))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IF([1]回答表!X54="●",[1]回答表!BC511,IF([1]回答表!AA54="●",[1]回答表!BC534,""))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IF([1]回答表!X54="●",[1]回答表!V509,IF([1]回答表!AA54="●",[1]回答表!V532,""))</f>
        <v/>
      </c>
      <c r="BG306" s="151"/>
      <c r="BH306" s="151"/>
      <c r="BI306" s="151"/>
      <c r="BJ306" s="150" t="str">
        <f>IF([1]回答表!X54="●",[1]回答表!V510,IF([1]回答表!AA54="●",[1]回答表!V533,""))</f>
        <v/>
      </c>
      <c r="BK306" s="151"/>
      <c r="BL306" s="151"/>
      <c r="BM306" s="152"/>
      <c r="BN306" s="150" t="str">
        <f>IF([1]回答表!X54="●",[1]回答表!V511,IF([1]回答表!AA54="●",[1]回答表!V534,""))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IF([1]回答表!X54="●",[1]回答表!BC512,IF([1]回答表!AA54="●",[1]回答表!BC535,""))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IF([1]回答表!X54="●",[1]回答表!BC516,IF([1]回答表!AA54="●",[1]回答表!BC539,""))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IF([1]回答表!X54="●",[1]回答表!BC513,IF([1]回答表!AA54="●",[1]回答表!BC536,""))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IF([1]回答表!X54="●",[1]回答表!BC514,IF([1]回答表!AA54="●",[1]回答表!BC537,""))</f>
        <v/>
      </c>
      <c r="AR311" s="271"/>
      <c r="AS311" s="271"/>
      <c r="AT311" s="271"/>
      <c r="AU311" s="222" t="s">
        <v>80</v>
      </c>
      <c r="AV311" s="223"/>
      <c r="AW311" s="223"/>
      <c r="AX311" s="224"/>
      <c r="AY311" s="281" t="str">
        <f>IF([1]回答表!X54="●",[1]回答表!BC517,IF([1]回答表!AA54="●",[1]回答表!BC540,""))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IF([1]回答表!X54="●",[1]回答表!E516,IF([1]回答表!AA54="●",[1]回答表!E538,""))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IF([1]回答表!X54="●",[1]回答表!B518,IF([1]回答表!AA54="●",[1]回答表!B540,""))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IF([1]回答表!AD54="●","●","")</f>
        <v/>
      </c>
      <c r="O322" s="131"/>
      <c r="P322" s="131"/>
      <c r="Q322" s="132"/>
      <c r="R322" s="119"/>
      <c r="S322" s="119"/>
      <c r="T322" s="119"/>
      <c r="U322" s="133" t="str">
        <f>IF([1]回答表!AD54="●",[1]回答表!B548,"")</f>
        <v/>
      </c>
      <c r="V322" s="134"/>
      <c r="W322" s="134"/>
      <c r="X322" s="134"/>
      <c r="Y322" s="134"/>
      <c r="Z322" s="134"/>
      <c r="AA322" s="134"/>
      <c r="AB322" s="134"/>
      <c r="AC322" s="134"/>
      <c r="AD322" s="134"/>
      <c r="AE322" s="134"/>
      <c r="AF322" s="134"/>
      <c r="AG322" s="134"/>
      <c r="AH322" s="134"/>
      <c r="AI322" s="134"/>
      <c r="AJ322" s="135"/>
      <c r="AK322" s="189"/>
      <c r="AL322" s="189"/>
      <c r="AM322" s="133" t="str">
        <f>IF([1]回答表!AD54="●",[1]回答表!B554,"")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IF([1]回答表!X55="●","●","")</f>
        <v/>
      </c>
      <c r="O333" s="131"/>
      <c r="P333" s="131"/>
      <c r="Q333" s="132"/>
      <c r="R333" s="119"/>
      <c r="S333" s="119"/>
      <c r="T333" s="119"/>
      <c r="U333" s="133" t="str">
        <f>IF([1]回答表!X55="●",[1]回答表!B565,IF([1]回答表!AA55="●",[1]回答表!B590,""))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IF([1]回答表!X55="●",[1]回答表!B575,IF([1]回答表!AA55="●",[1]回答表!B600,""))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IF([1]回答表!X55="●",[1]回答表!G571,IF([1]回答表!AA55="●",[1]回答表!G596,""))</f>
        <v/>
      </c>
      <c r="AN335" s="83"/>
      <c r="AO335" s="83"/>
      <c r="AP335" s="83"/>
      <c r="AQ335" s="83"/>
      <c r="AR335" s="83"/>
      <c r="AS335" s="83"/>
      <c r="AT335" s="153"/>
      <c r="AU335" s="82" t="str">
        <f>IF([1]回答表!X55="●",[1]回答表!G572,IF([1]回答表!AA55="●",[1]回答表!G597,""))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IF([1]回答表!X55="●",[1]回答表!E575,IF([1]回答表!AA55="●",[1]回答表!E600,""))</f>
        <v/>
      </c>
      <c r="BG336" s="151"/>
      <c r="BH336" s="151"/>
      <c r="BI336" s="151"/>
      <c r="BJ336" s="150" t="str">
        <f>IF([1]回答表!X55="●",[1]回答表!E576,IF([1]回答表!AA55="●",[1]回答表!E601,""))</f>
        <v/>
      </c>
      <c r="BK336" s="151"/>
      <c r="BL336" s="151"/>
      <c r="BM336" s="152"/>
      <c r="BN336" s="150" t="str">
        <f>IF([1]回答表!X55="●",[1]回答表!E577,IF([1]回答表!AA55="●",[1]回答表!E602,""))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IF([1]回答表!X55="●",[1]回答表!E580,IF([1]回答表!AA55="●",[1]回答表!E605,""))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IF([1]回答表!X55="●",[1]回答表!B582,IF([1]回答表!AA55="●",[1]回答表!B607,""))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IF([1]回答表!AD55="●","●","")</f>
        <v/>
      </c>
      <c r="O352" s="131"/>
      <c r="P352" s="131"/>
      <c r="Q352" s="132"/>
      <c r="R352" s="119"/>
      <c r="S352" s="119"/>
      <c r="T352" s="119"/>
      <c r="U352" s="133" t="str">
        <f>IF([1]回答表!AD55="●",[1]回答表!B615,"")</f>
        <v/>
      </c>
      <c r="V352" s="134"/>
      <c r="W352" s="134"/>
      <c r="X352" s="134"/>
      <c r="Y352" s="134"/>
      <c r="Z352" s="134"/>
      <c r="AA352" s="134"/>
      <c r="AB352" s="134"/>
      <c r="AC352" s="134"/>
      <c r="AD352" s="134"/>
      <c r="AE352" s="134"/>
      <c r="AF352" s="134"/>
      <c r="AG352" s="134"/>
      <c r="AH352" s="134"/>
      <c r="AI352" s="134"/>
      <c r="AJ352" s="135"/>
      <c r="AK352" s="136"/>
      <c r="AL352" s="136"/>
      <c r="AM352" s="133" t="str">
        <f>IF([1]回答表!AD55="●",[1]回答表!B621,"")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IF([1]回答表!R56="●",[1]回答表!B634,"")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1" priority="2">
      <formula>$BB$25="○"</formula>
    </cfRule>
  </conditionalFormatting>
  <conditionalFormatting sqref="BD28:BD30">
    <cfRule type="expression" dxfId="30" priority="1">
      <formula>$BB$25="○"</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E959A-C270-45E7-A98E-C4C776365353}">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IF(COUNTIF([10]回答表!K16,"*")&gt;0,[10]回答表!K16,"")</f>
        <v>由利本荘市</v>
      </c>
      <c r="D11" s="8"/>
      <c r="E11" s="8"/>
      <c r="F11" s="8"/>
      <c r="G11" s="8"/>
      <c r="H11" s="8"/>
      <c r="I11" s="8"/>
      <c r="J11" s="8"/>
      <c r="K11" s="8"/>
      <c r="L11" s="8"/>
      <c r="M11" s="8"/>
      <c r="N11" s="8"/>
      <c r="O11" s="8"/>
      <c r="P11" s="8"/>
      <c r="Q11" s="8"/>
      <c r="R11" s="8"/>
      <c r="S11" s="8"/>
      <c r="T11" s="8"/>
      <c r="U11" s="22" t="str">
        <f>IF(COUNTIF([10]回答表!F18,"*")&gt;0,[10]回答表!F18,"")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IF(COUNTIF([10]回答表!W18,"*")&gt;0,[10]回答表!W18,"")</f>
        <v>特定環境保全公共下水道</v>
      </c>
      <c r="AP11" s="10"/>
      <c r="AQ11" s="10"/>
      <c r="AR11" s="10"/>
      <c r="AS11" s="10"/>
      <c r="AT11" s="10"/>
      <c r="AU11" s="10"/>
      <c r="AV11" s="10"/>
      <c r="AW11" s="10"/>
      <c r="AX11" s="10"/>
      <c r="AY11" s="10"/>
      <c r="AZ11" s="10"/>
      <c r="BA11" s="10"/>
      <c r="BB11" s="10"/>
      <c r="BC11" s="10"/>
      <c r="BD11" s="10"/>
      <c r="BE11" s="10"/>
      <c r="BF11" s="11"/>
      <c r="BG11" s="21" t="str">
        <f>IF(COUNTIF([10]回答表!F20,"*")&gt;0,[10]回答表!F20,"")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IF([10]回答表!R49="●","●","")</f>
        <v/>
      </c>
      <c r="E24" s="80"/>
      <c r="F24" s="80"/>
      <c r="G24" s="80"/>
      <c r="H24" s="80"/>
      <c r="I24" s="80"/>
      <c r="J24" s="81"/>
      <c r="K24" s="79" t="str">
        <f>IF([10]回答表!R50="●","●","")</f>
        <v/>
      </c>
      <c r="L24" s="80"/>
      <c r="M24" s="80"/>
      <c r="N24" s="80"/>
      <c r="O24" s="80"/>
      <c r="P24" s="80"/>
      <c r="Q24" s="81"/>
      <c r="R24" s="79" t="str">
        <f>IF([10]回答表!R51="●","●","")</f>
        <v>●</v>
      </c>
      <c r="S24" s="80"/>
      <c r="T24" s="80"/>
      <c r="U24" s="80"/>
      <c r="V24" s="80"/>
      <c r="W24" s="80"/>
      <c r="X24" s="81"/>
      <c r="Y24" s="79" t="str">
        <f>IF([10]回答表!R52="●","●","")</f>
        <v/>
      </c>
      <c r="Z24" s="80"/>
      <c r="AA24" s="80"/>
      <c r="AB24" s="80"/>
      <c r="AC24" s="80"/>
      <c r="AD24" s="80"/>
      <c r="AE24" s="81"/>
      <c r="AF24" s="79" t="str">
        <f>IF([10]回答表!R53="●","●","")</f>
        <v/>
      </c>
      <c r="AG24" s="80"/>
      <c r="AH24" s="80"/>
      <c r="AI24" s="80"/>
      <c r="AJ24" s="80"/>
      <c r="AK24" s="80"/>
      <c r="AL24" s="81"/>
      <c r="AM24" s="79" t="str">
        <f>IF([10]回答表!R54="●","●","")</f>
        <v/>
      </c>
      <c r="AN24" s="80"/>
      <c r="AO24" s="80"/>
      <c r="AP24" s="80"/>
      <c r="AQ24" s="80"/>
      <c r="AR24" s="80"/>
      <c r="AS24" s="81"/>
      <c r="AT24" s="79" t="str">
        <f>IF([10]回答表!R55="●","●","")</f>
        <v/>
      </c>
      <c r="AU24" s="80"/>
      <c r="AV24" s="80"/>
      <c r="AW24" s="80"/>
      <c r="AX24" s="80"/>
      <c r="AY24" s="80"/>
      <c r="AZ24" s="81"/>
      <c r="BA24" s="68"/>
      <c r="BB24" s="82" t="str">
        <f>IF([10]回答表!R56="●","●","")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IF([10]回答表!X49="●","●","")</f>
        <v/>
      </c>
      <c r="O36" s="131"/>
      <c r="P36" s="131"/>
      <c r="Q36" s="132"/>
      <c r="R36" s="119"/>
      <c r="S36" s="119"/>
      <c r="T36" s="119"/>
      <c r="U36" s="133" t="str">
        <f>IF([10]回答表!X49="●",[10]回答表!B67,IF([10]回答表!AA49="●",[10]回答表!B95,""))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IF([10]回答表!X49="●",[10]回答表!S73,IF([10]回答表!AA49="●",[10]回答表!S101,""))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IF([10]回答表!X49="●",[10]回答表!G73,IF([10]回答表!AA49="●",[10]回答表!G101,""))</f>
        <v/>
      </c>
      <c r="AN38" s="83"/>
      <c r="AO38" s="83"/>
      <c r="AP38" s="83"/>
      <c r="AQ38" s="83"/>
      <c r="AR38" s="83"/>
      <c r="AS38" s="83"/>
      <c r="AT38" s="153"/>
      <c r="AU38" s="82" t="str">
        <f>IF([10]回答表!X49="●",[10]回答表!G74,IF([10]回答表!AA49="●",[10]回答表!G102,""))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IF([10]回答表!X49="●",[10]回答表!V73,IF([10]回答表!AA49="●",[10]回答表!V101,""))</f>
        <v/>
      </c>
      <c r="BG39" s="16"/>
      <c r="BH39" s="16"/>
      <c r="BI39" s="17"/>
      <c r="BJ39" s="150" t="str">
        <f>IF([10]回答表!X49="●",[10]回答表!V74,IF([10]回答表!AA49="●",[10]回答表!V102,""))</f>
        <v/>
      </c>
      <c r="BK39" s="16"/>
      <c r="BL39" s="16"/>
      <c r="BM39" s="17"/>
      <c r="BN39" s="150" t="str">
        <f>IF([10]回答表!X49="●",[10]回答表!V75,IF([10]回答表!AA49="●",[10]回答表!V103,""))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IF([10]回答表!X49="●",[10]回答表!O79,IF([10]回答表!AA49="●",[10]回答表!O107,""))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IF([10]回答表!X49="●",[10]回答表!O80,IF([10]回答表!AA49="●",[10]回答表!O108,""))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IF([10]回答表!AA49="●","●","")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IF([10]回答表!X49="●",[10]回答表!O81,IF([10]回答表!AA49="●",[10]回答表!O109,""))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IF([10]回答表!X49="●",[10]回答表!O82,IF([10]回答表!AA49="●",[10]回答表!O110,""))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IF([10]回答表!X49="●",[10]回答表!AG79,IF([10]回答表!AA49="●",[10]回答表!AG107,""))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IF([10]回答表!X49="●",[10]回答表!AG80,IF([10]回答表!AA49="●",[10]回答表!AG108,""))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IF([10]回答表!X49="●",[10]回答表!E85,IF([10]回答表!AA49="●",[10]回答表!E113,""))</f>
        <v/>
      </c>
      <c r="V50" s="182"/>
      <c r="W50" s="182"/>
      <c r="X50" s="182"/>
      <c r="Y50" s="182"/>
      <c r="Z50" s="182"/>
      <c r="AA50" s="182"/>
      <c r="AB50" s="182"/>
      <c r="AC50" s="182"/>
      <c r="AD50" s="182"/>
      <c r="AE50" s="183" t="s">
        <v>33</v>
      </c>
      <c r="AF50" s="183"/>
      <c r="AG50" s="183"/>
      <c r="AH50" s="183"/>
      <c r="AI50" s="183"/>
      <c r="AJ50" s="184"/>
      <c r="AK50" s="136"/>
      <c r="AL50" s="136"/>
      <c r="AM50" s="133" t="str">
        <f>IF([10]回答表!X49="●",[10]回答表!B87,IF([10]回答表!AA49="●",[10]回答表!B115,""))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IF([10]回答表!AD49="●","●","")</f>
        <v/>
      </c>
      <c r="O57" s="131"/>
      <c r="P57" s="131"/>
      <c r="Q57" s="132"/>
      <c r="R57" s="119"/>
      <c r="S57" s="119"/>
      <c r="T57" s="119"/>
      <c r="U57" s="133" t="str">
        <f>IF([10]回答表!AD49="●",[10]回答表!B123,"")</f>
        <v/>
      </c>
      <c r="V57" s="134"/>
      <c r="W57" s="134"/>
      <c r="X57" s="134"/>
      <c r="Y57" s="134"/>
      <c r="Z57" s="134"/>
      <c r="AA57" s="134"/>
      <c r="AB57" s="134"/>
      <c r="AC57" s="134"/>
      <c r="AD57" s="134"/>
      <c r="AE57" s="134"/>
      <c r="AF57" s="134"/>
      <c r="AG57" s="134"/>
      <c r="AH57" s="134"/>
      <c r="AI57" s="134"/>
      <c r="AJ57" s="135"/>
      <c r="AK57" s="189"/>
      <c r="AL57" s="189"/>
      <c r="AM57" s="133" t="str">
        <f>IF([10]回答表!AD49="●",[10]回答表!B128,"")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IF([10]回答表!X50="●","●","")</f>
        <v/>
      </c>
      <c r="O68" s="131"/>
      <c r="P68" s="131"/>
      <c r="Q68" s="132"/>
      <c r="R68" s="119"/>
      <c r="S68" s="119"/>
      <c r="T68" s="119"/>
      <c r="U68" s="133" t="str">
        <f>IF([10]回答表!X50="●",[10]回答表!B138,IF([10]回答表!AA50="●",[10]回答表!B159,""))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IF([10]回答表!X50="●",[10]回答表!S144,IF([10]回答表!AA50="●",[10]回答表!S165,""))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IF([10]回答表!X50="●",[10]回答表!J144,IF([10]回答表!AA50="●",[10]回答表!J165,""))</f>
        <v/>
      </c>
      <c r="AN71" s="83"/>
      <c r="AO71" s="83"/>
      <c r="AP71" s="83"/>
      <c r="AQ71" s="83"/>
      <c r="AR71" s="83"/>
      <c r="AS71" s="83"/>
      <c r="AT71" s="153"/>
      <c r="AU71" s="82" t="str">
        <f>IF([10]回答表!X50="●",[10]回答表!J145,IF([10]回答表!AA50="●",[10]回答表!J166,""))</f>
        <v/>
      </c>
      <c r="AV71" s="83"/>
      <c r="AW71" s="83"/>
      <c r="AX71" s="83"/>
      <c r="AY71" s="83"/>
      <c r="AZ71" s="83"/>
      <c r="BA71" s="83"/>
      <c r="BB71" s="153"/>
      <c r="BC71" s="120"/>
      <c r="BD71" s="109"/>
      <c r="BE71" s="109"/>
      <c r="BF71" s="150" t="str">
        <f>IF([10]回答表!X50="●",[10]回答表!V144,IF([10]回答表!AA50="●",[10]回答表!V165,""))</f>
        <v/>
      </c>
      <c r="BG71" s="151"/>
      <c r="BH71" s="151"/>
      <c r="BI71" s="151"/>
      <c r="BJ71" s="150" t="str">
        <f>IF([10]回答表!X50="●",[10]回答表!V145,IF([10]回答表!AA50="●",[10]回答表!V166,""))</f>
        <v/>
      </c>
      <c r="BK71" s="151"/>
      <c r="BL71" s="151"/>
      <c r="BM71" s="151"/>
      <c r="BN71" s="150" t="str">
        <f>IF([10]回答表!X50="●",[10]回答表!V146,IF([10]回答表!AA50="●",[10]回答表!V167,""))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IF([10]回答表!AA50="●","●","")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IF([10]回答表!X50="●",[10]回答表!E149,IF([10]回答表!AA50="●",[10]回答表!E170,""))</f>
        <v/>
      </c>
      <c r="V80" s="182"/>
      <c r="W80" s="182"/>
      <c r="X80" s="182"/>
      <c r="Y80" s="182"/>
      <c r="Z80" s="182"/>
      <c r="AA80" s="182"/>
      <c r="AB80" s="182"/>
      <c r="AC80" s="182"/>
      <c r="AD80" s="182"/>
      <c r="AE80" s="183" t="s">
        <v>33</v>
      </c>
      <c r="AF80" s="183"/>
      <c r="AG80" s="183"/>
      <c r="AH80" s="183"/>
      <c r="AI80" s="183"/>
      <c r="AJ80" s="184"/>
      <c r="AK80" s="136"/>
      <c r="AL80" s="136"/>
      <c r="AM80" s="133" t="str">
        <f>IF([10]回答表!X50="●",[10]回答表!B151,IF([10]回答表!AA50="●",[10]回答表!B172,""))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IF([10]回答表!AD50="●","●","")</f>
        <v/>
      </c>
      <c r="O87" s="131"/>
      <c r="P87" s="131"/>
      <c r="Q87" s="132"/>
      <c r="R87" s="119"/>
      <c r="S87" s="119"/>
      <c r="T87" s="119"/>
      <c r="U87" s="133" t="str">
        <f>IF([10]回答表!AD50="●",[10]回答表!B180,"")</f>
        <v/>
      </c>
      <c r="V87" s="134"/>
      <c r="W87" s="134"/>
      <c r="X87" s="134"/>
      <c r="Y87" s="134"/>
      <c r="Z87" s="134"/>
      <c r="AA87" s="134"/>
      <c r="AB87" s="134"/>
      <c r="AC87" s="134"/>
      <c r="AD87" s="134"/>
      <c r="AE87" s="134"/>
      <c r="AF87" s="134"/>
      <c r="AG87" s="134"/>
      <c r="AH87" s="134"/>
      <c r="AI87" s="134"/>
      <c r="AJ87" s="135"/>
      <c r="AK87" s="189"/>
      <c r="AL87" s="189"/>
      <c r="AM87" s="133" t="str">
        <f>IF([10]回答表!AD50="●",[10]回答表!B186,"")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IF([10]回答表!F18="水道事業",IF([10]回答表!X51="●","●",""),"")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IF([10]回答表!F18="水道事業",IF([10]回答表!X51="●",[10]回答表!B197,IF([10]回答表!AA51="●",[10]回答表!B275,"")),"")</f>
        <v/>
      </c>
      <c r="AN99" s="134"/>
      <c r="AO99" s="134"/>
      <c r="AP99" s="134"/>
      <c r="AQ99" s="134"/>
      <c r="AR99" s="134"/>
      <c r="AS99" s="134"/>
      <c r="AT99" s="134"/>
      <c r="AU99" s="134"/>
      <c r="AV99" s="134"/>
      <c r="AW99" s="134"/>
      <c r="AX99" s="134"/>
      <c r="AY99" s="134"/>
      <c r="AZ99" s="134"/>
      <c r="BA99" s="134"/>
      <c r="BB99" s="134"/>
      <c r="BC99" s="135"/>
      <c r="BD99" s="109"/>
      <c r="BE99" s="109"/>
      <c r="BF99" s="138" t="str">
        <f>IF([10]回答表!F18="水道事業",IF([10]回答表!X51="●",[10]回答表!B256,IF([10]回答表!AA51="●",[10]回答表!B335,"")),"")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IF([10]回答表!F18="水道事業",IF([10]回答表!X51="●",[10]回答表!J205,IF([10]回答表!AA51="●",[10]回答表!J283,"")),"")</f>
        <v/>
      </c>
      <c r="V101" s="83"/>
      <c r="W101" s="83"/>
      <c r="X101" s="83"/>
      <c r="Y101" s="83"/>
      <c r="Z101" s="83"/>
      <c r="AA101" s="83"/>
      <c r="AB101" s="153"/>
      <c r="AC101" s="82" t="str">
        <f>IF([10]回答表!F18="水道事業",IF([10]回答表!X51="●",[10]回答表!J210,IF([10]回答表!AA51="●",[10]回答表!J290,"")),"")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IF([10]回答表!F18="水道事業",IF([10]回答表!X51="●",[10]回答表!E256,IF([10]回答表!AA51="●",[10]回答表!E335,"")),"")</f>
        <v/>
      </c>
      <c r="BG102" s="151"/>
      <c r="BH102" s="151"/>
      <c r="BI102" s="151"/>
      <c r="BJ102" s="150" t="str">
        <f>IF([10]回答表!F18="水道事業",IF([10]回答表!X51="●",[10]回答表!E257,IF([10]回答表!AA51="●",[10]回答表!E336,"")),"")</f>
        <v/>
      </c>
      <c r="BK102" s="151"/>
      <c r="BL102" s="151"/>
      <c r="BM102" s="151"/>
      <c r="BN102" s="150" t="str">
        <f>IF([10]回答表!F18="水道事業",IF([10]回答表!X51="●",[10]回答表!E258,IF([10]回答表!AA51="●",[10]回答表!E337,"")),"")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IF([10]回答表!F18="水道事業",IF([10]回答表!AA51="●","●",""),"")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IF([10]回答表!F18="水道事業",IF([10]回答表!X51="●",[10]回答表!J213,IF([10]回答表!AA51="●",[10]回答表!J293,"")),"")</f>
        <v/>
      </c>
      <c r="V106" s="83"/>
      <c r="W106" s="83"/>
      <c r="X106" s="83"/>
      <c r="Y106" s="83"/>
      <c r="Z106" s="83"/>
      <c r="AA106" s="83"/>
      <c r="AB106" s="153"/>
      <c r="AC106" s="82" t="str">
        <f>IF([10]回答表!F18="水道事業",IF([10]回答表!X51="●",[10]回答表!J217,IF([10]回答表!AA51="●",[10]回答表!J297,"")),"")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IF([10]回答表!F18="水道事業",IF([10]回答表!X51="●",[10]回答表!E265,IF([10]回答表!AA51="●",[10]回答表!E344,"")),"")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IF([10]回答表!F18="水道事業",IF([10]回答表!X51="●",[10]回答表!B267,IF([10]回答表!AA51="●",[10]回答表!B346,"")),"")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IF([10]回答表!F18="水道事業",IF([10]回答表!AD51="●","●",""),"")</f>
        <v/>
      </c>
      <c r="O118" s="131"/>
      <c r="P118" s="131"/>
      <c r="Q118" s="132"/>
      <c r="R118" s="119"/>
      <c r="S118" s="119"/>
      <c r="T118" s="119"/>
      <c r="U118" s="133" t="str">
        <f>IF([10]回答表!F18="水道事業",IF([10]回答表!AD51="●",[10]回答表!B354,""),"")</f>
        <v/>
      </c>
      <c r="V118" s="134"/>
      <c r="W118" s="134"/>
      <c r="X118" s="134"/>
      <c r="Y118" s="134"/>
      <c r="Z118" s="134"/>
      <c r="AA118" s="134"/>
      <c r="AB118" s="134"/>
      <c r="AC118" s="134"/>
      <c r="AD118" s="134"/>
      <c r="AE118" s="134"/>
      <c r="AF118" s="134"/>
      <c r="AG118" s="134"/>
      <c r="AH118" s="134"/>
      <c r="AI118" s="134"/>
      <c r="AJ118" s="135"/>
      <c r="AK118" s="189"/>
      <c r="AL118" s="189"/>
      <c r="AM118" s="133" t="str">
        <f>IF([10]回答表!F18="水道事業",IF([10]回答表!AD51="●",[10]回答表!B360,""),"")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IF([10]回答表!F18="簡易水道事業",IF([10]回答表!X51="●",[10]回答表!B197,IF([10]回答表!AA51="●",[10]回答表!B275,"")),"")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IF([10]回答表!F18="簡易水道事業",IF([10]回答表!X51="●",[10]回答表!B256,IF([10]回答表!AA51="●",[10]回答表!B335,"")),"")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IF([10]回答表!F18="簡易水道事業",IF([10]回答表!X51="●","●",""),"")</f>
        <v/>
      </c>
      <c r="O132" s="131"/>
      <c r="P132" s="131"/>
      <c r="Q132" s="132"/>
      <c r="R132" s="119"/>
      <c r="S132" s="119"/>
      <c r="T132" s="119"/>
      <c r="U132" s="82" t="str">
        <f>IF([10]回答表!F18="簡易水道事業",IF([10]回答表!X51="●",[10]回答表!S224,IF([10]回答表!AA51="●",[10]回答表!S304,"")),"")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IF([10]回答表!F18="簡易水道事業",IF([10]回答表!X51="●",[10]回答表!E256,IF([10]回答表!AA51="●",[10]回答表!E335,"")),"")</f>
        <v/>
      </c>
      <c r="BG133" s="151"/>
      <c r="BH133" s="151"/>
      <c r="BI133" s="151"/>
      <c r="BJ133" s="150" t="str">
        <f>IF([10]回答表!F18="簡易水道事業",IF([10]回答表!X51="●",[10]回答表!E257,IF([10]回答表!AA51="●",[10]回答表!E336,"")),"")</f>
        <v/>
      </c>
      <c r="BK133" s="151"/>
      <c r="BL133" s="151"/>
      <c r="BM133" s="151"/>
      <c r="BN133" s="150" t="str">
        <f>IF([10]回答表!F18="簡易水道事業",IF([10]回答表!X51="●",[10]回答表!E258,IF([10]回答表!AA51="●",[10]回答表!E337,"")),"")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IF([10]回答表!F18="簡易水道事業",IF([10]回答表!X51="●",[10]回答表!S225,IF([10]回答表!AA51="●",[10]回答表!S305,"")),"")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IF([10]回答表!F18="簡易水道事業",IF([10]回答表!AA51="●","●",""),"")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IF([10]回答表!F18="簡易水道事業",IF([10]回答表!X51="●",[10]回答表!S226,IF([10]回答表!AA51="●",[10]回答表!S306,"")),"")</f>
        <v/>
      </c>
      <c r="V142" s="83"/>
      <c r="W142" s="83"/>
      <c r="X142" s="83"/>
      <c r="Y142" s="83"/>
      <c r="Z142" s="83"/>
      <c r="AA142" s="83"/>
      <c r="AB142" s="83"/>
      <c r="AC142" s="83"/>
      <c r="AD142" s="83"/>
      <c r="AE142" s="83"/>
      <c r="AF142" s="83"/>
      <c r="AG142" s="83"/>
      <c r="AH142" s="83"/>
      <c r="AI142" s="83"/>
      <c r="AJ142" s="153"/>
      <c r="AK142" s="68"/>
      <c r="AL142" s="68"/>
      <c r="AM142" s="231" t="str">
        <f>IF([10]回答表!F18="簡易水道事業",IF([10]回答表!X51="●",[10]回答表!Y228,IF([10]回答表!AA51="●",[10]回答表!Y308,"")),"")</f>
        <v/>
      </c>
      <c r="AN142" s="231"/>
      <c r="AO142" s="231"/>
      <c r="AP142" s="231"/>
      <c r="AQ142" s="231"/>
      <c r="AR142" s="231"/>
      <c r="AS142" s="231" t="str">
        <f>IF([10]回答表!F18="簡易水道事業",IF([10]回答表!X51="●",[10]回答表!Y229,IF([10]回答表!AA51="●",[10]回答表!Y309,"")),"")</f>
        <v/>
      </c>
      <c r="AT142" s="231"/>
      <c r="AU142" s="231"/>
      <c r="AV142" s="231"/>
      <c r="AW142" s="231"/>
      <c r="AX142" s="231"/>
      <c r="AY142" s="231" t="str">
        <f>IF([10]回答表!F18="簡易水道事業",IF([10]回答表!X51="●",[10]回答表!Y230,IF([10]回答表!AA51="●",[10]回答表!Y310,"")),"")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IF([10]回答表!F18="簡易水道事業",IF([10]回答表!X51="●",[10]回答表!E265,IF([10]回答表!AA51="●",[10]回答表!E344,"")),"")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IF([10]回答表!F18="簡易水道事業",IF([10]回答表!X51="●",[10]回答表!B267,IF([10]回答表!AA51="●",[10]回答表!B346,"")),"")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IF([10]回答表!F18="簡易水道事業",IF([10]回答表!AD51="●","●",""),"")</f>
        <v/>
      </c>
      <c r="O154" s="131"/>
      <c r="P154" s="131"/>
      <c r="Q154" s="132"/>
      <c r="R154" s="119"/>
      <c r="S154" s="119"/>
      <c r="T154" s="119"/>
      <c r="U154" s="133" t="str">
        <f>IF([10]回答表!F18="簡易水道事業",IF([10]回答表!AD51="●",[10]回答表!B354,""),"")</f>
        <v/>
      </c>
      <c r="V154" s="134"/>
      <c r="W154" s="134"/>
      <c r="X154" s="134"/>
      <c r="Y154" s="134"/>
      <c r="Z154" s="134"/>
      <c r="AA154" s="134"/>
      <c r="AB154" s="134"/>
      <c r="AC154" s="134"/>
      <c r="AD154" s="134"/>
      <c r="AE154" s="134"/>
      <c r="AF154" s="134"/>
      <c r="AG154" s="134"/>
      <c r="AH154" s="134"/>
      <c r="AI154" s="134"/>
      <c r="AJ154" s="135"/>
      <c r="AK154" s="189"/>
      <c r="AL154" s="189"/>
      <c r="AM154" s="133" t="str">
        <f>IF([10]回答表!F18="簡易水道事業",IF([10]回答表!AD51="●",[10]回答表!B360,""),"")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IF([10]回答表!F18="下水道事業",IF([10]回答表!X51="●","●",""),"")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IF([10]回答表!F18="下水道事業",IF([10]回答表!X51="●",[10]回答表!B197,IF([10]回答表!AA51="●",[10]回答表!B275,"")),"")</f>
        <v>　処理施設を多く抱え維持管理費の縮減が課題となっており、特定環境公共下水道処理施設を廃止し、公共下水道処理施設に統合する計画で、令和６年度に工事を行うこととしている。処理施設数が減ることで維持管理費用が減少すると見込んでい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IF([10]回答表!F18="下水道事業",IF([10]回答表!X51="●",[10]回答表!B256,IF([10]回答表!AA51="●",[10]回答表!B335,"")),"")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IF([10]回答表!F18="下水道事業",IF([10]回答表!X51="●",[10]回答表!N234,IF([10]回答表!AA51="●",[10]回答表!N314,"")),"")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IF([10]回答表!F18="下水道事業",IF([10]回答表!X51="●",[10]回答表!E256,IF([10]回答表!AA51="●",[10]回答表!E335,"")),"")</f>
        <v>7</v>
      </c>
      <c r="BG169" s="151"/>
      <c r="BH169" s="151"/>
      <c r="BI169" s="151"/>
      <c r="BJ169" s="150">
        <f>IF([10]回答表!F18="下水道事業",IF([10]回答表!X51="●",[10]回答表!E257,IF([10]回答表!AA51="●",[10]回答表!E336,"")),"")</f>
        <v>4</v>
      </c>
      <c r="BK169" s="151"/>
      <c r="BL169" s="151"/>
      <c r="BM169" s="151"/>
      <c r="BN169" s="150">
        <f>IF([10]回答表!F18="下水道事業",IF([10]回答表!X51="●",[10]回答表!E258,IF([10]回答表!AA51="●",[10]回答表!E337,"")),"")</f>
        <v>1</v>
      </c>
      <c r="BO169" s="151"/>
      <c r="BP169" s="151"/>
      <c r="BQ169" s="152"/>
      <c r="BR169" s="112"/>
      <c r="BX169" s="234" t="str">
        <f>IF([10]回答表!AQ21="下水道事業",IF([10]回答表!BI54="○",[10]回答表!AM200,IF([10]回答表!BL54="○",[10]回答表!AM278,"")),"")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IF([10]回答表!F18="下水道事業",IF([10]回答表!X51="●",[10]回答表!Y236,IF([10]回答表!AA51="●",[10]回答表!Y316,"")),"")</f>
        <v>●</v>
      </c>
      <c r="V174" s="83"/>
      <c r="W174" s="83"/>
      <c r="X174" s="83"/>
      <c r="Y174" s="83"/>
      <c r="Z174" s="83"/>
      <c r="AA174" s="83"/>
      <c r="AB174" s="153"/>
      <c r="AC174" s="82" t="str">
        <f>IF([10]回答表!F18="下水道事業",IF([10]回答表!X51="●",[10]回答表!Y237,IF([10]回答表!AA51="●",[10]回答表!Y317,"")),"")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IF([10]回答表!F18="下水道事業",IF([10]回答表!X51="●",[10]回答表!Y239,IF([10]回答表!AA51="●",[10]回答表!Y319,"")),"")</f>
        <v xml:space="preserve"> </v>
      </c>
      <c r="V180" s="83"/>
      <c r="W180" s="83"/>
      <c r="X180" s="83"/>
      <c r="Y180" s="83"/>
      <c r="Z180" s="83"/>
      <c r="AA180" s="83"/>
      <c r="AB180" s="153"/>
      <c r="AC180" s="82" t="str">
        <f>IF([10]回答表!F18="下水道事業",IF([10]回答表!X51="●",[10]回答表!Y240,IF([10]回答表!AA51="●",[10]回答表!Y320,"")),"")</f>
        <v xml:space="preserve"> </v>
      </c>
      <c r="AD180" s="83"/>
      <c r="AE180" s="83"/>
      <c r="AF180" s="83"/>
      <c r="AG180" s="83"/>
      <c r="AH180" s="83"/>
      <c r="AI180" s="83"/>
      <c r="AJ180" s="153"/>
      <c r="AK180" s="82" t="str">
        <f>IF([10]回答表!F18="下水道事業",IF([10]回答表!X51="●",[10]回答表!Y241,IF([10]回答表!AA51="●",[10]回答表!Y321,"")),"")</f>
        <v xml:space="preserve"> </v>
      </c>
      <c r="AL180" s="83"/>
      <c r="AM180" s="83"/>
      <c r="AN180" s="83"/>
      <c r="AO180" s="83"/>
      <c r="AP180" s="83"/>
      <c r="AQ180" s="83"/>
      <c r="AR180" s="153"/>
      <c r="AS180" s="82" t="str">
        <f>IF([10]回答表!F18="下水道事業",IF([10]回答表!X51="●",[10]回答表!Y242,IF([10]回答表!AA51="●",[10]回答表!Y322,"")),"")</f>
        <v>●</v>
      </c>
      <c r="AT180" s="83"/>
      <c r="AU180" s="83"/>
      <c r="AV180" s="83"/>
      <c r="AW180" s="83"/>
      <c r="AX180" s="83"/>
      <c r="AY180" s="83"/>
      <c r="AZ180" s="153"/>
      <c r="BA180" s="82" t="str">
        <f>IF([10]回答表!F18="下水道事業",IF([10]回答表!X51="●",[10]回答表!Y243,IF([10]回答表!AA51="●",[10]回答表!Y323,"")),"")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IF([10]回答表!F18="下水道事業",IF([10]回答表!AA51="●","●",""),"")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IF([10]回答表!F18="下水道事業",IF([10]回答表!X51="●",[10]回答表!N248,IF([10]回答表!AA51="●",[10]回答表!N328,"")),"")</f>
        <v xml:space="preserve"> </v>
      </c>
      <c r="V186" s="83"/>
      <c r="W186" s="83"/>
      <c r="X186" s="83"/>
      <c r="Y186" s="83"/>
      <c r="Z186" s="83"/>
      <c r="AA186" s="83"/>
      <c r="AB186" s="153"/>
      <c r="AC186" s="82" t="str">
        <f>IF([10]回答表!F18="下水道事業",IF([10]回答表!X51="●",[10]回答表!N249,IF([10]回答表!AA51="●",[10]回答表!N329,"")),"")</f>
        <v xml:space="preserve"> </v>
      </c>
      <c r="AD186" s="83"/>
      <c r="AE186" s="83"/>
      <c r="AF186" s="83"/>
      <c r="AG186" s="83"/>
      <c r="AH186" s="83"/>
      <c r="AI186" s="83"/>
      <c r="AJ186" s="153"/>
      <c r="AK186" s="82" t="str">
        <f>IF([10]回答表!F18="下水道事業",IF([10]回答表!X51="●",[10]回答表!N250,IF([10]回答表!AA51="●",[10]回答表!N330,"")),"")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IF([10]回答表!F18="下水道事業",IF([10]回答表!X51="●",[10]回答表!E265,IF([10]回答表!AA51="●",[10]回答表!E344,"")),"")</f>
        <v>21.9</v>
      </c>
      <c r="V191" s="182"/>
      <c r="W191" s="182"/>
      <c r="X191" s="182"/>
      <c r="Y191" s="182"/>
      <c r="Z191" s="182"/>
      <c r="AA191" s="182"/>
      <c r="AB191" s="182"/>
      <c r="AC191" s="182"/>
      <c r="AD191" s="182"/>
      <c r="AE191" s="183" t="s">
        <v>33</v>
      </c>
      <c r="AF191" s="183"/>
      <c r="AG191" s="183"/>
      <c r="AH191" s="183"/>
      <c r="AI191" s="183"/>
      <c r="AJ191" s="184"/>
      <c r="AK191" s="136"/>
      <c r="AL191" s="136"/>
      <c r="AM191" s="133" t="str">
        <f>IF([10]回答表!F18="下水道事業",IF([10]回答表!X51="●",[10]回答表!B267,IF([10]回答表!AA51="●",[10]回答表!B346,"")),"")</f>
        <v>①維持管理費　　　　　年▲8.8百万円
②維持管理委託料　　年▲13.1百万円</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IF([10]回答表!F18="下水道事業",IF([10]回答表!AD51="●","●",""),"")</f>
        <v/>
      </c>
      <c r="O198" s="131"/>
      <c r="P198" s="131"/>
      <c r="Q198" s="132"/>
      <c r="R198" s="119"/>
      <c r="S198" s="119"/>
      <c r="T198" s="119"/>
      <c r="U198" s="133" t="str">
        <f>IF([10]回答表!F18="下水道事業",IF([10]回答表!AD51="●",[10]回答表!B354,""),"")</f>
        <v/>
      </c>
      <c r="V198" s="134"/>
      <c r="W198" s="134"/>
      <c r="X198" s="134"/>
      <c r="Y198" s="134"/>
      <c r="Z198" s="134"/>
      <c r="AA198" s="134"/>
      <c r="AB198" s="134"/>
      <c r="AC198" s="134"/>
      <c r="AD198" s="134"/>
      <c r="AE198" s="134"/>
      <c r="AF198" s="134"/>
      <c r="AG198" s="134"/>
      <c r="AH198" s="134"/>
      <c r="AI198" s="134"/>
      <c r="AJ198" s="135"/>
      <c r="AK198" s="189"/>
      <c r="AL198" s="189"/>
      <c r="AM198" s="133" t="str">
        <f>IF([10]回答表!F18="下水道事業",IF([10]回答表!AD51="●",[10]回答表!B360,""),"")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IF([10]回答表!BD18="●",IF([10]回答表!X51="●","●",""),"")</f>
        <v/>
      </c>
      <c r="O210" s="131"/>
      <c r="P210" s="131"/>
      <c r="Q210" s="132"/>
      <c r="R210" s="119"/>
      <c r="S210" s="119"/>
      <c r="T210" s="119"/>
      <c r="U210" s="133" t="str">
        <f>IF([10]回答表!BD18="●",IF([10]回答表!X51="●",[10]回答表!B197,IF([10]回答表!AA51="●",[10]回答表!B275,"")),"")</f>
        <v/>
      </c>
      <c r="V210" s="134"/>
      <c r="W210" s="134"/>
      <c r="X210" s="134"/>
      <c r="Y210" s="134"/>
      <c r="Z210" s="134"/>
      <c r="AA210" s="134"/>
      <c r="AB210" s="134"/>
      <c r="AC210" s="134"/>
      <c r="AD210" s="134"/>
      <c r="AE210" s="134"/>
      <c r="AF210" s="134"/>
      <c r="AG210" s="134"/>
      <c r="AH210" s="134"/>
      <c r="AI210" s="134"/>
      <c r="AJ210" s="135"/>
      <c r="AK210" s="136"/>
      <c r="AL210" s="136"/>
      <c r="AM210" s="138" t="str">
        <f>IF([10]回答表!BD18="●",IF([10]回答表!X51="●",[10]回答表!B256,IF([10]回答表!AA51="●",[10]回答表!B335,"")),"")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IF([10]回答表!BD18="●",IF([10]回答表!X51="●",[10]回答表!E256,IF([10]回答表!AA51="●",[10]回答表!E335,"")),"")</f>
        <v/>
      </c>
      <c r="AN213" s="151"/>
      <c r="AO213" s="151"/>
      <c r="AP213" s="151"/>
      <c r="AQ213" s="150" t="str">
        <f>IF([10]回答表!BD18="●",IF([10]回答表!X51="●",[10]回答表!E257,IF([10]回答表!AA51="●",[10]回答表!E336,"")),"")</f>
        <v/>
      </c>
      <c r="AR213" s="151"/>
      <c r="AS213" s="151"/>
      <c r="AT213" s="151"/>
      <c r="AU213" s="150" t="str">
        <f>IF([10]回答表!BD18="●",IF([10]回答表!X51="●",[10]回答表!E258,IF([10]回答表!AA51="●",[10]回答表!E337,"")),"")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IF([10]回答表!BD18="●",IF([10]回答表!AA51="●","●",""),"")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IF([10]回答表!BD18="●",IF([10]回答表!X51="●",[10]回答表!E265,IF([10]回答表!AA51="●",[10]回答表!E344,"")),"")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IF([10]回答表!BD18="●",IF([10]回答表!X51="●",[10]回答表!B267,IF([10]回答表!AA51="●",[10]回答表!B346,"")),"")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IF([10]回答表!BD18="●",IF([10]回答表!AD51="●","●",""),"")</f>
        <v/>
      </c>
      <c r="O229" s="131"/>
      <c r="P229" s="131"/>
      <c r="Q229" s="132"/>
      <c r="R229" s="119"/>
      <c r="S229" s="119"/>
      <c r="T229" s="119"/>
      <c r="U229" s="133" t="str">
        <f>IF([10]回答表!BD18="●",IF([10]回答表!AD51="●",[10]回答表!B354,""),"")</f>
        <v/>
      </c>
      <c r="V229" s="134"/>
      <c r="W229" s="134"/>
      <c r="X229" s="134"/>
      <c r="Y229" s="134"/>
      <c r="Z229" s="134"/>
      <c r="AA229" s="134"/>
      <c r="AB229" s="134"/>
      <c r="AC229" s="134"/>
      <c r="AD229" s="134"/>
      <c r="AE229" s="134"/>
      <c r="AF229" s="134"/>
      <c r="AG229" s="134"/>
      <c r="AH229" s="134"/>
      <c r="AI229" s="134"/>
      <c r="AJ229" s="135"/>
      <c r="AK229" s="249"/>
      <c r="AL229" s="249"/>
      <c r="AM229" s="133" t="str">
        <f>IF([10]回答表!BD18="●",IF([10]回答表!AD51="●",[10]回答表!B360,""),"")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IF([10]回答表!X52="●","●","")</f>
        <v/>
      </c>
      <c r="O241" s="131"/>
      <c r="P241" s="131"/>
      <c r="Q241" s="132"/>
      <c r="R241" s="119"/>
      <c r="S241" s="119"/>
      <c r="T241" s="119"/>
      <c r="U241" s="133" t="str">
        <f>IF([10]回答表!X52="●",[10]回答表!B371,IF([10]回答表!AA52="●",[10]回答表!B396,""))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IF([10]回答表!X52="●",[10]回答表!U377,IF([10]回答表!AA52="●",[10]回答表!U402,""))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IF([10]回答表!X52="●",[10]回答表!G377,IF([10]回答表!AA52="●",[10]回答表!G402,""))</f>
        <v/>
      </c>
      <c r="AN244" s="83"/>
      <c r="AO244" s="83"/>
      <c r="AP244" s="83"/>
      <c r="AQ244" s="83"/>
      <c r="AR244" s="83"/>
      <c r="AS244" s="83"/>
      <c r="AT244" s="153"/>
      <c r="AU244" s="82" t="str">
        <f>IF([10]回答表!X52="●",[10]回答表!G378,IF([10]回答表!AA52="●",[10]回答表!G403,""))</f>
        <v/>
      </c>
      <c r="AV244" s="83"/>
      <c r="AW244" s="83"/>
      <c r="AX244" s="83"/>
      <c r="AY244" s="83"/>
      <c r="AZ244" s="83"/>
      <c r="BA244" s="83"/>
      <c r="BB244" s="153"/>
      <c r="BC244" s="120"/>
      <c r="BD244" s="109"/>
      <c r="BE244" s="109"/>
      <c r="BF244" s="150" t="str">
        <f>IF([10]回答表!X52="●",[10]回答表!X377,IF([10]回答表!AA52="●",[10]回答表!X402,""))</f>
        <v/>
      </c>
      <c r="BG244" s="151"/>
      <c r="BH244" s="151"/>
      <c r="BI244" s="151"/>
      <c r="BJ244" s="150" t="str">
        <f>IF([10]回答表!X52="●",[10]回答表!X378,IF([10]回答表!AA52="●",[10]回答表!X403,""))</f>
        <v/>
      </c>
      <c r="BK244" s="151"/>
      <c r="BL244" s="151"/>
      <c r="BM244" s="152"/>
      <c r="BN244" s="150" t="str">
        <f>IF([10]回答表!X52="●",[10]回答表!X379,IF([10]回答表!AA52="●",[10]回答表!X404,""))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IF([10]回答表!AA52="●","●","")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IF([10]回答表!X52="●",[10]回答表!E386,IF([10]回答表!AA52="●",[10]回答表!E407,""))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IF([10]回答表!X52="●",[10]回答表!B388,IF([10]回答表!AA52="●",[10]回答表!B409,""))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IF([10]回答表!AD52="●","●","")</f>
        <v/>
      </c>
      <c r="O260" s="131"/>
      <c r="P260" s="131"/>
      <c r="Q260" s="132"/>
      <c r="R260" s="119"/>
      <c r="S260" s="119"/>
      <c r="T260" s="119"/>
      <c r="U260" s="133" t="str">
        <f>IF([10]回答表!AD52="●",[10]回答表!B417,"")</f>
        <v/>
      </c>
      <c r="V260" s="134"/>
      <c r="W260" s="134"/>
      <c r="X260" s="134"/>
      <c r="Y260" s="134"/>
      <c r="Z260" s="134"/>
      <c r="AA260" s="134"/>
      <c r="AB260" s="134"/>
      <c r="AC260" s="134"/>
      <c r="AD260" s="134"/>
      <c r="AE260" s="134"/>
      <c r="AF260" s="134"/>
      <c r="AG260" s="134"/>
      <c r="AH260" s="134"/>
      <c r="AI260" s="134"/>
      <c r="AJ260" s="135"/>
      <c r="AK260" s="249"/>
      <c r="AL260" s="249"/>
      <c r="AM260" s="133" t="str">
        <f>IF([10]回答表!AD52="●",[10]回答表!B423,"")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IF([10]回答表!X53="●","●","")</f>
        <v/>
      </c>
      <c r="O272" s="131"/>
      <c r="P272" s="131"/>
      <c r="Q272" s="132"/>
      <c r="R272" s="119"/>
      <c r="S272" s="119"/>
      <c r="T272" s="119"/>
      <c r="U272" s="133" t="str">
        <f>IF([10]回答表!X53="●",[10]回答表!B434,IF([10]回答表!AA53="●",[10]回答表!B465,""))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IF([10]回答表!X53="●",[10]回答表!B440,"")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IF([10]回答表!X53="●",[10]回答表!B446,IF([10]回答表!AA53="●",[10]回答表!B471,""))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IF([10]回答表!X53="●",[10]回答表!E446,IF([10]回答表!AA53="●",[10]回答表!E471,""))</f>
        <v/>
      </c>
      <c r="BG275" s="151"/>
      <c r="BH275" s="151"/>
      <c r="BI275" s="151"/>
      <c r="BJ275" s="150" t="str">
        <f>IF([10]回答表!X53="●",[10]回答表!E447,IF([10]回答表!AA53="●",[10]回答表!E472,""))</f>
        <v/>
      </c>
      <c r="BK275" s="151"/>
      <c r="BL275" s="151"/>
      <c r="BM275" s="152"/>
      <c r="BN275" s="150" t="str">
        <f>IF([10]回答表!X53="●",[10]回答表!E448,IF([10]回答表!AA53="●",[10]回答表!E473,""))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IF([10]回答表!AA53="●","●","")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IF([10]回答表!X53="●",[10]回答表!E455,IF([10]回答表!AA53="●",[10]回答表!E476,""))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IF([10]回答表!X53="●",[10]回答表!B457,IF([10]回答表!AA53="●",[10]回答表!B478,""))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IF([10]回答表!AD53="●","●","")</f>
        <v/>
      </c>
      <c r="O291" s="131"/>
      <c r="P291" s="131"/>
      <c r="Q291" s="132"/>
      <c r="R291" s="119"/>
      <c r="S291" s="119"/>
      <c r="T291" s="119"/>
      <c r="U291" s="133" t="str">
        <f>IF([10]回答表!AD53="●",[10]回答表!B486,"")</f>
        <v/>
      </c>
      <c r="V291" s="134"/>
      <c r="W291" s="134"/>
      <c r="X291" s="134"/>
      <c r="Y291" s="134"/>
      <c r="Z291" s="134"/>
      <c r="AA291" s="134"/>
      <c r="AB291" s="134"/>
      <c r="AC291" s="134"/>
      <c r="AD291" s="134"/>
      <c r="AE291" s="134"/>
      <c r="AF291" s="134"/>
      <c r="AG291" s="134"/>
      <c r="AH291" s="134"/>
      <c r="AI291" s="134"/>
      <c r="AJ291" s="135"/>
      <c r="AK291" s="249"/>
      <c r="AL291" s="249"/>
      <c r="AM291" s="133" t="str">
        <f>IF([10]回答表!AD53="●",[10]回答表!B492,"")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IF([10]回答表!X54="●","●","")</f>
        <v/>
      </c>
      <c r="O303" s="131"/>
      <c r="P303" s="131"/>
      <c r="Q303" s="132"/>
      <c r="R303" s="119"/>
      <c r="S303" s="119"/>
      <c r="T303" s="119"/>
      <c r="U303" s="133" t="str">
        <f>IF([10]回答表!X54="●",[10]回答表!B503,IF([10]回答表!AA54="●",[10]回答表!B526,""))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IF([10]回答表!X54="●",[10]回答表!BC510,IF([10]回答表!AA54="●",[10]回答表!BC533,""))</f>
        <v/>
      </c>
      <c r="AR303" s="271"/>
      <c r="AS303" s="271"/>
      <c r="AT303" s="271"/>
      <c r="AU303" s="272" t="s">
        <v>74</v>
      </c>
      <c r="AV303" s="273"/>
      <c r="AW303" s="273"/>
      <c r="AX303" s="274"/>
      <c r="AY303" s="271" t="str">
        <f>IF([10]回答表!X54="●",[10]回答表!BC515,IF([10]回答表!AA54="●",[10]回答表!BC538,""))</f>
        <v/>
      </c>
      <c r="AZ303" s="271"/>
      <c r="BA303" s="271"/>
      <c r="BB303" s="271"/>
      <c r="BC303" s="120"/>
      <c r="BD303" s="109"/>
      <c r="BE303" s="109"/>
      <c r="BF303" s="138" t="str">
        <f>IF([10]回答表!X54="●",[10]回答表!S509,IF([10]回答表!AA54="●",[10]回答表!S532,""))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IF([10]回答表!X54="●",[10]回答表!BC511,IF([10]回答表!AA54="●",[10]回答表!BC534,""))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IF([10]回答表!X54="●",[10]回答表!V509,IF([10]回答表!AA54="●",[10]回答表!V532,""))</f>
        <v/>
      </c>
      <c r="BG306" s="151"/>
      <c r="BH306" s="151"/>
      <c r="BI306" s="151"/>
      <c r="BJ306" s="150" t="str">
        <f>IF([10]回答表!X54="●",[10]回答表!V510,IF([10]回答表!AA54="●",[10]回答表!V533,""))</f>
        <v/>
      </c>
      <c r="BK306" s="151"/>
      <c r="BL306" s="151"/>
      <c r="BM306" s="152"/>
      <c r="BN306" s="150" t="str">
        <f>IF([10]回答表!X54="●",[10]回答表!V511,IF([10]回答表!AA54="●",[10]回答表!V534,""))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IF([10]回答表!X54="●",[10]回答表!BC512,IF([10]回答表!AA54="●",[10]回答表!BC535,""))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IF([10]回答表!X54="●",[10]回答表!BC516,IF([10]回答表!AA54="●",[10]回答表!BC539,""))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IF([10]回答表!AA54="●","●","")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IF([10]回答表!X54="●",[10]回答表!BC513,IF([10]回答表!AA54="●",[10]回答表!BC536,""))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IF([10]回答表!X54="●",[10]回答表!BC514,IF([10]回答表!AA54="●",[10]回答表!BC537,""))</f>
        <v/>
      </c>
      <c r="AR311" s="271"/>
      <c r="AS311" s="271"/>
      <c r="AT311" s="271"/>
      <c r="AU311" s="222" t="s">
        <v>80</v>
      </c>
      <c r="AV311" s="223"/>
      <c r="AW311" s="223"/>
      <c r="AX311" s="224"/>
      <c r="AY311" s="281" t="str">
        <f>IF([10]回答表!X54="●",[10]回答表!BC517,IF([10]回答表!AA54="●",[10]回答表!BC540,""))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IF([10]回答表!X54="●",[10]回答表!E516,IF([10]回答表!AA54="●",[10]回答表!E538,""))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IF([10]回答表!X54="●",[10]回答表!B518,IF([10]回答表!AA54="●",[10]回答表!B540,""))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IF([10]回答表!AD54="●","●","")</f>
        <v/>
      </c>
      <c r="O322" s="131"/>
      <c r="P322" s="131"/>
      <c r="Q322" s="132"/>
      <c r="R322" s="119"/>
      <c r="S322" s="119"/>
      <c r="T322" s="119"/>
      <c r="U322" s="133" t="str">
        <f>IF([10]回答表!AD54="●",[10]回答表!B548,"")</f>
        <v/>
      </c>
      <c r="V322" s="134"/>
      <c r="W322" s="134"/>
      <c r="X322" s="134"/>
      <c r="Y322" s="134"/>
      <c r="Z322" s="134"/>
      <c r="AA322" s="134"/>
      <c r="AB322" s="134"/>
      <c r="AC322" s="134"/>
      <c r="AD322" s="134"/>
      <c r="AE322" s="134"/>
      <c r="AF322" s="134"/>
      <c r="AG322" s="134"/>
      <c r="AH322" s="134"/>
      <c r="AI322" s="134"/>
      <c r="AJ322" s="135"/>
      <c r="AK322" s="189"/>
      <c r="AL322" s="189"/>
      <c r="AM322" s="133" t="str">
        <f>IF([10]回答表!AD54="●",[10]回答表!B554,"")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IF([10]回答表!X55="●","●","")</f>
        <v/>
      </c>
      <c r="O333" s="131"/>
      <c r="P333" s="131"/>
      <c r="Q333" s="132"/>
      <c r="R333" s="119"/>
      <c r="S333" s="119"/>
      <c r="T333" s="119"/>
      <c r="U333" s="133" t="str">
        <f>IF([10]回答表!X55="●",[10]回答表!B565,IF([10]回答表!AA55="●",[10]回答表!B590,""))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IF([10]回答表!X55="●",[10]回答表!B575,IF([10]回答表!AA55="●",[10]回答表!B600,""))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IF([10]回答表!X55="●",[10]回答表!G571,IF([10]回答表!AA55="●",[10]回答表!G596,""))</f>
        <v/>
      </c>
      <c r="AN335" s="83"/>
      <c r="AO335" s="83"/>
      <c r="AP335" s="83"/>
      <c r="AQ335" s="83"/>
      <c r="AR335" s="83"/>
      <c r="AS335" s="83"/>
      <c r="AT335" s="153"/>
      <c r="AU335" s="82" t="str">
        <f>IF([10]回答表!X55="●",[10]回答表!G572,IF([10]回答表!AA55="●",[10]回答表!G597,""))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IF([10]回答表!X55="●",[10]回答表!E575,IF([10]回答表!AA55="●",[10]回答表!E600,""))</f>
        <v/>
      </c>
      <c r="BG336" s="151"/>
      <c r="BH336" s="151"/>
      <c r="BI336" s="151"/>
      <c r="BJ336" s="150" t="str">
        <f>IF([10]回答表!X55="●",[10]回答表!E576,IF([10]回答表!AA55="●",[10]回答表!E601,""))</f>
        <v/>
      </c>
      <c r="BK336" s="151"/>
      <c r="BL336" s="151"/>
      <c r="BM336" s="152"/>
      <c r="BN336" s="150" t="str">
        <f>IF([10]回答表!X55="●",[10]回答表!E577,IF([10]回答表!AA55="●",[10]回答表!E602,""))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IF([10]回答表!AA55="●","●","")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IF([10]回答表!X55="●",[10]回答表!E580,IF([10]回答表!AA55="●",[10]回答表!E605,""))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IF([10]回答表!X55="●",[10]回答表!B582,IF([10]回答表!AA55="●",[10]回答表!B607,""))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IF([10]回答表!AD55="●","●","")</f>
        <v/>
      </c>
      <c r="O352" s="131"/>
      <c r="P352" s="131"/>
      <c r="Q352" s="132"/>
      <c r="R352" s="119"/>
      <c r="S352" s="119"/>
      <c r="T352" s="119"/>
      <c r="U352" s="133" t="str">
        <f>IF([10]回答表!AD55="●",[10]回答表!B615,"")</f>
        <v/>
      </c>
      <c r="V352" s="134"/>
      <c r="W352" s="134"/>
      <c r="X352" s="134"/>
      <c r="Y352" s="134"/>
      <c r="Z352" s="134"/>
      <c r="AA352" s="134"/>
      <c r="AB352" s="134"/>
      <c r="AC352" s="134"/>
      <c r="AD352" s="134"/>
      <c r="AE352" s="134"/>
      <c r="AF352" s="134"/>
      <c r="AG352" s="134"/>
      <c r="AH352" s="134"/>
      <c r="AI352" s="134"/>
      <c r="AJ352" s="135"/>
      <c r="AK352" s="136"/>
      <c r="AL352" s="136"/>
      <c r="AM352" s="133" t="str">
        <f>IF([10]回答表!AD55="●",[10]回答表!B621,"")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IF([10]回答表!R56="●",[10]回答表!B634,"")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648F9-97E1-4731-B2D8-940EE38A3DBA}">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IF(COUNTIF([11]回答表!K16,"*")&gt;0,[11]回答表!K16,"")</f>
        <v>由利本荘市</v>
      </c>
      <c r="D11" s="8"/>
      <c r="E11" s="8"/>
      <c r="F11" s="8"/>
      <c r="G11" s="8"/>
      <c r="H11" s="8"/>
      <c r="I11" s="8"/>
      <c r="J11" s="8"/>
      <c r="K11" s="8"/>
      <c r="L11" s="8"/>
      <c r="M11" s="8"/>
      <c r="N11" s="8"/>
      <c r="O11" s="8"/>
      <c r="P11" s="8"/>
      <c r="Q11" s="8"/>
      <c r="R11" s="8"/>
      <c r="S11" s="8"/>
      <c r="T11" s="8"/>
      <c r="U11" s="22" t="str">
        <f>IF(COUNTIF([11]回答表!F18,"*")&gt;0,[11]回答表!F18,"")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IF(COUNTIF([11]回答表!W18,"*")&gt;0,[11]回答表!W18,"")</f>
        <v>小規模集合排水施設</v>
      </c>
      <c r="AP11" s="10"/>
      <c r="AQ11" s="10"/>
      <c r="AR11" s="10"/>
      <c r="AS11" s="10"/>
      <c r="AT11" s="10"/>
      <c r="AU11" s="10"/>
      <c r="AV11" s="10"/>
      <c r="AW11" s="10"/>
      <c r="AX11" s="10"/>
      <c r="AY11" s="10"/>
      <c r="AZ11" s="10"/>
      <c r="BA11" s="10"/>
      <c r="BB11" s="10"/>
      <c r="BC11" s="10"/>
      <c r="BD11" s="10"/>
      <c r="BE11" s="10"/>
      <c r="BF11" s="11"/>
      <c r="BG11" s="21" t="str">
        <f>IF(COUNTIF([11]回答表!F20,"*")&gt;0,[11]回答表!F20,"")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IF([11]回答表!R49="●","●","")</f>
        <v/>
      </c>
      <c r="E24" s="80"/>
      <c r="F24" s="80"/>
      <c r="G24" s="80"/>
      <c r="H24" s="80"/>
      <c r="I24" s="80"/>
      <c r="J24" s="81"/>
      <c r="K24" s="79" t="str">
        <f>IF([11]回答表!R50="●","●","")</f>
        <v/>
      </c>
      <c r="L24" s="80"/>
      <c r="M24" s="80"/>
      <c r="N24" s="80"/>
      <c r="O24" s="80"/>
      <c r="P24" s="80"/>
      <c r="Q24" s="81"/>
      <c r="R24" s="79" t="str">
        <f>IF([11]回答表!R51="●","●","")</f>
        <v/>
      </c>
      <c r="S24" s="80"/>
      <c r="T24" s="80"/>
      <c r="U24" s="80"/>
      <c r="V24" s="80"/>
      <c r="W24" s="80"/>
      <c r="X24" s="81"/>
      <c r="Y24" s="79" t="str">
        <f>IF([11]回答表!R52="●","●","")</f>
        <v/>
      </c>
      <c r="Z24" s="80"/>
      <c r="AA24" s="80"/>
      <c r="AB24" s="80"/>
      <c r="AC24" s="80"/>
      <c r="AD24" s="80"/>
      <c r="AE24" s="81"/>
      <c r="AF24" s="79" t="str">
        <f>IF([11]回答表!R53="●","●","")</f>
        <v/>
      </c>
      <c r="AG24" s="80"/>
      <c r="AH24" s="80"/>
      <c r="AI24" s="80"/>
      <c r="AJ24" s="80"/>
      <c r="AK24" s="80"/>
      <c r="AL24" s="81"/>
      <c r="AM24" s="79" t="str">
        <f>IF([11]回答表!R54="●","●","")</f>
        <v/>
      </c>
      <c r="AN24" s="80"/>
      <c r="AO24" s="80"/>
      <c r="AP24" s="80"/>
      <c r="AQ24" s="80"/>
      <c r="AR24" s="80"/>
      <c r="AS24" s="81"/>
      <c r="AT24" s="79" t="str">
        <f>IF([11]回答表!R55="●","●","")</f>
        <v/>
      </c>
      <c r="AU24" s="80"/>
      <c r="AV24" s="80"/>
      <c r="AW24" s="80"/>
      <c r="AX24" s="80"/>
      <c r="AY24" s="80"/>
      <c r="AZ24" s="81"/>
      <c r="BA24" s="68"/>
      <c r="BB24" s="82" t="str">
        <f>IF([11]回答表!R56="●","●","")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IF([11]回答表!X49="●","●","")</f>
        <v/>
      </c>
      <c r="O36" s="131"/>
      <c r="P36" s="131"/>
      <c r="Q36" s="132"/>
      <c r="R36" s="119"/>
      <c r="S36" s="119"/>
      <c r="T36" s="119"/>
      <c r="U36" s="133" t="str">
        <f>IF([11]回答表!X49="●",[11]回答表!B67,IF([11]回答表!AA49="●",[11]回答表!B95,""))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IF([11]回答表!X49="●",[11]回答表!S73,IF([11]回答表!AA49="●",[11]回答表!S101,""))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IF([11]回答表!X49="●",[11]回答表!G73,IF([11]回答表!AA49="●",[11]回答表!G101,""))</f>
        <v/>
      </c>
      <c r="AN38" s="83"/>
      <c r="AO38" s="83"/>
      <c r="AP38" s="83"/>
      <c r="AQ38" s="83"/>
      <c r="AR38" s="83"/>
      <c r="AS38" s="83"/>
      <c r="AT38" s="153"/>
      <c r="AU38" s="82" t="str">
        <f>IF([11]回答表!X49="●",[11]回答表!G74,IF([11]回答表!AA49="●",[11]回答表!G102,""))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IF([11]回答表!X49="●",[11]回答表!V73,IF([11]回答表!AA49="●",[11]回答表!V101,""))</f>
        <v/>
      </c>
      <c r="BG39" s="16"/>
      <c r="BH39" s="16"/>
      <c r="BI39" s="17"/>
      <c r="BJ39" s="150" t="str">
        <f>IF([11]回答表!X49="●",[11]回答表!V74,IF([11]回答表!AA49="●",[11]回答表!V102,""))</f>
        <v/>
      </c>
      <c r="BK39" s="16"/>
      <c r="BL39" s="16"/>
      <c r="BM39" s="17"/>
      <c r="BN39" s="150" t="str">
        <f>IF([11]回答表!X49="●",[11]回答表!V75,IF([11]回答表!AA49="●",[11]回答表!V103,""))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IF([11]回答表!X49="●",[11]回答表!O79,IF([11]回答表!AA49="●",[11]回答表!O107,""))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IF([11]回答表!X49="●",[11]回答表!O80,IF([11]回答表!AA49="●",[11]回答表!O108,""))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IF([11]回答表!X49="●",[11]回答表!O81,IF([11]回答表!AA49="●",[11]回答表!O109,""))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IF([11]回答表!X49="●",[11]回答表!O82,IF([11]回答表!AA49="●",[11]回答表!O110,""))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IF([11]回答表!X49="●",[11]回答表!AG79,IF([11]回答表!AA49="●",[11]回答表!AG107,""))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IF([11]回答表!X49="●",[11]回答表!AG80,IF([11]回答表!AA49="●",[11]回答表!AG108,""))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IF([11]回答表!X49="●",[11]回答表!E85,IF([11]回答表!AA49="●",[11]回答表!E113,""))</f>
        <v/>
      </c>
      <c r="V50" s="182"/>
      <c r="W50" s="182"/>
      <c r="X50" s="182"/>
      <c r="Y50" s="182"/>
      <c r="Z50" s="182"/>
      <c r="AA50" s="182"/>
      <c r="AB50" s="182"/>
      <c r="AC50" s="182"/>
      <c r="AD50" s="182"/>
      <c r="AE50" s="183" t="s">
        <v>33</v>
      </c>
      <c r="AF50" s="183"/>
      <c r="AG50" s="183"/>
      <c r="AH50" s="183"/>
      <c r="AI50" s="183"/>
      <c r="AJ50" s="184"/>
      <c r="AK50" s="136"/>
      <c r="AL50" s="136"/>
      <c r="AM50" s="133" t="str">
        <f>IF([11]回答表!X49="●",[11]回答表!B87,IF([11]回答表!AA49="●",[11]回答表!B115,""))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IF([11]回答表!AD49="●","●","")</f>
        <v/>
      </c>
      <c r="O57" s="131"/>
      <c r="P57" s="131"/>
      <c r="Q57" s="132"/>
      <c r="R57" s="119"/>
      <c r="S57" s="119"/>
      <c r="T57" s="119"/>
      <c r="U57" s="133" t="str">
        <f>IF([11]回答表!AD49="●",[11]回答表!B123,"")</f>
        <v/>
      </c>
      <c r="V57" s="134"/>
      <c r="W57" s="134"/>
      <c r="X57" s="134"/>
      <c r="Y57" s="134"/>
      <c r="Z57" s="134"/>
      <c r="AA57" s="134"/>
      <c r="AB57" s="134"/>
      <c r="AC57" s="134"/>
      <c r="AD57" s="134"/>
      <c r="AE57" s="134"/>
      <c r="AF57" s="134"/>
      <c r="AG57" s="134"/>
      <c r="AH57" s="134"/>
      <c r="AI57" s="134"/>
      <c r="AJ57" s="135"/>
      <c r="AK57" s="189"/>
      <c r="AL57" s="189"/>
      <c r="AM57" s="133" t="str">
        <f>IF([11]回答表!AD49="●",[11]回答表!B128,"")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IF([11]回答表!X50="●","●","")</f>
        <v/>
      </c>
      <c r="O68" s="131"/>
      <c r="P68" s="131"/>
      <c r="Q68" s="132"/>
      <c r="R68" s="119"/>
      <c r="S68" s="119"/>
      <c r="T68" s="119"/>
      <c r="U68" s="133" t="str">
        <f>IF([11]回答表!X50="●",[11]回答表!B138,IF([11]回答表!AA50="●",[11]回答表!B159,""))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IF([11]回答表!X50="●",[11]回答表!S144,IF([11]回答表!AA50="●",[11]回答表!S165,""))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IF([11]回答表!X50="●",[11]回答表!J144,IF([11]回答表!AA50="●",[11]回答表!J165,""))</f>
        <v/>
      </c>
      <c r="AN71" s="83"/>
      <c r="AO71" s="83"/>
      <c r="AP71" s="83"/>
      <c r="AQ71" s="83"/>
      <c r="AR71" s="83"/>
      <c r="AS71" s="83"/>
      <c r="AT71" s="153"/>
      <c r="AU71" s="82" t="str">
        <f>IF([11]回答表!X50="●",[11]回答表!J145,IF([11]回答表!AA50="●",[11]回答表!J166,""))</f>
        <v/>
      </c>
      <c r="AV71" s="83"/>
      <c r="AW71" s="83"/>
      <c r="AX71" s="83"/>
      <c r="AY71" s="83"/>
      <c r="AZ71" s="83"/>
      <c r="BA71" s="83"/>
      <c r="BB71" s="153"/>
      <c r="BC71" s="120"/>
      <c r="BD71" s="109"/>
      <c r="BE71" s="109"/>
      <c r="BF71" s="150" t="str">
        <f>IF([11]回答表!X50="●",[11]回答表!V144,IF([11]回答表!AA50="●",[11]回答表!V165,""))</f>
        <v/>
      </c>
      <c r="BG71" s="151"/>
      <c r="BH71" s="151"/>
      <c r="BI71" s="151"/>
      <c r="BJ71" s="150" t="str">
        <f>IF([11]回答表!X50="●",[11]回答表!V145,IF([11]回答表!AA50="●",[11]回答表!V166,""))</f>
        <v/>
      </c>
      <c r="BK71" s="151"/>
      <c r="BL71" s="151"/>
      <c r="BM71" s="151"/>
      <c r="BN71" s="150" t="str">
        <f>IF([11]回答表!X50="●",[11]回答表!V146,IF([11]回答表!AA50="●",[11]回答表!V167,""))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IF([11]回答表!X50="●",[11]回答表!E149,IF([11]回答表!AA50="●",[11]回答表!E170,""))</f>
        <v/>
      </c>
      <c r="V80" s="182"/>
      <c r="W80" s="182"/>
      <c r="X80" s="182"/>
      <c r="Y80" s="182"/>
      <c r="Z80" s="182"/>
      <c r="AA80" s="182"/>
      <c r="AB80" s="182"/>
      <c r="AC80" s="182"/>
      <c r="AD80" s="182"/>
      <c r="AE80" s="183" t="s">
        <v>33</v>
      </c>
      <c r="AF80" s="183"/>
      <c r="AG80" s="183"/>
      <c r="AH80" s="183"/>
      <c r="AI80" s="183"/>
      <c r="AJ80" s="184"/>
      <c r="AK80" s="136"/>
      <c r="AL80" s="136"/>
      <c r="AM80" s="133" t="str">
        <f>IF([11]回答表!X50="●",[11]回答表!B151,IF([11]回答表!AA50="●",[11]回答表!B172,""))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IF([11]回答表!AD50="●","●","")</f>
        <v/>
      </c>
      <c r="O87" s="131"/>
      <c r="P87" s="131"/>
      <c r="Q87" s="132"/>
      <c r="R87" s="119"/>
      <c r="S87" s="119"/>
      <c r="T87" s="119"/>
      <c r="U87" s="133" t="str">
        <f>IF([11]回答表!AD50="●",[11]回答表!B180,"")</f>
        <v/>
      </c>
      <c r="V87" s="134"/>
      <c r="W87" s="134"/>
      <c r="X87" s="134"/>
      <c r="Y87" s="134"/>
      <c r="Z87" s="134"/>
      <c r="AA87" s="134"/>
      <c r="AB87" s="134"/>
      <c r="AC87" s="134"/>
      <c r="AD87" s="134"/>
      <c r="AE87" s="134"/>
      <c r="AF87" s="134"/>
      <c r="AG87" s="134"/>
      <c r="AH87" s="134"/>
      <c r="AI87" s="134"/>
      <c r="AJ87" s="135"/>
      <c r="AK87" s="189"/>
      <c r="AL87" s="189"/>
      <c r="AM87" s="133" t="str">
        <f>IF([11]回答表!AD50="●",[11]回答表!B186,"")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IF([11]回答表!F18="水道事業",IF([11]回答表!X51="●","●",""),"")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IF([11]回答表!F18="水道事業",IF([11]回答表!X51="●",[11]回答表!B197,IF([11]回答表!AA51="●",[11]回答表!B275,"")),"")</f>
        <v/>
      </c>
      <c r="AN99" s="134"/>
      <c r="AO99" s="134"/>
      <c r="AP99" s="134"/>
      <c r="AQ99" s="134"/>
      <c r="AR99" s="134"/>
      <c r="AS99" s="134"/>
      <c r="AT99" s="134"/>
      <c r="AU99" s="134"/>
      <c r="AV99" s="134"/>
      <c r="AW99" s="134"/>
      <c r="AX99" s="134"/>
      <c r="AY99" s="134"/>
      <c r="AZ99" s="134"/>
      <c r="BA99" s="134"/>
      <c r="BB99" s="134"/>
      <c r="BC99" s="135"/>
      <c r="BD99" s="109"/>
      <c r="BE99" s="109"/>
      <c r="BF99" s="138" t="str">
        <f>IF([11]回答表!F18="水道事業",IF([11]回答表!X51="●",[11]回答表!B256,IF([11]回答表!AA51="●",[11]回答表!B335,"")),"")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IF([11]回答表!F18="水道事業",IF([11]回答表!X51="●",[11]回答表!J205,IF([11]回答表!AA51="●",[11]回答表!J283,"")),"")</f>
        <v/>
      </c>
      <c r="V101" s="83"/>
      <c r="W101" s="83"/>
      <c r="X101" s="83"/>
      <c r="Y101" s="83"/>
      <c r="Z101" s="83"/>
      <c r="AA101" s="83"/>
      <c r="AB101" s="153"/>
      <c r="AC101" s="82" t="str">
        <f>IF([11]回答表!F18="水道事業",IF([11]回答表!X51="●",[11]回答表!J210,IF([11]回答表!AA51="●",[11]回答表!J290,"")),"")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IF([11]回答表!F18="水道事業",IF([11]回答表!X51="●",[11]回答表!E256,IF([11]回答表!AA51="●",[11]回答表!E335,"")),"")</f>
        <v/>
      </c>
      <c r="BG102" s="151"/>
      <c r="BH102" s="151"/>
      <c r="BI102" s="151"/>
      <c r="BJ102" s="150" t="str">
        <f>IF([11]回答表!F18="水道事業",IF([11]回答表!X51="●",[11]回答表!E257,IF([11]回答表!AA51="●",[11]回答表!E336,"")),"")</f>
        <v/>
      </c>
      <c r="BK102" s="151"/>
      <c r="BL102" s="151"/>
      <c r="BM102" s="151"/>
      <c r="BN102" s="150" t="str">
        <f>IF([11]回答表!F18="水道事業",IF([11]回答表!X51="●",[11]回答表!E258,IF([11]回答表!AA51="●",[11]回答表!E337,"")),"")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IF([11]回答表!F18="水道事業",IF([11]回答表!AA51="●","●",""),"")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IF([11]回答表!F18="水道事業",IF([11]回答表!X51="●",[11]回答表!J213,IF([11]回答表!AA51="●",[11]回答表!J293,"")),"")</f>
        <v/>
      </c>
      <c r="V106" s="83"/>
      <c r="W106" s="83"/>
      <c r="X106" s="83"/>
      <c r="Y106" s="83"/>
      <c r="Z106" s="83"/>
      <c r="AA106" s="83"/>
      <c r="AB106" s="153"/>
      <c r="AC106" s="82" t="str">
        <f>IF([11]回答表!F18="水道事業",IF([11]回答表!X51="●",[11]回答表!J217,IF([11]回答表!AA51="●",[11]回答表!J297,"")),"")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IF([11]回答表!F18="水道事業",IF([11]回答表!X51="●",[11]回答表!E265,IF([11]回答表!AA51="●",[11]回答表!E344,"")),"")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IF([11]回答表!F18="水道事業",IF([11]回答表!X51="●",[11]回答表!B267,IF([11]回答表!AA51="●",[11]回答表!B346,"")),"")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IF([11]回答表!F18="水道事業",IF([11]回答表!AD51="●","●",""),"")</f>
        <v/>
      </c>
      <c r="O118" s="131"/>
      <c r="P118" s="131"/>
      <c r="Q118" s="132"/>
      <c r="R118" s="119"/>
      <c r="S118" s="119"/>
      <c r="T118" s="119"/>
      <c r="U118" s="133" t="str">
        <f>IF([11]回答表!F18="水道事業",IF([11]回答表!AD51="●",[11]回答表!B354,""),"")</f>
        <v/>
      </c>
      <c r="V118" s="134"/>
      <c r="W118" s="134"/>
      <c r="X118" s="134"/>
      <c r="Y118" s="134"/>
      <c r="Z118" s="134"/>
      <c r="AA118" s="134"/>
      <c r="AB118" s="134"/>
      <c r="AC118" s="134"/>
      <c r="AD118" s="134"/>
      <c r="AE118" s="134"/>
      <c r="AF118" s="134"/>
      <c r="AG118" s="134"/>
      <c r="AH118" s="134"/>
      <c r="AI118" s="134"/>
      <c r="AJ118" s="135"/>
      <c r="AK118" s="189"/>
      <c r="AL118" s="189"/>
      <c r="AM118" s="133" t="str">
        <f>IF([11]回答表!F18="水道事業",IF([11]回答表!AD51="●",[11]回答表!B360,""),"")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IF([11]回答表!F18="簡易水道事業",IF([11]回答表!X51="●",[11]回答表!B197,IF([11]回答表!AA51="●",[11]回答表!B275,"")),"")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IF([11]回答表!F18="簡易水道事業",IF([11]回答表!X51="●",[11]回答表!B256,IF([11]回答表!AA51="●",[11]回答表!B335,"")),"")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IF([11]回答表!F18="簡易水道事業",IF([11]回答表!X51="●","●",""),"")</f>
        <v/>
      </c>
      <c r="O132" s="131"/>
      <c r="P132" s="131"/>
      <c r="Q132" s="132"/>
      <c r="R132" s="119"/>
      <c r="S132" s="119"/>
      <c r="T132" s="119"/>
      <c r="U132" s="82" t="str">
        <f>IF([11]回答表!F18="簡易水道事業",IF([11]回答表!X51="●",[11]回答表!S224,IF([11]回答表!AA51="●",[11]回答表!S304,"")),"")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IF([11]回答表!F18="簡易水道事業",IF([11]回答表!X51="●",[11]回答表!E256,IF([11]回答表!AA51="●",[11]回答表!E335,"")),"")</f>
        <v/>
      </c>
      <c r="BG133" s="151"/>
      <c r="BH133" s="151"/>
      <c r="BI133" s="151"/>
      <c r="BJ133" s="150" t="str">
        <f>IF([11]回答表!F18="簡易水道事業",IF([11]回答表!X51="●",[11]回答表!E257,IF([11]回答表!AA51="●",[11]回答表!E336,"")),"")</f>
        <v/>
      </c>
      <c r="BK133" s="151"/>
      <c r="BL133" s="151"/>
      <c r="BM133" s="151"/>
      <c r="BN133" s="150" t="str">
        <f>IF([11]回答表!F18="簡易水道事業",IF([11]回答表!X51="●",[11]回答表!E258,IF([11]回答表!AA51="●",[11]回答表!E337,"")),"")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IF([11]回答表!F18="簡易水道事業",IF([11]回答表!X51="●",[11]回答表!S225,IF([11]回答表!AA51="●",[11]回答表!S305,"")),"")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IF([11]回答表!F18="簡易水道事業",IF([11]回答表!AA51="●","●",""),"")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IF([11]回答表!F18="簡易水道事業",IF([11]回答表!X51="●",[11]回答表!S226,IF([11]回答表!AA51="●",[11]回答表!S306,"")),"")</f>
        <v/>
      </c>
      <c r="V142" s="83"/>
      <c r="W142" s="83"/>
      <c r="X142" s="83"/>
      <c r="Y142" s="83"/>
      <c r="Z142" s="83"/>
      <c r="AA142" s="83"/>
      <c r="AB142" s="83"/>
      <c r="AC142" s="83"/>
      <c r="AD142" s="83"/>
      <c r="AE142" s="83"/>
      <c r="AF142" s="83"/>
      <c r="AG142" s="83"/>
      <c r="AH142" s="83"/>
      <c r="AI142" s="83"/>
      <c r="AJ142" s="153"/>
      <c r="AK142" s="68"/>
      <c r="AL142" s="68"/>
      <c r="AM142" s="231" t="str">
        <f>IF([11]回答表!F18="簡易水道事業",IF([11]回答表!X51="●",[11]回答表!Y228,IF([11]回答表!AA51="●",[11]回答表!Y308,"")),"")</f>
        <v/>
      </c>
      <c r="AN142" s="231"/>
      <c r="AO142" s="231"/>
      <c r="AP142" s="231"/>
      <c r="AQ142" s="231"/>
      <c r="AR142" s="231"/>
      <c r="AS142" s="231" t="str">
        <f>IF([11]回答表!F18="簡易水道事業",IF([11]回答表!X51="●",[11]回答表!Y229,IF([11]回答表!AA51="●",[11]回答表!Y309,"")),"")</f>
        <v/>
      </c>
      <c r="AT142" s="231"/>
      <c r="AU142" s="231"/>
      <c r="AV142" s="231"/>
      <c r="AW142" s="231"/>
      <c r="AX142" s="231"/>
      <c r="AY142" s="231" t="str">
        <f>IF([11]回答表!F18="簡易水道事業",IF([11]回答表!X51="●",[11]回答表!Y230,IF([11]回答表!AA51="●",[11]回答表!Y310,"")),"")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IF([11]回答表!F18="簡易水道事業",IF([11]回答表!X51="●",[11]回答表!E265,IF([11]回答表!AA51="●",[11]回答表!E344,"")),"")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IF([11]回答表!F18="簡易水道事業",IF([11]回答表!X51="●",[11]回答表!B267,IF([11]回答表!AA51="●",[11]回答表!B346,"")),"")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IF([11]回答表!F18="簡易水道事業",IF([11]回答表!AD51="●","●",""),"")</f>
        <v/>
      </c>
      <c r="O154" s="131"/>
      <c r="P154" s="131"/>
      <c r="Q154" s="132"/>
      <c r="R154" s="119"/>
      <c r="S154" s="119"/>
      <c r="T154" s="119"/>
      <c r="U154" s="133" t="str">
        <f>IF([11]回答表!F18="簡易水道事業",IF([11]回答表!AD51="●",[11]回答表!B354,""),"")</f>
        <v/>
      </c>
      <c r="V154" s="134"/>
      <c r="W154" s="134"/>
      <c r="X154" s="134"/>
      <c r="Y154" s="134"/>
      <c r="Z154" s="134"/>
      <c r="AA154" s="134"/>
      <c r="AB154" s="134"/>
      <c r="AC154" s="134"/>
      <c r="AD154" s="134"/>
      <c r="AE154" s="134"/>
      <c r="AF154" s="134"/>
      <c r="AG154" s="134"/>
      <c r="AH154" s="134"/>
      <c r="AI154" s="134"/>
      <c r="AJ154" s="135"/>
      <c r="AK154" s="189"/>
      <c r="AL154" s="189"/>
      <c r="AM154" s="133" t="str">
        <f>IF([11]回答表!F18="簡易水道事業",IF([11]回答表!AD51="●",[11]回答表!B360,""),"")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IF([11]回答表!F18="下水道事業",IF([11]回答表!X51="●","●",""),"")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IF([11]回答表!F18="下水道事業",IF([11]回答表!X51="●",[11]回答表!B197,IF([11]回答表!AA51="●",[11]回答表!B275,"")),"")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IF([11]回答表!F18="下水道事業",IF([11]回答表!X51="●",[11]回答表!B256,IF([11]回答表!AA51="●",[11]回答表!B335,"")),"")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IF([11]回答表!F18="下水道事業",IF([11]回答表!X51="●",[11]回答表!N234,IF([11]回答表!AA51="●",[11]回答表!N314,"")),"")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IF([11]回答表!F18="下水道事業",IF([11]回答表!X51="●",[11]回答表!E256,IF([11]回答表!AA51="●",[11]回答表!E335,"")),"")</f>
        <v/>
      </c>
      <c r="BG169" s="151"/>
      <c r="BH169" s="151"/>
      <c r="BI169" s="151"/>
      <c r="BJ169" s="150" t="str">
        <f>IF([11]回答表!F18="下水道事業",IF([11]回答表!X51="●",[11]回答表!E257,IF([11]回答表!AA51="●",[11]回答表!E336,"")),"")</f>
        <v/>
      </c>
      <c r="BK169" s="151"/>
      <c r="BL169" s="151"/>
      <c r="BM169" s="151"/>
      <c r="BN169" s="150" t="str">
        <f>IF([11]回答表!F18="下水道事業",IF([11]回答表!X51="●",[11]回答表!E258,IF([11]回答表!AA51="●",[11]回答表!E337,"")),"")</f>
        <v/>
      </c>
      <c r="BO169" s="151"/>
      <c r="BP169" s="151"/>
      <c r="BQ169" s="152"/>
      <c r="BR169" s="112"/>
      <c r="BX169" s="234" t="str">
        <f>IF([11]回答表!AQ21="下水道事業",IF([11]回答表!BI54="○",[11]回答表!AM200,IF([11]回答表!BL54="○",[11]回答表!AM278,"")),"")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IF([11]回答表!F18="下水道事業",IF([11]回答表!X51="●",[11]回答表!Y236,IF([11]回答表!AA51="●",[11]回答表!Y316,"")),"")</f>
        <v/>
      </c>
      <c r="V174" s="83"/>
      <c r="W174" s="83"/>
      <c r="X174" s="83"/>
      <c r="Y174" s="83"/>
      <c r="Z174" s="83"/>
      <c r="AA174" s="83"/>
      <c r="AB174" s="153"/>
      <c r="AC174" s="82" t="str">
        <f>IF([11]回答表!F18="下水道事業",IF([11]回答表!X51="●",[11]回答表!Y237,IF([11]回答表!AA51="●",[11]回答表!Y317,"")),"")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IF([11]回答表!F18="下水道事業",IF([11]回答表!X51="●",[11]回答表!Y239,IF([11]回答表!AA51="●",[11]回答表!Y319,"")),"")</f>
        <v/>
      </c>
      <c r="V180" s="83"/>
      <c r="W180" s="83"/>
      <c r="X180" s="83"/>
      <c r="Y180" s="83"/>
      <c r="Z180" s="83"/>
      <c r="AA180" s="83"/>
      <c r="AB180" s="153"/>
      <c r="AC180" s="82" t="str">
        <f>IF([11]回答表!F18="下水道事業",IF([11]回答表!X51="●",[11]回答表!Y240,IF([11]回答表!AA51="●",[11]回答表!Y320,"")),"")</f>
        <v/>
      </c>
      <c r="AD180" s="83"/>
      <c r="AE180" s="83"/>
      <c r="AF180" s="83"/>
      <c r="AG180" s="83"/>
      <c r="AH180" s="83"/>
      <c r="AI180" s="83"/>
      <c r="AJ180" s="153"/>
      <c r="AK180" s="82" t="str">
        <f>IF([11]回答表!F18="下水道事業",IF([11]回答表!X51="●",[11]回答表!Y241,IF([11]回答表!AA51="●",[11]回答表!Y321,"")),"")</f>
        <v/>
      </c>
      <c r="AL180" s="83"/>
      <c r="AM180" s="83"/>
      <c r="AN180" s="83"/>
      <c r="AO180" s="83"/>
      <c r="AP180" s="83"/>
      <c r="AQ180" s="83"/>
      <c r="AR180" s="153"/>
      <c r="AS180" s="82" t="str">
        <f>IF([11]回答表!F18="下水道事業",IF([11]回答表!X51="●",[11]回答表!Y242,IF([11]回答表!AA51="●",[11]回答表!Y322,"")),"")</f>
        <v/>
      </c>
      <c r="AT180" s="83"/>
      <c r="AU180" s="83"/>
      <c r="AV180" s="83"/>
      <c r="AW180" s="83"/>
      <c r="AX180" s="83"/>
      <c r="AY180" s="83"/>
      <c r="AZ180" s="153"/>
      <c r="BA180" s="82" t="str">
        <f>IF([11]回答表!F18="下水道事業",IF([11]回答表!X51="●",[11]回答表!Y243,IF([11]回答表!AA51="●",[11]回答表!Y323,"")),"")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IF([11]回答表!F18="下水道事業",IF([11]回答表!AA51="●","●",""),"")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IF([11]回答表!F18="下水道事業",IF([11]回答表!X51="●",[11]回答表!N248,IF([11]回答表!AA51="●",[11]回答表!N328,"")),"")</f>
        <v/>
      </c>
      <c r="V186" s="83"/>
      <c r="W186" s="83"/>
      <c r="X186" s="83"/>
      <c r="Y186" s="83"/>
      <c r="Z186" s="83"/>
      <c r="AA186" s="83"/>
      <c r="AB186" s="153"/>
      <c r="AC186" s="82" t="str">
        <f>IF([11]回答表!F18="下水道事業",IF([11]回答表!X51="●",[11]回答表!N249,IF([11]回答表!AA51="●",[11]回答表!N329,"")),"")</f>
        <v/>
      </c>
      <c r="AD186" s="83"/>
      <c r="AE186" s="83"/>
      <c r="AF186" s="83"/>
      <c r="AG186" s="83"/>
      <c r="AH186" s="83"/>
      <c r="AI186" s="83"/>
      <c r="AJ186" s="153"/>
      <c r="AK186" s="82" t="str">
        <f>IF([11]回答表!F18="下水道事業",IF([11]回答表!X51="●",[11]回答表!N250,IF([11]回答表!AA51="●",[11]回答表!N330,"")),"")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IF([11]回答表!F18="下水道事業",IF([11]回答表!X51="●",[11]回答表!E265,IF([11]回答表!AA51="●",[11]回答表!E344,"")),"")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IF([11]回答表!F18="下水道事業",IF([11]回答表!X51="●",[11]回答表!B267,IF([11]回答表!AA51="●",[11]回答表!B346,"")),"")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IF([11]回答表!F18="下水道事業",IF([11]回答表!AD51="●","●",""),"")</f>
        <v/>
      </c>
      <c r="O198" s="131"/>
      <c r="P198" s="131"/>
      <c r="Q198" s="132"/>
      <c r="R198" s="119"/>
      <c r="S198" s="119"/>
      <c r="T198" s="119"/>
      <c r="U198" s="133" t="str">
        <f>IF([11]回答表!F18="下水道事業",IF([11]回答表!AD51="●",[11]回答表!B354,""),"")</f>
        <v/>
      </c>
      <c r="V198" s="134"/>
      <c r="W198" s="134"/>
      <c r="X198" s="134"/>
      <c r="Y198" s="134"/>
      <c r="Z198" s="134"/>
      <c r="AA198" s="134"/>
      <c r="AB198" s="134"/>
      <c r="AC198" s="134"/>
      <c r="AD198" s="134"/>
      <c r="AE198" s="134"/>
      <c r="AF198" s="134"/>
      <c r="AG198" s="134"/>
      <c r="AH198" s="134"/>
      <c r="AI198" s="134"/>
      <c r="AJ198" s="135"/>
      <c r="AK198" s="189"/>
      <c r="AL198" s="189"/>
      <c r="AM198" s="133" t="str">
        <f>IF([11]回答表!F18="下水道事業",IF([11]回答表!AD51="●",[11]回答表!B360,""),"")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IF([11]回答表!BD18="●",IF([11]回答表!X51="●","●",""),"")</f>
        <v/>
      </c>
      <c r="O210" s="131"/>
      <c r="P210" s="131"/>
      <c r="Q210" s="132"/>
      <c r="R210" s="119"/>
      <c r="S210" s="119"/>
      <c r="T210" s="119"/>
      <c r="U210" s="133" t="str">
        <f>IF([11]回答表!BD18="●",IF([11]回答表!X51="●",[11]回答表!B197,IF([11]回答表!AA51="●",[11]回答表!B275,"")),"")</f>
        <v/>
      </c>
      <c r="V210" s="134"/>
      <c r="W210" s="134"/>
      <c r="X210" s="134"/>
      <c r="Y210" s="134"/>
      <c r="Z210" s="134"/>
      <c r="AA210" s="134"/>
      <c r="AB210" s="134"/>
      <c r="AC210" s="134"/>
      <c r="AD210" s="134"/>
      <c r="AE210" s="134"/>
      <c r="AF210" s="134"/>
      <c r="AG210" s="134"/>
      <c r="AH210" s="134"/>
      <c r="AI210" s="134"/>
      <c r="AJ210" s="135"/>
      <c r="AK210" s="136"/>
      <c r="AL210" s="136"/>
      <c r="AM210" s="138" t="str">
        <f>IF([11]回答表!BD18="●",IF([11]回答表!X51="●",[11]回答表!B256,IF([11]回答表!AA51="●",[11]回答表!B335,"")),"")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IF([11]回答表!BD18="●",IF([11]回答表!X51="●",[11]回答表!E256,IF([11]回答表!AA51="●",[11]回答表!E335,"")),"")</f>
        <v/>
      </c>
      <c r="AN213" s="151"/>
      <c r="AO213" s="151"/>
      <c r="AP213" s="151"/>
      <c r="AQ213" s="150" t="str">
        <f>IF([11]回答表!BD18="●",IF([11]回答表!X51="●",[11]回答表!E257,IF([11]回答表!AA51="●",[11]回答表!E336,"")),"")</f>
        <v/>
      </c>
      <c r="AR213" s="151"/>
      <c r="AS213" s="151"/>
      <c r="AT213" s="151"/>
      <c r="AU213" s="150" t="str">
        <f>IF([11]回答表!BD18="●",IF([11]回答表!X51="●",[11]回答表!E258,IF([11]回答表!AA51="●",[11]回答表!E337,"")),"")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IF([11]回答表!BD18="●",IF([11]回答表!AA51="●","●",""),"")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IF([11]回答表!BD18="●",IF([11]回答表!X51="●",[11]回答表!E265,IF([11]回答表!AA51="●",[11]回答表!E344,"")),"")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IF([11]回答表!BD18="●",IF([11]回答表!X51="●",[11]回答表!B267,IF([11]回答表!AA51="●",[11]回答表!B346,"")),"")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IF([11]回答表!BD18="●",IF([11]回答表!AD51="●","●",""),"")</f>
        <v/>
      </c>
      <c r="O229" s="131"/>
      <c r="P229" s="131"/>
      <c r="Q229" s="132"/>
      <c r="R229" s="119"/>
      <c r="S229" s="119"/>
      <c r="T229" s="119"/>
      <c r="U229" s="133" t="str">
        <f>IF([11]回答表!BD18="●",IF([11]回答表!AD51="●",[11]回答表!B354,""),"")</f>
        <v/>
      </c>
      <c r="V229" s="134"/>
      <c r="W229" s="134"/>
      <c r="X229" s="134"/>
      <c r="Y229" s="134"/>
      <c r="Z229" s="134"/>
      <c r="AA229" s="134"/>
      <c r="AB229" s="134"/>
      <c r="AC229" s="134"/>
      <c r="AD229" s="134"/>
      <c r="AE229" s="134"/>
      <c r="AF229" s="134"/>
      <c r="AG229" s="134"/>
      <c r="AH229" s="134"/>
      <c r="AI229" s="134"/>
      <c r="AJ229" s="135"/>
      <c r="AK229" s="249"/>
      <c r="AL229" s="249"/>
      <c r="AM229" s="133" t="str">
        <f>IF([11]回答表!BD18="●",IF([11]回答表!AD51="●",[11]回答表!B360,""),"")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IF([11]回答表!X52="●","●","")</f>
        <v/>
      </c>
      <c r="O241" s="131"/>
      <c r="P241" s="131"/>
      <c r="Q241" s="132"/>
      <c r="R241" s="119"/>
      <c r="S241" s="119"/>
      <c r="T241" s="119"/>
      <c r="U241" s="133" t="str">
        <f>IF([11]回答表!X52="●",[11]回答表!B371,IF([11]回答表!AA52="●",[11]回答表!B396,""))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IF([11]回答表!X52="●",[11]回答表!U377,IF([11]回答表!AA52="●",[11]回答表!U402,""))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IF([11]回答表!X52="●",[11]回答表!G377,IF([11]回答表!AA52="●",[11]回答表!G402,""))</f>
        <v/>
      </c>
      <c r="AN244" s="83"/>
      <c r="AO244" s="83"/>
      <c r="AP244" s="83"/>
      <c r="AQ244" s="83"/>
      <c r="AR244" s="83"/>
      <c r="AS244" s="83"/>
      <c r="AT244" s="153"/>
      <c r="AU244" s="82" t="str">
        <f>IF([11]回答表!X52="●",[11]回答表!G378,IF([11]回答表!AA52="●",[11]回答表!G403,""))</f>
        <v/>
      </c>
      <c r="AV244" s="83"/>
      <c r="AW244" s="83"/>
      <c r="AX244" s="83"/>
      <c r="AY244" s="83"/>
      <c r="AZ244" s="83"/>
      <c r="BA244" s="83"/>
      <c r="BB244" s="153"/>
      <c r="BC244" s="120"/>
      <c r="BD244" s="109"/>
      <c r="BE244" s="109"/>
      <c r="BF244" s="150" t="str">
        <f>IF([11]回答表!X52="●",[11]回答表!X377,IF([11]回答表!AA52="●",[11]回答表!X402,""))</f>
        <v/>
      </c>
      <c r="BG244" s="151"/>
      <c r="BH244" s="151"/>
      <c r="BI244" s="151"/>
      <c r="BJ244" s="150" t="str">
        <f>IF([11]回答表!X52="●",[11]回答表!X378,IF([11]回答表!AA52="●",[11]回答表!X403,""))</f>
        <v/>
      </c>
      <c r="BK244" s="151"/>
      <c r="BL244" s="151"/>
      <c r="BM244" s="152"/>
      <c r="BN244" s="150" t="str">
        <f>IF([11]回答表!X52="●",[11]回答表!X379,IF([11]回答表!AA52="●",[11]回答表!X404,""))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IF([11]回答表!X52="●",[11]回答表!E386,IF([11]回答表!AA52="●",[11]回答表!E407,""))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IF([11]回答表!X52="●",[11]回答表!B388,IF([11]回答表!AA52="●",[11]回答表!B409,""))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IF([11]回答表!AD52="●","●","")</f>
        <v/>
      </c>
      <c r="O260" s="131"/>
      <c r="P260" s="131"/>
      <c r="Q260" s="132"/>
      <c r="R260" s="119"/>
      <c r="S260" s="119"/>
      <c r="T260" s="119"/>
      <c r="U260" s="133" t="str">
        <f>IF([11]回答表!AD52="●",[11]回答表!B417,"")</f>
        <v/>
      </c>
      <c r="V260" s="134"/>
      <c r="W260" s="134"/>
      <c r="X260" s="134"/>
      <c r="Y260" s="134"/>
      <c r="Z260" s="134"/>
      <c r="AA260" s="134"/>
      <c r="AB260" s="134"/>
      <c r="AC260" s="134"/>
      <c r="AD260" s="134"/>
      <c r="AE260" s="134"/>
      <c r="AF260" s="134"/>
      <c r="AG260" s="134"/>
      <c r="AH260" s="134"/>
      <c r="AI260" s="134"/>
      <c r="AJ260" s="135"/>
      <c r="AK260" s="249"/>
      <c r="AL260" s="249"/>
      <c r="AM260" s="133" t="str">
        <f>IF([11]回答表!AD52="●",[11]回答表!B423,"")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IF([11]回答表!X53="●","●","")</f>
        <v/>
      </c>
      <c r="O272" s="131"/>
      <c r="P272" s="131"/>
      <c r="Q272" s="132"/>
      <c r="R272" s="119"/>
      <c r="S272" s="119"/>
      <c r="T272" s="119"/>
      <c r="U272" s="133" t="str">
        <f>IF([11]回答表!X53="●",[11]回答表!B434,IF([11]回答表!AA53="●",[11]回答表!B465,""))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IF([11]回答表!X53="●",[11]回答表!B440,"")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IF([11]回答表!X53="●",[11]回答表!B446,IF([11]回答表!AA53="●",[11]回答表!B471,""))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IF([11]回答表!X53="●",[11]回答表!E446,IF([11]回答表!AA53="●",[11]回答表!E471,""))</f>
        <v/>
      </c>
      <c r="BG275" s="151"/>
      <c r="BH275" s="151"/>
      <c r="BI275" s="151"/>
      <c r="BJ275" s="150" t="str">
        <f>IF([11]回答表!X53="●",[11]回答表!E447,IF([11]回答表!AA53="●",[11]回答表!E472,""))</f>
        <v/>
      </c>
      <c r="BK275" s="151"/>
      <c r="BL275" s="151"/>
      <c r="BM275" s="152"/>
      <c r="BN275" s="150" t="str">
        <f>IF([11]回答表!X53="●",[11]回答表!E448,IF([11]回答表!AA53="●",[11]回答表!E473,""))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IF([11]回答表!X53="●",[11]回答表!E455,IF([11]回答表!AA53="●",[11]回答表!E476,""))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IF([11]回答表!X53="●",[11]回答表!B457,IF([11]回答表!AA53="●",[11]回答表!B478,""))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IF([11]回答表!AD53="●","●","")</f>
        <v/>
      </c>
      <c r="O291" s="131"/>
      <c r="P291" s="131"/>
      <c r="Q291" s="132"/>
      <c r="R291" s="119"/>
      <c r="S291" s="119"/>
      <c r="T291" s="119"/>
      <c r="U291" s="133" t="str">
        <f>IF([11]回答表!AD53="●",[11]回答表!B486,"")</f>
        <v/>
      </c>
      <c r="V291" s="134"/>
      <c r="W291" s="134"/>
      <c r="X291" s="134"/>
      <c r="Y291" s="134"/>
      <c r="Z291" s="134"/>
      <c r="AA291" s="134"/>
      <c r="AB291" s="134"/>
      <c r="AC291" s="134"/>
      <c r="AD291" s="134"/>
      <c r="AE291" s="134"/>
      <c r="AF291" s="134"/>
      <c r="AG291" s="134"/>
      <c r="AH291" s="134"/>
      <c r="AI291" s="134"/>
      <c r="AJ291" s="135"/>
      <c r="AK291" s="249"/>
      <c r="AL291" s="249"/>
      <c r="AM291" s="133" t="str">
        <f>IF([11]回答表!AD53="●",[11]回答表!B492,"")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IF([11]回答表!X54="●","●","")</f>
        <v/>
      </c>
      <c r="O303" s="131"/>
      <c r="P303" s="131"/>
      <c r="Q303" s="132"/>
      <c r="R303" s="119"/>
      <c r="S303" s="119"/>
      <c r="T303" s="119"/>
      <c r="U303" s="133" t="str">
        <f>IF([11]回答表!X54="●",[11]回答表!B503,IF([11]回答表!AA54="●",[11]回答表!B526,""))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IF([11]回答表!X54="●",[11]回答表!BC510,IF([11]回答表!AA54="●",[11]回答表!BC533,""))</f>
        <v/>
      </c>
      <c r="AR303" s="271"/>
      <c r="AS303" s="271"/>
      <c r="AT303" s="271"/>
      <c r="AU303" s="272" t="s">
        <v>74</v>
      </c>
      <c r="AV303" s="273"/>
      <c r="AW303" s="273"/>
      <c r="AX303" s="274"/>
      <c r="AY303" s="271" t="str">
        <f>IF([11]回答表!X54="●",[11]回答表!BC515,IF([11]回答表!AA54="●",[11]回答表!BC538,""))</f>
        <v/>
      </c>
      <c r="AZ303" s="271"/>
      <c r="BA303" s="271"/>
      <c r="BB303" s="271"/>
      <c r="BC303" s="120"/>
      <c r="BD303" s="109"/>
      <c r="BE303" s="109"/>
      <c r="BF303" s="138" t="str">
        <f>IF([11]回答表!X54="●",[11]回答表!S509,IF([11]回答表!AA54="●",[11]回答表!S532,""))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IF([11]回答表!X54="●",[11]回答表!BC511,IF([11]回答表!AA54="●",[11]回答表!BC534,""))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IF([11]回答表!X54="●",[11]回答表!V509,IF([11]回答表!AA54="●",[11]回答表!V532,""))</f>
        <v/>
      </c>
      <c r="BG306" s="151"/>
      <c r="BH306" s="151"/>
      <c r="BI306" s="151"/>
      <c r="BJ306" s="150" t="str">
        <f>IF([11]回答表!X54="●",[11]回答表!V510,IF([11]回答表!AA54="●",[11]回答表!V533,""))</f>
        <v/>
      </c>
      <c r="BK306" s="151"/>
      <c r="BL306" s="151"/>
      <c r="BM306" s="152"/>
      <c r="BN306" s="150" t="str">
        <f>IF([11]回答表!X54="●",[11]回答表!V511,IF([11]回答表!AA54="●",[11]回答表!V534,""))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IF([11]回答表!X54="●",[11]回答表!BC512,IF([11]回答表!AA54="●",[11]回答表!BC535,""))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IF([11]回答表!X54="●",[11]回答表!BC516,IF([11]回答表!AA54="●",[11]回答表!BC539,""))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IF([11]回答表!X54="●",[11]回答表!BC513,IF([11]回答表!AA54="●",[11]回答表!BC536,""))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IF([11]回答表!X54="●",[11]回答表!BC514,IF([11]回答表!AA54="●",[11]回答表!BC537,""))</f>
        <v/>
      </c>
      <c r="AR311" s="271"/>
      <c r="AS311" s="271"/>
      <c r="AT311" s="271"/>
      <c r="AU311" s="222" t="s">
        <v>80</v>
      </c>
      <c r="AV311" s="223"/>
      <c r="AW311" s="223"/>
      <c r="AX311" s="224"/>
      <c r="AY311" s="281" t="str">
        <f>IF([11]回答表!X54="●",[11]回答表!BC517,IF([11]回答表!AA54="●",[11]回答表!BC540,""))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IF([11]回答表!X54="●",[11]回答表!E516,IF([11]回答表!AA54="●",[11]回答表!E538,""))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IF([11]回答表!X54="●",[11]回答表!B518,IF([11]回答表!AA54="●",[11]回答表!B540,""))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IF([11]回答表!AD54="●","●","")</f>
        <v/>
      </c>
      <c r="O322" s="131"/>
      <c r="P322" s="131"/>
      <c r="Q322" s="132"/>
      <c r="R322" s="119"/>
      <c r="S322" s="119"/>
      <c r="T322" s="119"/>
      <c r="U322" s="133" t="str">
        <f>IF([11]回答表!AD54="●",[11]回答表!B548,"")</f>
        <v/>
      </c>
      <c r="V322" s="134"/>
      <c r="W322" s="134"/>
      <c r="X322" s="134"/>
      <c r="Y322" s="134"/>
      <c r="Z322" s="134"/>
      <c r="AA322" s="134"/>
      <c r="AB322" s="134"/>
      <c r="AC322" s="134"/>
      <c r="AD322" s="134"/>
      <c r="AE322" s="134"/>
      <c r="AF322" s="134"/>
      <c r="AG322" s="134"/>
      <c r="AH322" s="134"/>
      <c r="AI322" s="134"/>
      <c r="AJ322" s="135"/>
      <c r="AK322" s="189"/>
      <c r="AL322" s="189"/>
      <c r="AM322" s="133" t="str">
        <f>IF([11]回答表!AD54="●",[11]回答表!B554,"")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IF([11]回答表!X55="●","●","")</f>
        <v/>
      </c>
      <c r="O333" s="131"/>
      <c r="P333" s="131"/>
      <c r="Q333" s="132"/>
      <c r="R333" s="119"/>
      <c r="S333" s="119"/>
      <c r="T333" s="119"/>
      <c r="U333" s="133" t="str">
        <f>IF([11]回答表!X55="●",[11]回答表!B565,IF([11]回答表!AA55="●",[11]回答表!B590,""))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IF([11]回答表!X55="●",[11]回答表!B575,IF([11]回答表!AA55="●",[11]回答表!B600,""))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IF([11]回答表!X55="●",[11]回答表!G571,IF([11]回答表!AA55="●",[11]回答表!G596,""))</f>
        <v/>
      </c>
      <c r="AN335" s="83"/>
      <c r="AO335" s="83"/>
      <c r="AP335" s="83"/>
      <c r="AQ335" s="83"/>
      <c r="AR335" s="83"/>
      <c r="AS335" s="83"/>
      <c r="AT335" s="153"/>
      <c r="AU335" s="82" t="str">
        <f>IF([11]回答表!X55="●",[11]回答表!G572,IF([11]回答表!AA55="●",[11]回答表!G597,""))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IF([11]回答表!X55="●",[11]回答表!E575,IF([11]回答表!AA55="●",[11]回答表!E600,""))</f>
        <v/>
      </c>
      <c r="BG336" s="151"/>
      <c r="BH336" s="151"/>
      <c r="BI336" s="151"/>
      <c r="BJ336" s="150" t="str">
        <f>IF([11]回答表!X55="●",[11]回答表!E576,IF([11]回答表!AA55="●",[11]回答表!E601,""))</f>
        <v/>
      </c>
      <c r="BK336" s="151"/>
      <c r="BL336" s="151"/>
      <c r="BM336" s="152"/>
      <c r="BN336" s="150" t="str">
        <f>IF([11]回答表!X55="●",[11]回答表!E577,IF([11]回答表!AA55="●",[11]回答表!E602,""))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IF([11]回答表!X55="●",[11]回答表!E580,IF([11]回答表!AA55="●",[11]回答表!E605,""))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IF([11]回答表!X55="●",[11]回答表!B582,IF([11]回答表!AA55="●",[11]回答表!B607,""))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IF([11]回答表!AD55="●","●","")</f>
        <v/>
      </c>
      <c r="O352" s="131"/>
      <c r="P352" s="131"/>
      <c r="Q352" s="132"/>
      <c r="R352" s="119"/>
      <c r="S352" s="119"/>
      <c r="T352" s="119"/>
      <c r="U352" s="133" t="str">
        <f>IF([11]回答表!AD55="●",[11]回答表!B615,"")</f>
        <v/>
      </c>
      <c r="V352" s="134"/>
      <c r="W352" s="134"/>
      <c r="X352" s="134"/>
      <c r="Y352" s="134"/>
      <c r="Z352" s="134"/>
      <c r="AA352" s="134"/>
      <c r="AB352" s="134"/>
      <c r="AC352" s="134"/>
      <c r="AD352" s="134"/>
      <c r="AE352" s="134"/>
      <c r="AF352" s="134"/>
      <c r="AG352" s="134"/>
      <c r="AH352" s="134"/>
      <c r="AI352" s="134"/>
      <c r="AJ352" s="135"/>
      <c r="AK352" s="136"/>
      <c r="AL352" s="136"/>
      <c r="AM352" s="133" t="str">
        <f>IF([11]回答表!AD55="●",[11]回答表!B621,"")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IF([11]回答表!R56="●",[11]回答表!B634,"")</f>
        <v>令和2年4月1日より公営企業化し、また同年度中、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B07C-BA43-4011-97A6-7BC039DDA04D}">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IF(COUNTIF([12]回答表!K16,"*")&gt;0,[12]回答表!K16,"")</f>
        <v>由利本荘市</v>
      </c>
      <c r="D11" s="8"/>
      <c r="E11" s="8"/>
      <c r="F11" s="8"/>
      <c r="G11" s="8"/>
      <c r="H11" s="8"/>
      <c r="I11" s="8"/>
      <c r="J11" s="8"/>
      <c r="K11" s="8"/>
      <c r="L11" s="8"/>
      <c r="M11" s="8"/>
      <c r="N11" s="8"/>
      <c r="O11" s="8"/>
      <c r="P11" s="8"/>
      <c r="Q11" s="8"/>
      <c r="R11" s="8"/>
      <c r="S11" s="8"/>
      <c r="T11" s="8"/>
      <c r="U11" s="22" t="str">
        <f>IF(COUNTIF([12]回答表!F18,"*")&gt;0,[12]回答表!F18,"")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IF(COUNTIF([12]回答表!W18,"*")&gt;0,[12]回答表!W18,"")</f>
        <v>公共下水道</v>
      </c>
      <c r="AP11" s="10"/>
      <c r="AQ11" s="10"/>
      <c r="AR11" s="10"/>
      <c r="AS11" s="10"/>
      <c r="AT11" s="10"/>
      <c r="AU11" s="10"/>
      <c r="AV11" s="10"/>
      <c r="AW11" s="10"/>
      <c r="AX11" s="10"/>
      <c r="AY11" s="10"/>
      <c r="AZ11" s="10"/>
      <c r="BA11" s="10"/>
      <c r="BB11" s="10"/>
      <c r="BC11" s="10"/>
      <c r="BD11" s="10"/>
      <c r="BE11" s="10"/>
      <c r="BF11" s="11"/>
      <c r="BG11" s="21" t="str">
        <f>IF(COUNTIF([12]回答表!F20,"*")&gt;0,[12]回答表!F20,"")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IF([12]回答表!R49="●","●","")</f>
        <v/>
      </c>
      <c r="E24" s="80"/>
      <c r="F24" s="80"/>
      <c r="G24" s="80"/>
      <c r="H24" s="80"/>
      <c r="I24" s="80"/>
      <c r="J24" s="81"/>
      <c r="K24" s="79" t="str">
        <f>IF([12]回答表!R50="●","●","")</f>
        <v/>
      </c>
      <c r="L24" s="80"/>
      <c r="M24" s="80"/>
      <c r="N24" s="80"/>
      <c r="O24" s="80"/>
      <c r="P24" s="80"/>
      <c r="Q24" s="81"/>
      <c r="R24" s="79" t="str">
        <f>IF([12]回答表!R51="●","●","")</f>
        <v>●</v>
      </c>
      <c r="S24" s="80"/>
      <c r="T24" s="80"/>
      <c r="U24" s="80"/>
      <c r="V24" s="80"/>
      <c r="W24" s="80"/>
      <c r="X24" s="81"/>
      <c r="Y24" s="79" t="str">
        <f>IF([12]回答表!R52="●","●","")</f>
        <v/>
      </c>
      <c r="Z24" s="80"/>
      <c r="AA24" s="80"/>
      <c r="AB24" s="80"/>
      <c r="AC24" s="80"/>
      <c r="AD24" s="80"/>
      <c r="AE24" s="81"/>
      <c r="AF24" s="79" t="str">
        <f>IF([12]回答表!R53="●","●","")</f>
        <v/>
      </c>
      <c r="AG24" s="80"/>
      <c r="AH24" s="80"/>
      <c r="AI24" s="80"/>
      <c r="AJ24" s="80"/>
      <c r="AK24" s="80"/>
      <c r="AL24" s="81"/>
      <c r="AM24" s="79" t="str">
        <f>IF([12]回答表!R54="●","●","")</f>
        <v/>
      </c>
      <c r="AN24" s="80"/>
      <c r="AO24" s="80"/>
      <c r="AP24" s="80"/>
      <c r="AQ24" s="80"/>
      <c r="AR24" s="80"/>
      <c r="AS24" s="81"/>
      <c r="AT24" s="79" t="str">
        <f>IF([12]回答表!R55="●","●","")</f>
        <v/>
      </c>
      <c r="AU24" s="80"/>
      <c r="AV24" s="80"/>
      <c r="AW24" s="80"/>
      <c r="AX24" s="80"/>
      <c r="AY24" s="80"/>
      <c r="AZ24" s="81"/>
      <c r="BA24" s="68"/>
      <c r="BB24" s="82" t="str">
        <f>IF([12]回答表!R56="●","●","")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IF([12]回答表!X49="●","●","")</f>
        <v/>
      </c>
      <c r="O36" s="131"/>
      <c r="P36" s="131"/>
      <c r="Q36" s="132"/>
      <c r="R36" s="119"/>
      <c r="S36" s="119"/>
      <c r="T36" s="119"/>
      <c r="U36" s="133" t="str">
        <f>IF([12]回答表!X49="●",[12]回答表!B67,IF([12]回答表!AA49="●",[12]回答表!B95,""))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IF([12]回答表!X49="●",[12]回答表!S73,IF([12]回答表!AA49="●",[12]回答表!S101,""))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IF([12]回答表!X49="●",[12]回答表!G73,IF([12]回答表!AA49="●",[12]回答表!G101,""))</f>
        <v/>
      </c>
      <c r="AN38" s="83"/>
      <c r="AO38" s="83"/>
      <c r="AP38" s="83"/>
      <c r="AQ38" s="83"/>
      <c r="AR38" s="83"/>
      <c r="AS38" s="83"/>
      <c r="AT38" s="153"/>
      <c r="AU38" s="82" t="str">
        <f>IF([12]回答表!X49="●",[12]回答表!G74,IF([12]回答表!AA49="●",[12]回答表!G102,""))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IF([12]回答表!X49="●",[12]回答表!V73,IF([12]回答表!AA49="●",[12]回答表!V101,""))</f>
        <v/>
      </c>
      <c r="BG39" s="16"/>
      <c r="BH39" s="16"/>
      <c r="BI39" s="17"/>
      <c r="BJ39" s="150" t="str">
        <f>IF([12]回答表!X49="●",[12]回答表!V74,IF([12]回答表!AA49="●",[12]回答表!V102,""))</f>
        <v/>
      </c>
      <c r="BK39" s="16"/>
      <c r="BL39" s="16"/>
      <c r="BM39" s="17"/>
      <c r="BN39" s="150" t="str">
        <f>IF([12]回答表!X49="●",[12]回答表!V75,IF([12]回答表!AA49="●",[12]回答表!V103,""))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IF([12]回答表!X49="●",[12]回答表!O79,IF([12]回答表!AA49="●",[12]回答表!O107,""))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IF([12]回答表!X49="●",[12]回答表!O80,IF([12]回答表!AA49="●",[12]回答表!O108,""))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IF([12]回答表!X49="●",[12]回答表!O81,IF([12]回答表!AA49="●",[12]回答表!O109,""))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IF([12]回答表!X49="●",[12]回答表!O82,IF([12]回答表!AA49="●",[12]回答表!O110,""))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IF([12]回答表!X49="●",[12]回答表!AG79,IF([12]回答表!AA49="●",[12]回答表!AG107,""))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IF([12]回答表!X49="●",[12]回答表!AG80,IF([12]回答表!AA49="●",[12]回答表!AG108,""))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IF([12]回答表!X49="●",[12]回答表!E85,IF([12]回答表!AA49="●",[12]回答表!E113,""))</f>
        <v/>
      </c>
      <c r="V50" s="182"/>
      <c r="W50" s="182"/>
      <c r="X50" s="182"/>
      <c r="Y50" s="182"/>
      <c r="Z50" s="182"/>
      <c r="AA50" s="182"/>
      <c r="AB50" s="182"/>
      <c r="AC50" s="182"/>
      <c r="AD50" s="182"/>
      <c r="AE50" s="183" t="s">
        <v>33</v>
      </c>
      <c r="AF50" s="183"/>
      <c r="AG50" s="183"/>
      <c r="AH50" s="183"/>
      <c r="AI50" s="183"/>
      <c r="AJ50" s="184"/>
      <c r="AK50" s="136"/>
      <c r="AL50" s="136"/>
      <c r="AM50" s="133" t="str">
        <f>IF([12]回答表!X49="●",[12]回答表!B87,IF([12]回答表!AA49="●",[12]回答表!B115,""))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IF([12]回答表!AD49="●","●","")</f>
        <v/>
      </c>
      <c r="O57" s="131"/>
      <c r="P57" s="131"/>
      <c r="Q57" s="132"/>
      <c r="R57" s="119"/>
      <c r="S57" s="119"/>
      <c r="T57" s="119"/>
      <c r="U57" s="133" t="str">
        <f>IF([12]回答表!AD49="●",[12]回答表!B123,"")</f>
        <v/>
      </c>
      <c r="V57" s="134"/>
      <c r="W57" s="134"/>
      <c r="X57" s="134"/>
      <c r="Y57" s="134"/>
      <c r="Z57" s="134"/>
      <c r="AA57" s="134"/>
      <c r="AB57" s="134"/>
      <c r="AC57" s="134"/>
      <c r="AD57" s="134"/>
      <c r="AE57" s="134"/>
      <c r="AF57" s="134"/>
      <c r="AG57" s="134"/>
      <c r="AH57" s="134"/>
      <c r="AI57" s="134"/>
      <c r="AJ57" s="135"/>
      <c r="AK57" s="189"/>
      <c r="AL57" s="189"/>
      <c r="AM57" s="133" t="str">
        <f>IF([12]回答表!AD49="●",[12]回答表!B128,"")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IF([12]回答表!X50="●","●","")</f>
        <v/>
      </c>
      <c r="O68" s="131"/>
      <c r="P68" s="131"/>
      <c r="Q68" s="132"/>
      <c r="R68" s="119"/>
      <c r="S68" s="119"/>
      <c r="T68" s="119"/>
      <c r="U68" s="133" t="str">
        <f>IF([12]回答表!X50="●",[12]回答表!B138,IF([12]回答表!AA50="●",[12]回答表!B159,""))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IF([12]回答表!X50="●",[12]回答表!S144,IF([12]回答表!AA50="●",[12]回答表!S165,""))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IF([12]回答表!X50="●",[12]回答表!J144,IF([12]回答表!AA50="●",[12]回答表!J165,""))</f>
        <v/>
      </c>
      <c r="AN71" s="83"/>
      <c r="AO71" s="83"/>
      <c r="AP71" s="83"/>
      <c r="AQ71" s="83"/>
      <c r="AR71" s="83"/>
      <c r="AS71" s="83"/>
      <c r="AT71" s="153"/>
      <c r="AU71" s="82" t="str">
        <f>IF([12]回答表!X50="●",[12]回答表!J145,IF([12]回答表!AA50="●",[12]回答表!J166,""))</f>
        <v/>
      </c>
      <c r="AV71" s="83"/>
      <c r="AW71" s="83"/>
      <c r="AX71" s="83"/>
      <c r="AY71" s="83"/>
      <c r="AZ71" s="83"/>
      <c r="BA71" s="83"/>
      <c r="BB71" s="153"/>
      <c r="BC71" s="120"/>
      <c r="BD71" s="109"/>
      <c r="BE71" s="109"/>
      <c r="BF71" s="150" t="str">
        <f>IF([12]回答表!X50="●",[12]回答表!V144,IF([12]回答表!AA50="●",[12]回答表!V165,""))</f>
        <v/>
      </c>
      <c r="BG71" s="151"/>
      <c r="BH71" s="151"/>
      <c r="BI71" s="151"/>
      <c r="BJ71" s="150" t="str">
        <f>IF([12]回答表!X50="●",[12]回答表!V145,IF([12]回答表!AA50="●",[12]回答表!V166,""))</f>
        <v/>
      </c>
      <c r="BK71" s="151"/>
      <c r="BL71" s="151"/>
      <c r="BM71" s="151"/>
      <c r="BN71" s="150" t="str">
        <f>IF([12]回答表!X50="●",[12]回答表!V146,IF([12]回答表!AA50="●",[12]回答表!V167,""))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IF([12]回答表!X50="●",[12]回答表!E149,IF([12]回答表!AA50="●",[12]回答表!E170,""))</f>
        <v/>
      </c>
      <c r="V80" s="182"/>
      <c r="W80" s="182"/>
      <c r="X80" s="182"/>
      <c r="Y80" s="182"/>
      <c r="Z80" s="182"/>
      <c r="AA80" s="182"/>
      <c r="AB80" s="182"/>
      <c r="AC80" s="182"/>
      <c r="AD80" s="182"/>
      <c r="AE80" s="183" t="s">
        <v>33</v>
      </c>
      <c r="AF80" s="183"/>
      <c r="AG80" s="183"/>
      <c r="AH80" s="183"/>
      <c r="AI80" s="183"/>
      <c r="AJ80" s="184"/>
      <c r="AK80" s="136"/>
      <c r="AL80" s="136"/>
      <c r="AM80" s="133" t="str">
        <f>IF([12]回答表!X50="●",[12]回答表!B151,IF([12]回答表!AA50="●",[12]回答表!B172,""))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IF([12]回答表!AD50="●","●","")</f>
        <v/>
      </c>
      <c r="O87" s="131"/>
      <c r="P87" s="131"/>
      <c r="Q87" s="132"/>
      <c r="R87" s="119"/>
      <c r="S87" s="119"/>
      <c r="T87" s="119"/>
      <c r="U87" s="133" t="str">
        <f>IF([12]回答表!AD50="●",[12]回答表!B180,"")</f>
        <v/>
      </c>
      <c r="V87" s="134"/>
      <c r="W87" s="134"/>
      <c r="X87" s="134"/>
      <c r="Y87" s="134"/>
      <c r="Z87" s="134"/>
      <c r="AA87" s="134"/>
      <c r="AB87" s="134"/>
      <c r="AC87" s="134"/>
      <c r="AD87" s="134"/>
      <c r="AE87" s="134"/>
      <c r="AF87" s="134"/>
      <c r="AG87" s="134"/>
      <c r="AH87" s="134"/>
      <c r="AI87" s="134"/>
      <c r="AJ87" s="135"/>
      <c r="AK87" s="189"/>
      <c r="AL87" s="189"/>
      <c r="AM87" s="133" t="str">
        <f>IF([12]回答表!AD50="●",[12]回答表!B186,"")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IF([12]回答表!F18="水道事業",IF([12]回答表!X51="●","●",""),"")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IF([12]回答表!F18="水道事業",IF([12]回答表!X51="●",[12]回答表!B197,IF([12]回答表!AA51="●",[12]回答表!B275,"")),"")</f>
        <v/>
      </c>
      <c r="AN99" s="134"/>
      <c r="AO99" s="134"/>
      <c r="AP99" s="134"/>
      <c r="AQ99" s="134"/>
      <c r="AR99" s="134"/>
      <c r="AS99" s="134"/>
      <c r="AT99" s="134"/>
      <c r="AU99" s="134"/>
      <c r="AV99" s="134"/>
      <c r="AW99" s="134"/>
      <c r="AX99" s="134"/>
      <c r="AY99" s="134"/>
      <c r="AZ99" s="134"/>
      <c r="BA99" s="134"/>
      <c r="BB99" s="134"/>
      <c r="BC99" s="135"/>
      <c r="BD99" s="109"/>
      <c r="BE99" s="109"/>
      <c r="BF99" s="138" t="str">
        <f>IF([12]回答表!F18="水道事業",IF([12]回答表!X51="●",[12]回答表!B256,IF([12]回答表!AA51="●",[12]回答表!B335,"")),"")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IF([12]回答表!F18="水道事業",IF([12]回答表!X51="●",[12]回答表!J205,IF([12]回答表!AA51="●",[12]回答表!J283,"")),"")</f>
        <v/>
      </c>
      <c r="V101" s="83"/>
      <c r="W101" s="83"/>
      <c r="X101" s="83"/>
      <c r="Y101" s="83"/>
      <c r="Z101" s="83"/>
      <c r="AA101" s="83"/>
      <c r="AB101" s="153"/>
      <c r="AC101" s="82" t="str">
        <f>IF([12]回答表!F18="水道事業",IF([12]回答表!X51="●",[12]回答表!J210,IF([12]回答表!AA51="●",[12]回答表!J290,"")),"")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IF([12]回答表!F18="水道事業",IF([12]回答表!X51="●",[12]回答表!E256,IF([12]回答表!AA51="●",[12]回答表!E335,"")),"")</f>
        <v/>
      </c>
      <c r="BG102" s="151"/>
      <c r="BH102" s="151"/>
      <c r="BI102" s="151"/>
      <c r="BJ102" s="150" t="str">
        <f>IF([12]回答表!F18="水道事業",IF([12]回答表!X51="●",[12]回答表!E257,IF([12]回答表!AA51="●",[12]回答表!E336,"")),"")</f>
        <v/>
      </c>
      <c r="BK102" s="151"/>
      <c r="BL102" s="151"/>
      <c r="BM102" s="151"/>
      <c r="BN102" s="150" t="str">
        <f>IF([12]回答表!F18="水道事業",IF([12]回答表!X51="●",[12]回答表!E258,IF([12]回答表!AA51="●",[12]回答表!E337,"")),"")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IF([12]回答表!F18="水道事業",IF([12]回答表!AA51="●","●",""),"")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IF([12]回答表!F18="水道事業",IF([12]回答表!X51="●",[12]回答表!J213,IF([12]回答表!AA51="●",[12]回答表!J293,"")),"")</f>
        <v/>
      </c>
      <c r="V106" s="83"/>
      <c r="W106" s="83"/>
      <c r="X106" s="83"/>
      <c r="Y106" s="83"/>
      <c r="Z106" s="83"/>
      <c r="AA106" s="83"/>
      <c r="AB106" s="153"/>
      <c r="AC106" s="82" t="str">
        <f>IF([12]回答表!F18="水道事業",IF([12]回答表!X51="●",[12]回答表!J217,IF([12]回答表!AA51="●",[12]回答表!J297,"")),"")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IF([12]回答表!F18="水道事業",IF([12]回答表!X51="●",[12]回答表!E265,IF([12]回答表!AA51="●",[12]回答表!E344,"")),"")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IF([12]回答表!F18="水道事業",IF([12]回答表!X51="●",[12]回答表!B267,IF([12]回答表!AA51="●",[12]回答表!B346,"")),"")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IF([12]回答表!F18="水道事業",IF([12]回答表!AD51="●","●",""),"")</f>
        <v/>
      </c>
      <c r="O118" s="131"/>
      <c r="P118" s="131"/>
      <c r="Q118" s="132"/>
      <c r="R118" s="119"/>
      <c r="S118" s="119"/>
      <c r="T118" s="119"/>
      <c r="U118" s="133" t="str">
        <f>IF([12]回答表!F18="水道事業",IF([12]回答表!AD51="●",[12]回答表!B354,""),"")</f>
        <v/>
      </c>
      <c r="V118" s="134"/>
      <c r="W118" s="134"/>
      <c r="X118" s="134"/>
      <c r="Y118" s="134"/>
      <c r="Z118" s="134"/>
      <c r="AA118" s="134"/>
      <c r="AB118" s="134"/>
      <c r="AC118" s="134"/>
      <c r="AD118" s="134"/>
      <c r="AE118" s="134"/>
      <c r="AF118" s="134"/>
      <c r="AG118" s="134"/>
      <c r="AH118" s="134"/>
      <c r="AI118" s="134"/>
      <c r="AJ118" s="135"/>
      <c r="AK118" s="189"/>
      <c r="AL118" s="189"/>
      <c r="AM118" s="133" t="str">
        <f>IF([12]回答表!F18="水道事業",IF([12]回答表!AD51="●",[12]回答表!B360,""),"")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IF([12]回答表!F18="簡易水道事業",IF([12]回答表!X51="●",[12]回答表!B197,IF([12]回答表!AA51="●",[12]回答表!B275,"")),"")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IF([12]回答表!F18="簡易水道事業",IF([12]回答表!X51="●",[12]回答表!B256,IF([12]回答表!AA51="●",[12]回答表!B335,"")),"")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IF([12]回答表!F18="簡易水道事業",IF([12]回答表!X51="●","●",""),"")</f>
        <v/>
      </c>
      <c r="O132" s="131"/>
      <c r="P132" s="131"/>
      <c r="Q132" s="132"/>
      <c r="R132" s="119"/>
      <c r="S132" s="119"/>
      <c r="T132" s="119"/>
      <c r="U132" s="82" t="str">
        <f>IF([12]回答表!F18="簡易水道事業",IF([12]回答表!X51="●",[12]回答表!S224,IF([12]回答表!AA51="●",[12]回答表!S304,"")),"")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IF([12]回答表!F18="簡易水道事業",IF([12]回答表!X51="●",[12]回答表!E256,IF([12]回答表!AA51="●",[12]回答表!E335,"")),"")</f>
        <v/>
      </c>
      <c r="BG133" s="151"/>
      <c r="BH133" s="151"/>
      <c r="BI133" s="151"/>
      <c r="BJ133" s="150" t="str">
        <f>IF([12]回答表!F18="簡易水道事業",IF([12]回答表!X51="●",[12]回答表!E257,IF([12]回答表!AA51="●",[12]回答表!E336,"")),"")</f>
        <v/>
      </c>
      <c r="BK133" s="151"/>
      <c r="BL133" s="151"/>
      <c r="BM133" s="151"/>
      <c r="BN133" s="150" t="str">
        <f>IF([12]回答表!F18="簡易水道事業",IF([12]回答表!X51="●",[12]回答表!E258,IF([12]回答表!AA51="●",[12]回答表!E337,"")),"")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IF([12]回答表!F18="簡易水道事業",IF([12]回答表!X51="●",[12]回答表!S225,IF([12]回答表!AA51="●",[12]回答表!S305,"")),"")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IF([12]回答表!F18="簡易水道事業",IF([12]回答表!AA51="●","●",""),"")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IF([12]回答表!F18="簡易水道事業",IF([12]回答表!X51="●",[12]回答表!S226,IF([12]回答表!AA51="●",[12]回答表!S306,"")),"")</f>
        <v/>
      </c>
      <c r="V142" s="83"/>
      <c r="W142" s="83"/>
      <c r="X142" s="83"/>
      <c r="Y142" s="83"/>
      <c r="Z142" s="83"/>
      <c r="AA142" s="83"/>
      <c r="AB142" s="83"/>
      <c r="AC142" s="83"/>
      <c r="AD142" s="83"/>
      <c r="AE142" s="83"/>
      <c r="AF142" s="83"/>
      <c r="AG142" s="83"/>
      <c r="AH142" s="83"/>
      <c r="AI142" s="83"/>
      <c r="AJ142" s="153"/>
      <c r="AK142" s="68"/>
      <c r="AL142" s="68"/>
      <c r="AM142" s="231" t="str">
        <f>IF([12]回答表!F18="簡易水道事業",IF([12]回答表!X51="●",[12]回答表!Y228,IF([12]回答表!AA51="●",[12]回答表!Y308,"")),"")</f>
        <v/>
      </c>
      <c r="AN142" s="231"/>
      <c r="AO142" s="231"/>
      <c r="AP142" s="231"/>
      <c r="AQ142" s="231"/>
      <c r="AR142" s="231"/>
      <c r="AS142" s="231" t="str">
        <f>IF([12]回答表!F18="簡易水道事業",IF([12]回答表!X51="●",[12]回答表!Y229,IF([12]回答表!AA51="●",[12]回答表!Y309,"")),"")</f>
        <v/>
      </c>
      <c r="AT142" s="231"/>
      <c r="AU142" s="231"/>
      <c r="AV142" s="231"/>
      <c r="AW142" s="231"/>
      <c r="AX142" s="231"/>
      <c r="AY142" s="231" t="str">
        <f>IF([12]回答表!F18="簡易水道事業",IF([12]回答表!X51="●",[12]回答表!Y230,IF([12]回答表!AA51="●",[12]回答表!Y310,"")),"")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IF([12]回答表!F18="簡易水道事業",IF([12]回答表!X51="●",[12]回答表!E265,IF([12]回答表!AA51="●",[12]回答表!E344,"")),"")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IF([12]回答表!F18="簡易水道事業",IF([12]回答表!X51="●",[12]回答表!B267,IF([12]回答表!AA51="●",[12]回答表!B346,"")),"")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IF([12]回答表!F18="簡易水道事業",IF([12]回答表!AD51="●","●",""),"")</f>
        <v/>
      </c>
      <c r="O154" s="131"/>
      <c r="P154" s="131"/>
      <c r="Q154" s="132"/>
      <c r="R154" s="119"/>
      <c r="S154" s="119"/>
      <c r="T154" s="119"/>
      <c r="U154" s="133" t="str">
        <f>IF([12]回答表!F18="簡易水道事業",IF([12]回答表!AD51="●",[12]回答表!B354,""),"")</f>
        <v/>
      </c>
      <c r="V154" s="134"/>
      <c r="W154" s="134"/>
      <c r="X154" s="134"/>
      <c r="Y154" s="134"/>
      <c r="Z154" s="134"/>
      <c r="AA154" s="134"/>
      <c r="AB154" s="134"/>
      <c r="AC154" s="134"/>
      <c r="AD154" s="134"/>
      <c r="AE154" s="134"/>
      <c r="AF154" s="134"/>
      <c r="AG154" s="134"/>
      <c r="AH154" s="134"/>
      <c r="AI154" s="134"/>
      <c r="AJ154" s="135"/>
      <c r="AK154" s="189"/>
      <c r="AL154" s="189"/>
      <c r="AM154" s="133" t="str">
        <f>IF([12]回答表!F18="簡易水道事業",IF([12]回答表!AD51="●",[12]回答表!B360,""),"")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IF([12]回答表!F18="下水道事業",IF([12]回答表!X51="●","●",""),"")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IF([12]回答表!F18="下水道事業",IF([12]回答表!X51="●",[12]回答表!B197,IF([12]回答表!AA51="●",[12]回答表!B275,"")),"")</f>
        <v>　処理施設を多く抱え維持管理費の縮減が課題となっており、農業集落排水処理施設を廃止し、公共下水道処理施設に統合を計画し工事を行っている。今後も統廃合を進める予定であり、処理施設数が減ることで維持管理費用が減少すると見込んでい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IF([12]回答表!F18="下水道事業",IF([12]回答表!X51="●",[12]回答表!B256,IF([12]回答表!AA51="●",[12]回答表!B335,"")),"")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IF([12]回答表!F18="下水道事業",IF([12]回答表!X51="●",[12]回答表!N234,IF([12]回答表!AA51="●",[12]回答表!N314,"")),"")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IF([12]回答表!F18="下水道事業",IF([12]回答表!X51="●",[12]回答表!E256,IF([12]回答表!AA51="●",[12]回答表!E335,"")),"")</f>
        <v>4</v>
      </c>
      <c r="BG169" s="151"/>
      <c r="BH169" s="151"/>
      <c r="BI169" s="151"/>
      <c r="BJ169" s="150">
        <f>IF([12]回答表!F18="下水道事業",IF([12]回答表!X51="●",[12]回答表!E257,IF([12]回答表!AA51="●",[12]回答表!E336,"")),"")</f>
        <v>4</v>
      </c>
      <c r="BK169" s="151"/>
      <c r="BL169" s="151"/>
      <c r="BM169" s="151"/>
      <c r="BN169" s="150">
        <f>IF([12]回答表!F18="下水道事業",IF([12]回答表!X51="●",[12]回答表!E258,IF([12]回答表!AA51="●",[12]回答表!E337,"")),"")</f>
        <v>1</v>
      </c>
      <c r="BO169" s="151"/>
      <c r="BP169" s="151"/>
      <c r="BQ169" s="152"/>
      <c r="BR169" s="112"/>
      <c r="BX169" s="234" t="str">
        <f>IF([12]回答表!AQ21="下水道事業",IF([12]回答表!BI54="○",[12]回答表!AM200,IF([12]回答表!BL54="○",[12]回答表!AM278,"")),"")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IF([12]回答表!F18="下水道事業",IF([12]回答表!X51="●",[12]回答表!Y236,IF([12]回答表!AA51="●",[12]回答表!Y316,"")),"")</f>
        <v>●</v>
      </c>
      <c r="V174" s="83"/>
      <c r="W174" s="83"/>
      <c r="X174" s="83"/>
      <c r="Y174" s="83"/>
      <c r="Z174" s="83"/>
      <c r="AA174" s="83"/>
      <c r="AB174" s="153"/>
      <c r="AC174" s="82" t="str">
        <f>IF([12]回答表!F18="下水道事業",IF([12]回答表!X51="●",[12]回答表!Y237,IF([12]回答表!AA51="●",[12]回答表!Y317,"")),"")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IF([12]回答表!F18="下水道事業",IF([12]回答表!X51="●",[12]回答表!Y239,IF([12]回答表!AA51="●",[12]回答表!Y319,"")),"")</f>
        <v xml:space="preserve"> </v>
      </c>
      <c r="V180" s="83"/>
      <c r="W180" s="83"/>
      <c r="X180" s="83"/>
      <c r="Y180" s="83"/>
      <c r="Z180" s="83"/>
      <c r="AA180" s="83"/>
      <c r="AB180" s="153"/>
      <c r="AC180" s="82" t="str">
        <f>IF([12]回答表!F18="下水道事業",IF([12]回答表!X51="●",[12]回答表!Y240,IF([12]回答表!AA51="●",[12]回答表!Y320,"")),"")</f>
        <v xml:space="preserve"> </v>
      </c>
      <c r="AD180" s="83"/>
      <c r="AE180" s="83"/>
      <c r="AF180" s="83"/>
      <c r="AG180" s="83"/>
      <c r="AH180" s="83"/>
      <c r="AI180" s="83"/>
      <c r="AJ180" s="153"/>
      <c r="AK180" s="82" t="str">
        <f>IF([12]回答表!F18="下水道事業",IF([12]回答表!X51="●",[12]回答表!Y241,IF([12]回答表!AA51="●",[12]回答表!Y321,"")),"")</f>
        <v>●</v>
      </c>
      <c r="AL180" s="83"/>
      <c r="AM180" s="83"/>
      <c r="AN180" s="83"/>
      <c r="AO180" s="83"/>
      <c r="AP180" s="83"/>
      <c r="AQ180" s="83"/>
      <c r="AR180" s="153"/>
      <c r="AS180" s="82" t="str">
        <f>IF([12]回答表!F18="下水道事業",IF([12]回答表!X51="●",[12]回答表!Y242,IF([12]回答表!AA51="●",[12]回答表!Y322,"")),"")</f>
        <v xml:space="preserve"> </v>
      </c>
      <c r="AT180" s="83"/>
      <c r="AU180" s="83"/>
      <c r="AV180" s="83"/>
      <c r="AW180" s="83"/>
      <c r="AX180" s="83"/>
      <c r="AY180" s="83"/>
      <c r="AZ180" s="153"/>
      <c r="BA180" s="82" t="str">
        <f>IF([12]回答表!F18="下水道事業",IF([12]回答表!X51="●",[12]回答表!Y243,IF([12]回答表!AA51="●",[12]回答表!Y323,"")),"")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IF([12]回答表!F18="下水道事業",IF([12]回答表!AA51="●","●",""),"")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IF([12]回答表!F18="下水道事業",IF([12]回答表!X51="●",[12]回答表!N248,IF([12]回答表!AA51="●",[12]回答表!N328,"")),"")</f>
        <v xml:space="preserve"> </v>
      </c>
      <c r="V186" s="83"/>
      <c r="W186" s="83"/>
      <c r="X186" s="83"/>
      <c r="Y186" s="83"/>
      <c r="Z186" s="83"/>
      <c r="AA186" s="83"/>
      <c r="AB186" s="153"/>
      <c r="AC186" s="82" t="str">
        <f>IF([12]回答表!F18="下水道事業",IF([12]回答表!X51="●",[12]回答表!N249,IF([12]回答表!AA51="●",[12]回答表!N329,"")),"")</f>
        <v xml:space="preserve"> </v>
      </c>
      <c r="AD186" s="83"/>
      <c r="AE186" s="83"/>
      <c r="AF186" s="83"/>
      <c r="AG186" s="83"/>
      <c r="AH186" s="83"/>
      <c r="AI186" s="83"/>
      <c r="AJ186" s="153"/>
      <c r="AK186" s="82" t="str">
        <f>IF([12]回答表!F18="下水道事業",IF([12]回答表!X51="●",[12]回答表!N250,IF([12]回答表!AA51="●",[12]回答表!N330,"")),"")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IF([12]回答表!F18="下水道事業",IF([12]回答表!X51="●",[12]回答表!E265,IF([12]回答表!AA51="●",[12]回答表!E344,"")),"")</f>
        <v>0</v>
      </c>
      <c r="V191" s="182"/>
      <c r="W191" s="182"/>
      <c r="X191" s="182"/>
      <c r="Y191" s="182"/>
      <c r="Z191" s="182"/>
      <c r="AA191" s="182"/>
      <c r="AB191" s="182"/>
      <c r="AC191" s="182"/>
      <c r="AD191" s="182"/>
      <c r="AE191" s="183" t="s">
        <v>33</v>
      </c>
      <c r="AF191" s="183"/>
      <c r="AG191" s="183"/>
      <c r="AH191" s="183"/>
      <c r="AI191" s="183"/>
      <c r="AJ191" s="184"/>
      <c r="AK191" s="136"/>
      <c r="AL191" s="136"/>
      <c r="AM191" s="133">
        <f>IF([12]回答表!F18="下水道事業",IF([12]回答表!X51="●",[12]回答表!B267,IF([12]回答表!AA51="●",[12]回答表!B346,"")),"")</f>
        <v>0</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IF([12]回答表!F18="下水道事業",IF([12]回答表!AD51="●","●",""),"")</f>
        <v/>
      </c>
      <c r="O198" s="131"/>
      <c r="P198" s="131"/>
      <c r="Q198" s="132"/>
      <c r="R198" s="119"/>
      <c r="S198" s="119"/>
      <c r="T198" s="119"/>
      <c r="U198" s="133" t="str">
        <f>IF([12]回答表!F18="下水道事業",IF([12]回答表!AD51="●",[12]回答表!B354,""),"")</f>
        <v/>
      </c>
      <c r="V198" s="134"/>
      <c r="W198" s="134"/>
      <c r="X198" s="134"/>
      <c r="Y198" s="134"/>
      <c r="Z198" s="134"/>
      <c r="AA198" s="134"/>
      <c r="AB198" s="134"/>
      <c r="AC198" s="134"/>
      <c r="AD198" s="134"/>
      <c r="AE198" s="134"/>
      <c r="AF198" s="134"/>
      <c r="AG198" s="134"/>
      <c r="AH198" s="134"/>
      <c r="AI198" s="134"/>
      <c r="AJ198" s="135"/>
      <c r="AK198" s="189"/>
      <c r="AL198" s="189"/>
      <c r="AM198" s="133" t="str">
        <f>IF([12]回答表!F18="下水道事業",IF([12]回答表!AD51="●",[12]回答表!B360,""),"")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IF([12]回答表!BD18="●",IF([12]回答表!X51="●","●",""),"")</f>
        <v/>
      </c>
      <c r="O210" s="131"/>
      <c r="P210" s="131"/>
      <c r="Q210" s="132"/>
      <c r="R210" s="119"/>
      <c r="S210" s="119"/>
      <c r="T210" s="119"/>
      <c r="U210" s="133" t="str">
        <f>IF([12]回答表!BD18="●",IF([12]回答表!X51="●",[12]回答表!B197,IF([12]回答表!AA51="●",[12]回答表!B275,"")),"")</f>
        <v/>
      </c>
      <c r="V210" s="134"/>
      <c r="W210" s="134"/>
      <c r="X210" s="134"/>
      <c r="Y210" s="134"/>
      <c r="Z210" s="134"/>
      <c r="AA210" s="134"/>
      <c r="AB210" s="134"/>
      <c r="AC210" s="134"/>
      <c r="AD210" s="134"/>
      <c r="AE210" s="134"/>
      <c r="AF210" s="134"/>
      <c r="AG210" s="134"/>
      <c r="AH210" s="134"/>
      <c r="AI210" s="134"/>
      <c r="AJ210" s="135"/>
      <c r="AK210" s="136"/>
      <c r="AL210" s="136"/>
      <c r="AM210" s="138" t="str">
        <f>IF([12]回答表!BD18="●",IF([12]回答表!X51="●",[12]回答表!B256,IF([12]回答表!AA51="●",[12]回答表!B335,"")),"")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IF([12]回答表!BD18="●",IF([12]回答表!X51="●",[12]回答表!E256,IF([12]回答表!AA51="●",[12]回答表!E335,"")),"")</f>
        <v/>
      </c>
      <c r="AN213" s="151"/>
      <c r="AO213" s="151"/>
      <c r="AP213" s="151"/>
      <c r="AQ213" s="150" t="str">
        <f>IF([12]回答表!BD18="●",IF([12]回答表!X51="●",[12]回答表!E257,IF([12]回答表!AA51="●",[12]回答表!E336,"")),"")</f>
        <v/>
      </c>
      <c r="AR213" s="151"/>
      <c r="AS213" s="151"/>
      <c r="AT213" s="151"/>
      <c r="AU213" s="150" t="str">
        <f>IF([12]回答表!BD18="●",IF([12]回答表!X51="●",[12]回答表!E258,IF([12]回答表!AA51="●",[12]回答表!E337,"")),"")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IF([12]回答表!BD18="●",IF([12]回答表!AA51="●","●",""),"")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IF([12]回答表!BD18="●",IF([12]回答表!X51="●",[12]回答表!E265,IF([12]回答表!AA51="●",[12]回答表!E344,"")),"")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IF([12]回答表!BD18="●",IF([12]回答表!X51="●",[12]回答表!B267,IF([12]回答表!AA51="●",[12]回答表!B346,"")),"")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IF([12]回答表!BD18="●",IF([12]回答表!AD51="●","●",""),"")</f>
        <v/>
      </c>
      <c r="O229" s="131"/>
      <c r="P229" s="131"/>
      <c r="Q229" s="132"/>
      <c r="R229" s="119"/>
      <c r="S229" s="119"/>
      <c r="T229" s="119"/>
      <c r="U229" s="133" t="str">
        <f>IF([12]回答表!BD18="●",IF([12]回答表!AD51="●",[12]回答表!B354,""),"")</f>
        <v/>
      </c>
      <c r="V229" s="134"/>
      <c r="W229" s="134"/>
      <c r="X229" s="134"/>
      <c r="Y229" s="134"/>
      <c r="Z229" s="134"/>
      <c r="AA229" s="134"/>
      <c r="AB229" s="134"/>
      <c r="AC229" s="134"/>
      <c r="AD229" s="134"/>
      <c r="AE229" s="134"/>
      <c r="AF229" s="134"/>
      <c r="AG229" s="134"/>
      <c r="AH229" s="134"/>
      <c r="AI229" s="134"/>
      <c r="AJ229" s="135"/>
      <c r="AK229" s="249"/>
      <c r="AL229" s="249"/>
      <c r="AM229" s="133" t="str">
        <f>IF([12]回答表!BD18="●",IF([12]回答表!AD51="●",[12]回答表!B360,""),"")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IF([12]回答表!X52="●","●","")</f>
        <v/>
      </c>
      <c r="O241" s="131"/>
      <c r="P241" s="131"/>
      <c r="Q241" s="132"/>
      <c r="R241" s="119"/>
      <c r="S241" s="119"/>
      <c r="T241" s="119"/>
      <c r="U241" s="133" t="str">
        <f>IF([12]回答表!X52="●",[12]回答表!B371,IF([12]回答表!AA52="●",[12]回答表!B396,""))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IF([12]回答表!X52="●",[12]回答表!U377,IF([12]回答表!AA52="●",[12]回答表!U402,""))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IF([12]回答表!X52="●",[12]回答表!G377,IF([12]回答表!AA52="●",[12]回答表!G402,""))</f>
        <v/>
      </c>
      <c r="AN244" s="83"/>
      <c r="AO244" s="83"/>
      <c r="AP244" s="83"/>
      <c r="AQ244" s="83"/>
      <c r="AR244" s="83"/>
      <c r="AS244" s="83"/>
      <c r="AT244" s="153"/>
      <c r="AU244" s="82" t="str">
        <f>IF([12]回答表!X52="●",[12]回答表!G378,IF([12]回答表!AA52="●",[12]回答表!G403,""))</f>
        <v/>
      </c>
      <c r="AV244" s="83"/>
      <c r="AW244" s="83"/>
      <c r="AX244" s="83"/>
      <c r="AY244" s="83"/>
      <c r="AZ244" s="83"/>
      <c r="BA244" s="83"/>
      <c r="BB244" s="153"/>
      <c r="BC244" s="120"/>
      <c r="BD244" s="109"/>
      <c r="BE244" s="109"/>
      <c r="BF244" s="150" t="str">
        <f>IF([12]回答表!X52="●",[12]回答表!X377,IF([12]回答表!AA52="●",[12]回答表!X402,""))</f>
        <v/>
      </c>
      <c r="BG244" s="151"/>
      <c r="BH244" s="151"/>
      <c r="BI244" s="151"/>
      <c r="BJ244" s="150" t="str">
        <f>IF([12]回答表!X52="●",[12]回答表!X378,IF([12]回答表!AA52="●",[12]回答表!X403,""))</f>
        <v/>
      </c>
      <c r="BK244" s="151"/>
      <c r="BL244" s="151"/>
      <c r="BM244" s="152"/>
      <c r="BN244" s="150" t="str">
        <f>IF([12]回答表!X52="●",[12]回答表!X379,IF([12]回答表!AA52="●",[12]回答表!X404,""))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IF([12]回答表!X52="●",[12]回答表!E386,IF([12]回答表!AA52="●",[12]回答表!E407,""))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IF([12]回答表!X52="●",[12]回答表!B388,IF([12]回答表!AA52="●",[12]回答表!B409,""))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IF([12]回答表!AD52="●","●","")</f>
        <v/>
      </c>
      <c r="O260" s="131"/>
      <c r="P260" s="131"/>
      <c r="Q260" s="132"/>
      <c r="R260" s="119"/>
      <c r="S260" s="119"/>
      <c r="T260" s="119"/>
      <c r="U260" s="133" t="str">
        <f>IF([12]回答表!AD52="●",[12]回答表!B417,"")</f>
        <v/>
      </c>
      <c r="V260" s="134"/>
      <c r="W260" s="134"/>
      <c r="X260" s="134"/>
      <c r="Y260" s="134"/>
      <c r="Z260" s="134"/>
      <c r="AA260" s="134"/>
      <c r="AB260" s="134"/>
      <c r="AC260" s="134"/>
      <c r="AD260" s="134"/>
      <c r="AE260" s="134"/>
      <c r="AF260" s="134"/>
      <c r="AG260" s="134"/>
      <c r="AH260" s="134"/>
      <c r="AI260" s="134"/>
      <c r="AJ260" s="135"/>
      <c r="AK260" s="249"/>
      <c r="AL260" s="249"/>
      <c r="AM260" s="133" t="str">
        <f>IF([12]回答表!AD52="●",[12]回答表!B423,"")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IF([12]回答表!X53="●","●","")</f>
        <v/>
      </c>
      <c r="O272" s="131"/>
      <c r="P272" s="131"/>
      <c r="Q272" s="132"/>
      <c r="R272" s="119"/>
      <c r="S272" s="119"/>
      <c r="T272" s="119"/>
      <c r="U272" s="133" t="str">
        <f>IF([12]回答表!X53="●",[12]回答表!B434,IF([12]回答表!AA53="●",[12]回答表!B465,""))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IF([12]回答表!X53="●",[12]回答表!B440,"")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IF([12]回答表!X53="●",[12]回答表!B446,IF([12]回答表!AA53="●",[12]回答表!B471,""))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IF([12]回答表!X53="●",[12]回答表!E446,IF([12]回答表!AA53="●",[12]回答表!E471,""))</f>
        <v/>
      </c>
      <c r="BG275" s="151"/>
      <c r="BH275" s="151"/>
      <c r="BI275" s="151"/>
      <c r="BJ275" s="150" t="str">
        <f>IF([12]回答表!X53="●",[12]回答表!E447,IF([12]回答表!AA53="●",[12]回答表!E472,""))</f>
        <v/>
      </c>
      <c r="BK275" s="151"/>
      <c r="BL275" s="151"/>
      <c r="BM275" s="152"/>
      <c r="BN275" s="150" t="str">
        <f>IF([12]回答表!X53="●",[12]回答表!E448,IF([12]回答表!AA53="●",[12]回答表!E473,""))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IF([12]回答表!X53="●",[12]回答表!E455,IF([12]回答表!AA53="●",[12]回答表!E476,""))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IF([12]回答表!X53="●",[12]回答表!B457,IF([12]回答表!AA53="●",[12]回答表!B478,""))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IF([12]回答表!AD53="●","●","")</f>
        <v/>
      </c>
      <c r="O291" s="131"/>
      <c r="P291" s="131"/>
      <c r="Q291" s="132"/>
      <c r="R291" s="119"/>
      <c r="S291" s="119"/>
      <c r="T291" s="119"/>
      <c r="U291" s="133" t="str">
        <f>IF([12]回答表!AD53="●",[12]回答表!B486,"")</f>
        <v/>
      </c>
      <c r="V291" s="134"/>
      <c r="W291" s="134"/>
      <c r="X291" s="134"/>
      <c r="Y291" s="134"/>
      <c r="Z291" s="134"/>
      <c r="AA291" s="134"/>
      <c r="AB291" s="134"/>
      <c r="AC291" s="134"/>
      <c r="AD291" s="134"/>
      <c r="AE291" s="134"/>
      <c r="AF291" s="134"/>
      <c r="AG291" s="134"/>
      <c r="AH291" s="134"/>
      <c r="AI291" s="134"/>
      <c r="AJ291" s="135"/>
      <c r="AK291" s="249"/>
      <c r="AL291" s="249"/>
      <c r="AM291" s="133" t="str">
        <f>IF([12]回答表!AD53="●",[12]回答表!B492,"")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IF([12]回答表!X54="●","●","")</f>
        <v/>
      </c>
      <c r="O303" s="131"/>
      <c r="P303" s="131"/>
      <c r="Q303" s="132"/>
      <c r="R303" s="119"/>
      <c r="S303" s="119"/>
      <c r="T303" s="119"/>
      <c r="U303" s="133" t="str">
        <f>IF([12]回答表!X54="●",[12]回答表!B503,IF([12]回答表!AA54="●",[12]回答表!B526,""))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IF([12]回答表!X54="●",[12]回答表!BC510,IF([12]回答表!AA54="●",[12]回答表!BC533,""))</f>
        <v/>
      </c>
      <c r="AR303" s="271"/>
      <c r="AS303" s="271"/>
      <c r="AT303" s="271"/>
      <c r="AU303" s="272" t="s">
        <v>74</v>
      </c>
      <c r="AV303" s="273"/>
      <c r="AW303" s="273"/>
      <c r="AX303" s="274"/>
      <c r="AY303" s="271" t="str">
        <f>IF([12]回答表!X54="●",[12]回答表!BC515,IF([12]回答表!AA54="●",[12]回答表!BC538,""))</f>
        <v/>
      </c>
      <c r="AZ303" s="271"/>
      <c r="BA303" s="271"/>
      <c r="BB303" s="271"/>
      <c r="BC303" s="120"/>
      <c r="BD303" s="109"/>
      <c r="BE303" s="109"/>
      <c r="BF303" s="138" t="str">
        <f>IF([12]回答表!X54="●",[12]回答表!S509,IF([12]回答表!AA54="●",[12]回答表!S532,""))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IF([12]回答表!X54="●",[12]回答表!BC511,IF([12]回答表!AA54="●",[12]回答表!BC534,""))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IF([12]回答表!X54="●",[12]回答表!V509,IF([12]回答表!AA54="●",[12]回答表!V532,""))</f>
        <v/>
      </c>
      <c r="BG306" s="151"/>
      <c r="BH306" s="151"/>
      <c r="BI306" s="151"/>
      <c r="BJ306" s="150" t="str">
        <f>IF([12]回答表!X54="●",[12]回答表!V510,IF([12]回答表!AA54="●",[12]回答表!V533,""))</f>
        <v/>
      </c>
      <c r="BK306" s="151"/>
      <c r="BL306" s="151"/>
      <c r="BM306" s="152"/>
      <c r="BN306" s="150" t="str">
        <f>IF([12]回答表!X54="●",[12]回答表!V511,IF([12]回答表!AA54="●",[12]回答表!V534,""))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IF([12]回答表!X54="●",[12]回答表!BC512,IF([12]回答表!AA54="●",[12]回答表!BC535,""))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IF([12]回答表!X54="●",[12]回答表!BC516,IF([12]回答表!AA54="●",[12]回答表!BC539,""))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IF([12]回答表!X54="●",[12]回答表!BC513,IF([12]回答表!AA54="●",[12]回答表!BC536,""))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IF([12]回答表!X54="●",[12]回答表!BC514,IF([12]回答表!AA54="●",[12]回答表!BC537,""))</f>
        <v/>
      </c>
      <c r="AR311" s="271"/>
      <c r="AS311" s="271"/>
      <c r="AT311" s="271"/>
      <c r="AU311" s="222" t="s">
        <v>80</v>
      </c>
      <c r="AV311" s="223"/>
      <c r="AW311" s="223"/>
      <c r="AX311" s="224"/>
      <c r="AY311" s="281" t="str">
        <f>IF([12]回答表!X54="●",[12]回答表!BC517,IF([12]回答表!AA54="●",[12]回答表!BC540,""))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IF([12]回答表!X54="●",[12]回答表!E516,IF([12]回答表!AA54="●",[12]回答表!E538,""))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IF([12]回答表!X54="●",[12]回答表!B518,IF([12]回答表!AA54="●",[12]回答表!B540,""))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IF([12]回答表!AD54="●","●","")</f>
        <v/>
      </c>
      <c r="O322" s="131"/>
      <c r="P322" s="131"/>
      <c r="Q322" s="132"/>
      <c r="R322" s="119"/>
      <c r="S322" s="119"/>
      <c r="T322" s="119"/>
      <c r="U322" s="133" t="str">
        <f>IF([12]回答表!AD54="●",[12]回答表!B548,"")</f>
        <v/>
      </c>
      <c r="V322" s="134"/>
      <c r="W322" s="134"/>
      <c r="X322" s="134"/>
      <c r="Y322" s="134"/>
      <c r="Z322" s="134"/>
      <c r="AA322" s="134"/>
      <c r="AB322" s="134"/>
      <c r="AC322" s="134"/>
      <c r="AD322" s="134"/>
      <c r="AE322" s="134"/>
      <c r="AF322" s="134"/>
      <c r="AG322" s="134"/>
      <c r="AH322" s="134"/>
      <c r="AI322" s="134"/>
      <c r="AJ322" s="135"/>
      <c r="AK322" s="189"/>
      <c r="AL322" s="189"/>
      <c r="AM322" s="133" t="str">
        <f>IF([12]回答表!AD54="●",[12]回答表!B554,"")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IF([12]回答表!X55="●","●","")</f>
        <v/>
      </c>
      <c r="O333" s="131"/>
      <c r="P333" s="131"/>
      <c r="Q333" s="132"/>
      <c r="R333" s="119"/>
      <c r="S333" s="119"/>
      <c r="T333" s="119"/>
      <c r="U333" s="133" t="str">
        <f>IF([12]回答表!X55="●",[12]回答表!B565,IF([12]回答表!AA55="●",[12]回答表!B590,""))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IF([12]回答表!X55="●",[12]回答表!B575,IF([12]回答表!AA55="●",[12]回答表!B600,""))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IF([12]回答表!X55="●",[12]回答表!G571,IF([12]回答表!AA55="●",[12]回答表!G596,""))</f>
        <v/>
      </c>
      <c r="AN335" s="83"/>
      <c r="AO335" s="83"/>
      <c r="AP335" s="83"/>
      <c r="AQ335" s="83"/>
      <c r="AR335" s="83"/>
      <c r="AS335" s="83"/>
      <c r="AT335" s="153"/>
      <c r="AU335" s="82" t="str">
        <f>IF([12]回答表!X55="●",[12]回答表!G572,IF([12]回答表!AA55="●",[12]回答表!G597,""))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IF([12]回答表!X55="●",[12]回答表!E575,IF([12]回答表!AA55="●",[12]回答表!E600,""))</f>
        <v/>
      </c>
      <c r="BG336" s="151"/>
      <c r="BH336" s="151"/>
      <c r="BI336" s="151"/>
      <c r="BJ336" s="150" t="str">
        <f>IF([12]回答表!X55="●",[12]回答表!E576,IF([12]回答表!AA55="●",[12]回答表!E601,""))</f>
        <v/>
      </c>
      <c r="BK336" s="151"/>
      <c r="BL336" s="151"/>
      <c r="BM336" s="152"/>
      <c r="BN336" s="150" t="str">
        <f>IF([12]回答表!X55="●",[12]回答表!E577,IF([12]回答表!AA55="●",[12]回答表!E602,""))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IF([12]回答表!X55="●",[12]回答表!E580,IF([12]回答表!AA55="●",[12]回答表!E605,""))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IF([12]回答表!X55="●",[12]回答表!B582,IF([12]回答表!AA55="●",[12]回答表!B607,""))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IF([12]回答表!AD55="●","●","")</f>
        <v/>
      </c>
      <c r="O352" s="131"/>
      <c r="P352" s="131"/>
      <c r="Q352" s="132"/>
      <c r="R352" s="119"/>
      <c r="S352" s="119"/>
      <c r="T352" s="119"/>
      <c r="U352" s="133" t="str">
        <f>IF([12]回答表!AD55="●",[12]回答表!B615,"")</f>
        <v/>
      </c>
      <c r="V352" s="134"/>
      <c r="W352" s="134"/>
      <c r="X352" s="134"/>
      <c r="Y352" s="134"/>
      <c r="Z352" s="134"/>
      <c r="AA352" s="134"/>
      <c r="AB352" s="134"/>
      <c r="AC352" s="134"/>
      <c r="AD352" s="134"/>
      <c r="AE352" s="134"/>
      <c r="AF352" s="134"/>
      <c r="AG352" s="134"/>
      <c r="AH352" s="134"/>
      <c r="AI352" s="134"/>
      <c r="AJ352" s="135"/>
      <c r="AK352" s="136"/>
      <c r="AL352" s="136"/>
      <c r="AM352" s="133" t="str">
        <f>IF([12]回答表!AD55="●",[12]回答表!B621,"")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IF([12]回答表!R56="●",[12]回答表!B634,"")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89CB2-37C0-4028-913F-DC67C7178257}">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IF(COUNTIF([13]回答表!K16,"*")&gt;0,[13]回答表!K16,"")</f>
        <v>由利本荘市</v>
      </c>
      <c r="D11" s="8"/>
      <c r="E11" s="8"/>
      <c r="F11" s="8"/>
      <c r="G11" s="8"/>
      <c r="H11" s="8"/>
      <c r="I11" s="8"/>
      <c r="J11" s="8"/>
      <c r="K11" s="8"/>
      <c r="L11" s="8"/>
      <c r="M11" s="8"/>
      <c r="N11" s="8"/>
      <c r="O11" s="8"/>
      <c r="P11" s="8"/>
      <c r="Q11" s="8"/>
      <c r="R11" s="8"/>
      <c r="S11" s="8"/>
      <c r="T11" s="8"/>
      <c r="U11" s="22" t="str">
        <f>IF(COUNTIF([13]回答表!F18,"*")&gt;0,[13]回答表!F18,"")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IF(COUNTIF([13]回答表!W18,"*")&gt;0,[13]回答表!W18,"")</f>
        <v>個別排水処理施設</v>
      </c>
      <c r="AP11" s="10"/>
      <c r="AQ11" s="10"/>
      <c r="AR11" s="10"/>
      <c r="AS11" s="10"/>
      <c r="AT11" s="10"/>
      <c r="AU11" s="10"/>
      <c r="AV11" s="10"/>
      <c r="AW11" s="10"/>
      <c r="AX11" s="10"/>
      <c r="AY11" s="10"/>
      <c r="AZ11" s="10"/>
      <c r="BA11" s="10"/>
      <c r="BB11" s="10"/>
      <c r="BC11" s="10"/>
      <c r="BD11" s="10"/>
      <c r="BE11" s="10"/>
      <c r="BF11" s="11"/>
      <c r="BG11" s="21" t="str">
        <f>IF(COUNTIF([13]回答表!F20,"*")&gt;0,[13]回答表!F20,"")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IF([13]回答表!R49="●","●","")</f>
        <v/>
      </c>
      <c r="E24" s="80"/>
      <c r="F24" s="80"/>
      <c r="G24" s="80"/>
      <c r="H24" s="80"/>
      <c r="I24" s="80"/>
      <c r="J24" s="81"/>
      <c r="K24" s="79" t="str">
        <f>IF([13]回答表!R50="●","●","")</f>
        <v/>
      </c>
      <c r="L24" s="80"/>
      <c r="M24" s="80"/>
      <c r="N24" s="80"/>
      <c r="O24" s="80"/>
      <c r="P24" s="80"/>
      <c r="Q24" s="81"/>
      <c r="R24" s="79" t="str">
        <f>IF([13]回答表!R51="●","●","")</f>
        <v/>
      </c>
      <c r="S24" s="80"/>
      <c r="T24" s="80"/>
      <c r="U24" s="80"/>
      <c r="V24" s="80"/>
      <c r="W24" s="80"/>
      <c r="X24" s="81"/>
      <c r="Y24" s="79" t="str">
        <f>IF([13]回答表!R52="●","●","")</f>
        <v/>
      </c>
      <c r="Z24" s="80"/>
      <c r="AA24" s="80"/>
      <c r="AB24" s="80"/>
      <c r="AC24" s="80"/>
      <c r="AD24" s="80"/>
      <c r="AE24" s="81"/>
      <c r="AF24" s="79" t="str">
        <f>IF([13]回答表!R53="●","●","")</f>
        <v/>
      </c>
      <c r="AG24" s="80"/>
      <c r="AH24" s="80"/>
      <c r="AI24" s="80"/>
      <c r="AJ24" s="80"/>
      <c r="AK24" s="80"/>
      <c r="AL24" s="81"/>
      <c r="AM24" s="79" t="str">
        <f>IF([13]回答表!R54="●","●","")</f>
        <v/>
      </c>
      <c r="AN24" s="80"/>
      <c r="AO24" s="80"/>
      <c r="AP24" s="80"/>
      <c r="AQ24" s="80"/>
      <c r="AR24" s="80"/>
      <c r="AS24" s="81"/>
      <c r="AT24" s="79" t="str">
        <f>IF([13]回答表!R55="●","●","")</f>
        <v/>
      </c>
      <c r="AU24" s="80"/>
      <c r="AV24" s="80"/>
      <c r="AW24" s="80"/>
      <c r="AX24" s="80"/>
      <c r="AY24" s="80"/>
      <c r="AZ24" s="81"/>
      <c r="BA24" s="68"/>
      <c r="BB24" s="82" t="str">
        <f>IF([13]回答表!R56="●","●","")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IF([13]回答表!X49="●","●","")</f>
        <v/>
      </c>
      <c r="O36" s="131"/>
      <c r="P36" s="131"/>
      <c r="Q36" s="132"/>
      <c r="R36" s="119"/>
      <c r="S36" s="119"/>
      <c r="T36" s="119"/>
      <c r="U36" s="133" t="str">
        <f>IF([13]回答表!X49="●",[13]回答表!B67,IF([13]回答表!AA49="●",[13]回答表!B95,""))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IF([13]回答表!X49="●",[13]回答表!S73,IF([13]回答表!AA49="●",[13]回答表!S101,""))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IF([13]回答表!X49="●",[13]回答表!G73,IF([13]回答表!AA49="●",[13]回答表!G101,""))</f>
        <v/>
      </c>
      <c r="AN38" s="83"/>
      <c r="AO38" s="83"/>
      <c r="AP38" s="83"/>
      <c r="AQ38" s="83"/>
      <c r="AR38" s="83"/>
      <c r="AS38" s="83"/>
      <c r="AT38" s="153"/>
      <c r="AU38" s="82" t="str">
        <f>IF([13]回答表!X49="●",[13]回答表!G74,IF([13]回答表!AA49="●",[13]回答表!G102,""))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IF([13]回答表!X49="●",[13]回答表!V73,IF([13]回答表!AA49="●",[13]回答表!V101,""))</f>
        <v/>
      </c>
      <c r="BG39" s="16"/>
      <c r="BH39" s="16"/>
      <c r="BI39" s="17"/>
      <c r="BJ39" s="150" t="str">
        <f>IF([13]回答表!X49="●",[13]回答表!V74,IF([13]回答表!AA49="●",[13]回答表!V102,""))</f>
        <v/>
      </c>
      <c r="BK39" s="16"/>
      <c r="BL39" s="16"/>
      <c r="BM39" s="17"/>
      <c r="BN39" s="150" t="str">
        <f>IF([13]回答表!X49="●",[13]回答表!V75,IF([13]回答表!AA49="●",[13]回答表!V103,""))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IF([13]回答表!X49="●",[13]回答表!O79,IF([13]回答表!AA49="●",[13]回答表!O107,""))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IF([13]回答表!X49="●",[13]回答表!O80,IF([13]回答表!AA49="●",[13]回答表!O108,""))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IF([13]回答表!X49="●",[13]回答表!O81,IF([13]回答表!AA49="●",[13]回答表!O109,""))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IF([13]回答表!X49="●",[13]回答表!O82,IF([13]回答表!AA49="●",[13]回答表!O110,""))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IF([13]回答表!X49="●",[13]回答表!AG79,IF([13]回答表!AA49="●",[13]回答表!AG107,""))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IF([13]回答表!X49="●",[13]回答表!AG80,IF([13]回答表!AA49="●",[13]回答表!AG108,""))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IF([13]回答表!X49="●",[13]回答表!E85,IF([13]回答表!AA49="●",[13]回答表!E113,""))</f>
        <v/>
      </c>
      <c r="V50" s="182"/>
      <c r="W50" s="182"/>
      <c r="X50" s="182"/>
      <c r="Y50" s="182"/>
      <c r="Z50" s="182"/>
      <c r="AA50" s="182"/>
      <c r="AB50" s="182"/>
      <c r="AC50" s="182"/>
      <c r="AD50" s="182"/>
      <c r="AE50" s="183" t="s">
        <v>33</v>
      </c>
      <c r="AF50" s="183"/>
      <c r="AG50" s="183"/>
      <c r="AH50" s="183"/>
      <c r="AI50" s="183"/>
      <c r="AJ50" s="184"/>
      <c r="AK50" s="136"/>
      <c r="AL50" s="136"/>
      <c r="AM50" s="133" t="str">
        <f>IF([13]回答表!X49="●",[13]回答表!B87,IF([13]回答表!AA49="●",[13]回答表!B115,""))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IF([13]回答表!AD49="●","●","")</f>
        <v/>
      </c>
      <c r="O57" s="131"/>
      <c r="P57" s="131"/>
      <c r="Q57" s="132"/>
      <c r="R57" s="119"/>
      <c r="S57" s="119"/>
      <c r="T57" s="119"/>
      <c r="U57" s="133" t="str">
        <f>IF([13]回答表!AD49="●",[13]回答表!B123,"")</f>
        <v/>
      </c>
      <c r="V57" s="134"/>
      <c r="W57" s="134"/>
      <c r="X57" s="134"/>
      <c r="Y57" s="134"/>
      <c r="Z57" s="134"/>
      <c r="AA57" s="134"/>
      <c r="AB57" s="134"/>
      <c r="AC57" s="134"/>
      <c r="AD57" s="134"/>
      <c r="AE57" s="134"/>
      <c r="AF57" s="134"/>
      <c r="AG57" s="134"/>
      <c r="AH57" s="134"/>
      <c r="AI57" s="134"/>
      <c r="AJ57" s="135"/>
      <c r="AK57" s="189"/>
      <c r="AL57" s="189"/>
      <c r="AM57" s="133" t="str">
        <f>IF([13]回答表!AD49="●",[13]回答表!B128,"")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IF([13]回答表!X50="●","●","")</f>
        <v/>
      </c>
      <c r="O68" s="131"/>
      <c r="P68" s="131"/>
      <c r="Q68" s="132"/>
      <c r="R68" s="119"/>
      <c r="S68" s="119"/>
      <c r="T68" s="119"/>
      <c r="U68" s="133" t="str">
        <f>IF([13]回答表!X50="●",[13]回答表!B138,IF([13]回答表!AA50="●",[13]回答表!B159,""))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IF([13]回答表!X50="●",[13]回答表!S144,IF([13]回答表!AA50="●",[13]回答表!S165,""))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IF([13]回答表!X50="●",[13]回答表!J144,IF([13]回答表!AA50="●",[13]回答表!J165,""))</f>
        <v/>
      </c>
      <c r="AN71" s="83"/>
      <c r="AO71" s="83"/>
      <c r="AP71" s="83"/>
      <c r="AQ71" s="83"/>
      <c r="AR71" s="83"/>
      <c r="AS71" s="83"/>
      <c r="AT71" s="153"/>
      <c r="AU71" s="82" t="str">
        <f>IF([13]回答表!X50="●",[13]回答表!J145,IF([13]回答表!AA50="●",[13]回答表!J166,""))</f>
        <v/>
      </c>
      <c r="AV71" s="83"/>
      <c r="AW71" s="83"/>
      <c r="AX71" s="83"/>
      <c r="AY71" s="83"/>
      <c r="AZ71" s="83"/>
      <c r="BA71" s="83"/>
      <c r="BB71" s="153"/>
      <c r="BC71" s="120"/>
      <c r="BD71" s="109"/>
      <c r="BE71" s="109"/>
      <c r="BF71" s="150" t="str">
        <f>IF([13]回答表!X50="●",[13]回答表!V144,IF([13]回答表!AA50="●",[13]回答表!V165,""))</f>
        <v/>
      </c>
      <c r="BG71" s="151"/>
      <c r="BH71" s="151"/>
      <c r="BI71" s="151"/>
      <c r="BJ71" s="150" t="str">
        <f>IF([13]回答表!X50="●",[13]回答表!V145,IF([13]回答表!AA50="●",[13]回答表!V166,""))</f>
        <v/>
      </c>
      <c r="BK71" s="151"/>
      <c r="BL71" s="151"/>
      <c r="BM71" s="151"/>
      <c r="BN71" s="150" t="str">
        <f>IF([13]回答表!X50="●",[13]回答表!V146,IF([13]回答表!AA50="●",[13]回答表!V167,""))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IF([13]回答表!X50="●",[13]回答表!E149,IF([13]回答表!AA50="●",[13]回答表!E170,""))</f>
        <v/>
      </c>
      <c r="V80" s="182"/>
      <c r="W80" s="182"/>
      <c r="X80" s="182"/>
      <c r="Y80" s="182"/>
      <c r="Z80" s="182"/>
      <c r="AA80" s="182"/>
      <c r="AB80" s="182"/>
      <c r="AC80" s="182"/>
      <c r="AD80" s="182"/>
      <c r="AE80" s="183" t="s">
        <v>33</v>
      </c>
      <c r="AF80" s="183"/>
      <c r="AG80" s="183"/>
      <c r="AH80" s="183"/>
      <c r="AI80" s="183"/>
      <c r="AJ80" s="184"/>
      <c r="AK80" s="136"/>
      <c r="AL80" s="136"/>
      <c r="AM80" s="133" t="str">
        <f>IF([13]回答表!X50="●",[13]回答表!B151,IF([13]回答表!AA50="●",[13]回答表!B172,""))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IF([13]回答表!AD50="●","●","")</f>
        <v/>
      </c>
      <c r="O87" s="131"/>
      <c r="P87" s="131"/>
      <c r="Q87" s="132"/>
      <c r="R87" s="119"/>
      <c r="S87" s="119"/>
      <c r="T87" s="119"/>
      <c r="U87" s="133" t="str">
        <f>IF([13]回答表!AD50="●",[13]回答表!B180,"")</f>
        <v/>
      </c>
      <c r="V87" s="134"/>
      <c r="W87" s="134"/>
      <c r="X87" s="134"/>
      <c r="Y87" s="134"/>
      <c r="Z87" s="134"/>
      <c r="AA87" s="134"/>
      <c r="AB87" s="134"/>
      <c r="AC87" s="134"/>
      <c r="AD87" s="134"/>
      <c r="AE87" s="134"/>
      <c r="AF87" s="134"/>
      <c r="AG87" s="134"/>
      <c r="AH87" s="134"/>
      <c r="AI87" s="134"/>
      <c r="AJ87" s="135"/>
      <c r="AK87" s="189"/>
      <c r="AL87" s="189"/>
      <c r="AM87" s="133" t="str">
        <f>IF([13]回答表!AD50="●",[13]回答表!B186,"")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IF([13]回答表!F18="水道事業",IF([13]回答表!X51="●","●",""),"")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IF([13]回答表!F18="水道事業",IF([13]回答表!X51="●",[13]回答表!B197,IF([13]回答表!AA51="●",[13]回答表!B275,"")),"")</f>
        <v/>
      </c>
      <c r="AN99" s="134"/>
      <c r="AO99" s="134"/>
      <c r="AP99" s="134"/>
      <c r="AQ99" s="134"/>
      <c r="AR99" s="134"/>
      <c r="AS99" s="134"/>
      <c r="AT99" s="134"/>
      <c r="AU99" s="134"/>
      <c r="AV99" s="134"/>
      <c r="AW99" s="134"/>
      <c r="AX99" s="134"/>
      <c r="AY99" s="134"/>
      <c r="AZ99" s="134"/>
      <c r="BA99" s="134"/>
      <c r="BB99" s="134"/>
      <c r="BC99" s="135"/>
      <c r="BD99" s="109"/>
      <c r="BE99" s="109"/>
      <c r="BF99" s="138" t="str">
        <f>IF([13]回答表!F18="水道事業",IF([13]回答表!X51="●",[13]回答表!B256,IF([13]回答表!AA51="●",[13]回答表!B335,"")),"")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IF([13]回答表!F18="水道事業",IF([13]回答表!X51="●",[13]回答表!J205,IF([13]回答表!AA51="●",[13]回答表!J283,"")),"")</f>
        <v/>
      </c>
      <c r="V101" s="83"/>
      <c r="W101" s="83"/>
      <c r="X101" s="83"/>
      <c r="Y101" s="83"/>
      <c r="Z101" s="83"/>
      <c r="AA101" s="83"/>
      <c r="AB101" s="153"/>
      <c r="AC101" s="82" t="str">
        <f>IF([13]回答表!F18="水道事業",IF([13]回答表!X51="●",[13]回答表!J210,IF([13]回答表!AA51="●",[13]回答表!J290,"")),"")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IF([13]回答表!F18="水道事業",IF([13]回答表!X51="●",[13]回答表!E256,IF([13]回答表!AA51="●",[13]回答表!E335,"")),"")</f>
        <v/>
      </c>
      <c r="BG102" s="151"/>
      <c r="BH102" s="151"/>
      <c r="BI102" s="151"/>
      <c r="BJ102" s="150" t="str">
        <f>IF([13]回答表!F18="水道事業",IF([13]回答表!X51="●",[13]回答表!E257,IF([13]回答表!AA51="●",[13]回答表!E336,"")),"")</f>
        <v/>
      </c>
      <c r="BK102" s="151"/>
      <c r="BL102" s="151"/>
      <c r="BM102" s="151"/>
      <c r="BN102" s="150" t="str">
        <f>IF([13]回答表!F18="水道事業",IF([13]回答表!X51="●",[13]回答表!E258,IF([13]回答表!AA51="●",[13]回答表!E337,"")),"")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IF([13]回答表!F18="水道事業",IF([13]回答表!AA51="●","●",""),"")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IF([13]回答表!F18="水道事業",IF([13]回答表!X51="●",[13]回答表!J213,IF([13]回答表!AA51="●",[13]回答表!J293,"")),"")</f>
        <v/>
      </c>
      <c r="V106" s="83"/>
      <c r="W106" s="83"/>
      <c r="X106" s="83"/>
      <c r="Y106" s="83"/>
      <c r="Z106" s="83"/>
      <c r="AA106" s="83"/>
      <c r="AB106" s="153"/>
      <c r="AC106" s="82" t="str">
        <f>IF([13]回答表!F18="水道事業",IF([13]回答表!X51="●",[13]回答表!J217,IF([13]回答表!AA51="●",[13]回答表!J297,"")),"")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IF([13]回答表!F18="水道事業",IF([13]回答表!X51="●",[13]回答表!E265,IF([13]回答表!AA51="●",[13]回答表!E344,"")),"")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IF([13]回答表!F18="水道事業",IF([13]回答表!X51="●",[13]回答表!B267,IF([13]回答表!AA51="●",[13]回答表!B346,"")),"")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IF([13]回答表!F18="水道事業",IF([13]回答表!AD51="●","●",""),"")</f>
        <v/>
      </c>
      <c r="O118" s="131"/>
      <c r="P118" s="131"/>
      <c r="Q118" s="132"/>
      <c r="R118" s="119"/>
      <c r="S118" s="119"/>
      <c r="T118" s="119"/>
      <c r="U118" s="133" t="str">
        <f>IF([13]回答表!F18="水道事業",IF([13]回答表!AD51="●",[13]回答表!B354,""),"")</f>
        <v/>
      </c>
      <c r="V118" s="134"/>
      <c r="W118" s="134"/>
      <c r="X118" s="134"/>
      <c r="Y118" s="134"/>
      <c r="Z118" s="134"/>
      <c r="AA118" s="134"/>
      <c r="AB118" s="134"/>
      <c r="AC118" s="134"/>
      <c r="AD118" s="134"/>
      <c r="AE118" s="134"/>
      <c r="AF118" s="134"/>
      <c r="AG118" s="134"/>
      <c r="AH118" s="134"/>
      <c r="AI118" s="134"/>
      <c r="AJ118" s="135"/>
      <c r="AK118" s="189"/>
      <c r="AL118" s="189"/>
      <c r="AM118" s="133" t="str">
        <f>IF([13]回答表!F18="水道事業",IF([13]回答表!AD51="●",[13]回答表!B360,""),"")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IF([13]回答表!F18="簡易水道事業",IF([13]回答表!X51="●",[13]回答表!B197,IF([13]回答表!AA51="●",[13]回答表!B275,"")),"")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IF([13]回答表!F18="簡易水道事業",IF([13]回答表!X51="●",[13]回答表!B256,IF([13]回答表!AA51="●",[13]回答表!B335,"")),"")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IF([13]回答表!F18="簡易水道事業",IF([13]回答表!X51="●","●",""),"")</f>
        <v/>
      </c>
      <c r="O132" s="131"/>
      <c r="P132" s="131"/>
      <c r="Q132" s="132"/>
      <c r="R132" s="119"/>
      <c r="S132" s="119"/>
      <c r="T132" s="119"/>
      <c r="U132" s="82" t="str">
        <f>IF([13]回答表!F18="簡易水道事業",IF([13]回答表!X51="●",[13]回答表!S224,IF([13]回答表!AA51="●",[13]回答表!S304,"")),"")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IF([13]回答表!F18="簡易水道事業",IF([13]回答表!X51="●",[13]回答表!E256,IF([13]回答表!AA51="●",[13]回答表!E335,"")),"")</f>
        <v/>
      </c>
      <c r="BG133" s="151"/>
      <c r="BH133" s="151"/>
      <c r="BI133" s="151"/>
      <c r="BJ133" s="150" t="str">
        <f>IF([13]回答表!F18="簡易水道事業",IF([13]回答表!X51="●",[13]回答表!E257,IF([13]回答表!AA51="●",[13]回答表!E336,"")),"")</f>
        <v/>
      </c>
      <c r="BK133" s="151"/>
      <c r="BL133" s="151"/>
      <c r="BM133" s="151"/>
      <c r="BN133" s="150" t="str">
        <f>IF([13]回答表!F18="簡易水道事業",IF([13]回答表!X51="●",[13]回答表!E258,IF([13]回答表!AA51="●",[13]回答表!E337,"")),"")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IF([13]回答表!F18="簡易水道事業",IF([13]回答表!X51="●",[13]回答表!S225,IF([13]回答表!AA51="●",[13]回答表!S305,"")),"")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IF([13]回答表!F18="簡易水道事業",IF([13]回答表!AA51="●","●",""),"")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IF([13]回答表!F18="簡易水道事業",IF([13]回答表!X51="●",[13]回答表!S226,IF([13]回答表!AA51="●",[13]回答表!S306,"")),"")</f>
        <v/>
      </c>
      <c r="V142" s="83"/>
      <c r="W142" s="83"/>
      <c r="X142" s="83"/>
      <c r="Y142" s="83"/>
      <c r="Z142" s="83"/>
      <c r="AA142" s="83"/>
      <c r="AB142" s="83"/>
      <c r="AC142" s="83"/>
      <c r="AD142" s="83"/>
      <c r="AE142" s="83"/>
      <c r="AF142" s="83"/>
      <c r="AG142" s="83"/>
      <c r="AH142" s="83"/>
      <c r="AI142" s="83"/>
      <c r="AJ142" s="153"/>
      <c r="AK142" s="68"/>
      <c r="AL142" s="68"/>
      <c r="AM142" s="231" t="str">
        <f>IF([13]回答表!F18="簡易水道事業",IF([13]回答表!X51="●",[13]回答表!Y228,IF([13]回答表!AA51="●",[13]回答表!Y308,"")),"")</f>
        <v/>
      </c>
      <c r="AN142" s="231"/>
      <c r="AO142" s="231"/>
      <c r="AP142" s="231"/>
      <c r="AQ142" s="231"/>
      <c r="AR142" s="231"/>
      <c r="AS142" s="231" t="str">
        <f>IF([13]回答表!F18="簡易水道事業",IF([13]回答表!X51="●",[13]回答表!Y229,IF([13]回答表!AA51="●",[13]回答表!Y309,"")),"")</f>
        <v/>
      </c>
      <c r="AT142" s="231"/>
      <c r="AU142" s="231"/>
      <c r="AV142" s="231"/>
      <c r="AW142" s="231"/>
      <c r="AX142" s="231"/>
      <c r="AY142" s="231" t="str">
        <f>IF([13]回答表!F18="簡易水道事業",IF([13]回答表!X51="●",[13]回答表!Y230,IF([13]回答表!AA51="●",[13]回答表!Y310,"")),"")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IF([13]回答表!F18="簡易水道事業",IF([13]回答表!X51="●",[13]回答表!E265,IF([13]回答表!AA51="●",[13]回答表!E344,"")),"")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IF([13]回答表!F18="簡易水道事業",IF([13]回答表!X51="●",[13]回答表!B267,IF([13]回答表!AA51="●",[13]回答表!B346,"")),"")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IF([13]回答表!F18="簡易水道事業",IF([13]回答表!AD51="●","●",""),"")</f>
        <v/>
      </c>
      <c r="O154" s="131"/>
      <c r="P154" s="131"/>
      <c r="Q154" s="132"/>
      <c r="R154" s="119"/>
      <c r="S154" s="119"/>
      <c r="T154" s="119"/>
      <c r="U154" s="133" t="str">
        <f>IF([13]回答表!F18="簡易水道事業",IF([13]回答表!AD51="●",[13]回答表!B354,""),"")</f>
        <v/>
      </c>
      <c r="V154" s="134"/>
      <c r="W154" s="134"/>
      <c r="X154" s="134"/>
      <c r="Y154" s="134"/>
      <c r="Z154" s="134"/>
      <c r="AA154" s="134"/>
      <c r="AB154" s="134"/>
      <c r="AC154" s="134"/>
      <c r="AD154" s="134"/>
      <c r="AE154" s="134"/>
      <c r="AF154" s="134"/>
      <c r="AG154" s="134"/>
      <c r="AH154" s="134"/>
      <c r="AI154" s="134"/>
      <c r="AJ154" s="135"/>
      <c r="AK154" s="189"/>
      <c r="AL154" s="189"/>
      <c r="AM154" s="133" t="str">
        <f>IF([13]回答表!F18="簡易水道事業",IF([13]回答表!AD51="●",[13]回答表!B360,""),"")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IF([13]回答表!F18="下水道事業",IF([13]回答表!X51="●","●",""),"")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IF([13]回答表!F18="下水道事業",IF([13]回答表!X51="●",[13]回答表!B197,IF([13]回答表!AA51="●",[13]回答表!B275,"")),"")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IF([13]回答表!F18="下水道事業",IF([13]回答表!X51="●",[13]回答表!B256,IF([13]回答表!AA51="●",[13]回答表!B335,"")),"")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IF([13]回答表!F18="下水道事業",IF([13]回答表!X51="●",[13]回答表!N234,IF([13]回答表!AA51="●",[13]回答表!N314,"")),"")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IF([13]回答表!F18="下水道事業",IF([13]回答表!X51="●",[13]回答表!E256,IF([13]回答表!AA51="●",[13]回答表!E335,"")),"")</f>
        <v/>
      </c>
      <c r="BG169" s="151"/>
      <c r="BH169" s="151"/>
      <c r="BI169" s="151"/>
      <c r="BJ169" s="150" t="str">
        <f>IF([13]回答表!F18="下水道事業",IF([13]回答表!X51="●",[13]回答表!E257,IF([13]回答表!AA51="●",[13]回答表!E336,"")),"")</f>
        <v/>
      </c>
      <c r="BK169" s="151"/>
      <c r="BL169" s="151"/>
      <c r="BM169" s="151"/>
      <c r="BN169" s="150" t="str">
        <f>IF([13]回答表!F18="下水道事業",IF([13]回答表!X51="●",[13]回答表!E258,IF([13]回答表!AA51="●",[13]回答表!E337,"")),"")</f>
        <v/>
      </c>
      <c r="BO169" s="151"/>
      <c r="BP169" s="151"/>
      <c r="BQ169" s="152"/>
      <c r="BR169" s="112"/>
      <c r="BX169" s="234" t="str">
        <f>IF([13]回答表!AQ21="下水道事業",IF([13]回答表!BI54="○",[13]回答表!AM200,IF([13]回答表!BL54="○",[13]回答表!AM278,"")),"")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IF([13]回答表!F18="下水道事業",IF([13]回答表!X51="●",[13]回答表!Y236,IF([13]回答表!AA51="●",[13]回答表!Y316,"")),"")</f>
        <v/>
      </c>
      <c r="V174" s="83"/>
      <c r="W174" s="83"/>
      <c r="X174" s="83"/>
      <c r="Y174" s="83"/>
      <c r="Z174" s="83"/>
      <c r="AA174" s="83"/>
      <c r="AB174" s="153"/>
      <c r="AC174" s="82" t="str">
        <f>IF([13]回答表!F18="下水道事業",IF([13]回答表!X51="●",[13]回答表!Y237,IF([13]回答表!AA51="●",[13]回答表!Y317,"")),"")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IF([13]回答表!F18="下水道事業",IF([13]回答表!X51="●",[13]回答表!Y239,IF([13]回答表!AA51="●",[13]回答表!Y319,"")),"")</f>
        <v/>
      </c>
      <c r="V180" s="83"/>
      <c r="W180" s="83"/>
      <c r="X180" s="83"/>
      <c r="Y180" s="83"/>
      <c r="Z180" s="83"/>
      <c r="AA180" s="83"/>
      <c r="AB180" s="153"/>
      <c r="AC180" s="82" t="str">
        <f>IF([13]回答表!F18="下水道事業",IF([13]回答表!X51="●",[13]回答表!Y240,IF([13]回答表!AA51="●",[13]回答表!Y320,"")),"")</f>
        <v/>
      </c>
      <c r="AD180" s="83"/>
      <c r="AE180" s="83"/>
      <c r="AF180" s="83"/>
      <c r="AG180" s="83"/>
      <c r="AH180" s="83"/>
      <c r="AI180" s="83"/>
      <c r="AJ180" s="153"/>
      <c r="AK180" s="82" t="str">
        <f>IF([13]回答表!F18="下水道事業",IF([13]回答表!X51="●",[13]回答表!Y241,IF([13]回答表!AA51="●",[13]回答表!Y321,"")),"")</f>
        <v/>
      </c>
      <c r="AL180" s="83"/>
      <c r="AM180" s="83"/>
      <c r="AN180" s="83"/>
      <c r="AO180" s="83"/>
      <c r="AP180" s="83"/>
      <c r="AQ180" s="83"/>
      <c r="AR180" s="153"/>
      <c r="AS180" s="82" t="str">
        <f>IF([13]回答表!F18="下水道事業",IF([13]回答表!X51="●",[13]回答表!Y242,IF([13]回答表!AA51="●",[13]回答表!Y322,"")),"")</f>
        <v/>
      </c>
      <c r="AT180" s="83"/>
      <c r="AU180" s="83"/>
      <c r="AV180" s="83"/>
      <c r="AW180" s="83"/>
      <c r="AX180" s="83"/>
      <c r="AY180" s="83"/>
      <c r="AZ180" s="153"/>
      <c r="BA180" s="82" t="str">
        <f>IF([13]回答表!F18="下水道事業",IF([13]回答表!X51="●",[13]回答表!Y243,IF([13]回答表!AA51="●",[13]回答表!Y323,"")),"")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IF([13]回答表!F18="下水道事業",IF([13]回答表!AA51="●","●",""),"")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IF([13]回答表!F18="下水道事業",IF([13]回答表!X51="●",[13]回答表!N248,IF([13]回答表!AA51="●",[13]回答表!N328,"")),"")</f>
        <v/>
      </c>
      <c r="V186" s="83"/>
      <c r="W186" s="83"/>
      <c r="X186" s="83"/>
      <c r="Y186" s="83"/>
      <c r="Z186" s="83"/>
      <c r="AA186" s="83"/>
      <c r="AB186" s="153"/>
      <c r="AC186" s="82" t="str">
        <f>IF([13]回答表!F18="下水道事業",IF([13]回答表!X51="●",[13]回答表!N249,IF([13]回答表!AA51="●",[13]回答表!N329,"")),"")</f>
        <v/>
      </c>
      <c r="AD186" s="83"/>
      <c r="AE186" s="83"/>
      <c r="AF186" s="83"/>
      <c r="AG186" s="83"/>
      <c r="AH186" s="83"/>
      <c r="AI186" s="83"/>
      <c r="AJ186" s="153"/>
      <c r="AK186" s="82" t="str">
        <f>IF([13]回答表!F18="下水道事業",IF([13]回答表!X51="●",[13]回答表!N250,IF([13]回答表!AA51="●",[13]回答表!N330,"")),"")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IF([13]回答表!F18="下水道事業",IF([13]回答表!X51="●",[13]回答表!E265,IF([13]回答表!AA51="●",[13]回答表!E344,"")),"")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IF([13]回答表!F18="下水道事業",IF([13]回答表!X51="●",[13]回答表!B267,IF([13]回答表!AA51="●",[13]回答表!B346,"")),"")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IF([13]回答表!F18="下水道事業",IF([13]回答表!AD51="●","●",""),"")</f>
        <v/>
      </c>
      <c r="O198" s="131"/>
      <c r="P198" s="131"/>
      <c r="Q198" s="132"/>
      <c r="R198" s="119"/>
      <c r="S198" s="119"/>
      <c r="T198" s="119"/>
      <c r="U198" s="133" t="str">
        <f>IF([13]回答表!F18="下水道事業",IF([13]回答表!AD51="●",[13]回答表!B354,""),"")</f>
        <v/>
      </c>
      <c r="V198" s="134"/>
      <c r="W198" s="134"/>
      <c r="X198" s="134"/>
      <c r="Y198" s="134"/>
      <c r="Z198" s="134"/>
      <c r="AA198" s="134"/>
      <c r="AB198" s="134"/>
      <c r="AC198" s="134"/>
      <c r="AD198" s="134"/>
      <c r="AE198" s="134"/>
      <c r="AF198" s="134"/>
      <c r="AG198" s="134"/>
      <c r="AH198" s="134"/>
      <c r="AI198" s="134"/>
      <c r="AJ198" s="135"/>
      <c r="AK198" s="189"/>
      <c r="AL198" s="189"/>
      <c r="AM198" s="133" t="str">
        <f>IF([13]回答表!F18="下水道事業",IF([13]回答表!AD51="●",[13]回答表!B360,""),"")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IF([13]回答表!BD18="●",IF([13]回答表!X51="●","●",""),"")</f>
        <v/>
      </c>
      <c r="O210" s="131"/>
      <c r="P210" s="131"/>
      <c r="Q210" s="132"/>
      <c r="R210" s="119"/>
      <c r="S210" s="119"/>
      <c r="T210" s="119"/>
      <c r="U210" s="133" t="str">
        <f>IF([13]回答表!BD18="●",IF([13]回答表!X51="●",[13]回答表!B197,IF([13]回答表!AA51="●",[13]回答表!B275,"")),"")</f>
        <v/>
      </c>
      <c r="V210" s="134"/>
      <c r="W210" s="134"/>
      <c r="X210" s="134"/>
      <c r="Y210" s="134"/>
      <c r="Z210" s="134"/>
      <c r="AA210" s="134"/>
      <c r="AB210" s="134"/>
      <c r="AC210" s="134"/>
      <c r="AD210" s="134"/>
      <c r="AE210" s="134"/>
      <c r="AF210" s="134"/>
      <c r="AG210" s="134"/>
      <c r="AH210" s="134"/>
      <c r="AI210" s="134"/>
      <c r="AJ210" s="135"/>
      <c r="AK210" s="136"/>
      <c r="AL210" s="136"/>
      <c r="AM210" s="138" t="str">
        <f>IF([13]回答表!BD18="●",IF([13]回答表!X51="●",[13]回答表!B256,IF([13]回答表!AA51="●",[13]回答表!B335,"")),"")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IF([13]回答表!BD18="●",IF([13]回答表!X51="●",[13]回答表!E256,IF([13]回答表!AA51="●",[13]回答表!E335,"")),"")</f>
        <v/>
      </c>
      <c r="AN213" s="151"/>
      <c r="AO213" s="151"/>
      <c r="AP213" s="151"/>
      <c r="AQ213" s="150" t="str">
        <f>IF([13]回答表!BD18="●",IF([13]回答表!X51="●",[13]回答表!E257,IF([13]回答表!AA51="●",[13]回答表!E336,"")),"")</f>
        <v/>
      </c>
      <c r="AR213" s="151"/>
      <c r="AS213" s="151"/>
      <c r="AT213" s="151"/>
      <c r="AU213" s="150" t="str">
        <f>IF([13]回答表!BD18="●",IF([13]回答表!X51="●",[13]回答表!E258,IF([13]回答表!AA51="●",[13]回答表!E337,"")),"")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IF([13]回答表!BD18="●",IF([13]回答表!AA51="●","●",""),"")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IF([13]回答表!BD18="●",IF([13]回答表!X51="●",[13]回答表!E265,IF([13]回答表!AA51="●",[13]回答表!E344,"")),"")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IF([13]回答表!BD18="●",IF([13]回答表!X51="●",[13]回答表!B267,IF([13]回答表!AA51="●",[13]回答表!B346,"")),"")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IF([13]回答表!BD18="●",IF([13]回答表!AD51="●","●",""),"")</f>
        <v/>
      </c>
      <c r="O229" s="131"/>
      <c r="P229" s="131"/>
      <c r="Q229" s="132"/>
      <c r="R229" s="119"/>
      <c r="S229" s="119"/>
      <c r="T229" s="119"/>
      <c r="U229" s="133" t="str">
        <f>IF([13]回答表!BD18="●",IF([13]回答表!AD51="●",[13]回答表!B354,""),"")</f>
        <v/>
      </c>
      <c r="V229" s="134"/>
      <c r="W229" s="134"/>
      <c r="X229" s="134"/>
      <c r="Y229" s="134"/>
      <c r="Z229" s="134"/>
      <c r="AA229" s="134"/>
      <c r="AB229" s="134"/>
      <c r="AC229" s="134"/>
      <c r="AD229" s="134"/>
      <c r="AE229" s="134"/>
      <c r="AF229" s="134"/>
      <c r="AG229" s="134"/>
      <c r="AH229" s="134"/>
      <c r="AI229" s="134"/>
      <c r="AJ229" s="135"/>
      <c r="AK229" s="249"/>
      <c r="AL229" s="249"/>
      <c r="AM229" s="133" t="str">
        <f>IF([13]回答表!BD18="●",IF([13]回答表!AD51="●",[13]回答表!B360,""),"")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IF([13]回答表!X52="●","●","")</f>
        <v/>
      </c>
      <c r="O241" s="131"/>
      <c r="P241" s="131"/>
      <c r="Q241" s="132"/>
      <c r="R241" s="119"/>
      <c r="S241" s="119"/>
      <c r="T241" s="119"/>
      <c r="U241" s="133" t="str">
        <f>IF([13]回答表!X52="●",[13]回答表!B371,IF([13]回答表!AA52="●",[13]回答表!B396,""))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IF([13]回答表!X52="●",[13]回答表!U377,IF([13]回答表!AA52="●",[13]回答表!U402,""))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IF([13]回答表!X52="●",[13]回答表!G377,IF([13]回答表!AA52="●",[13]回答表!G402,""))</f>
        <v/>
      </c>
      <c r="AN244" s="83"/>
      <c r="AO244" s="83"/>
      <c r="AP244" s="83"/>
      <c r="AQ244" s="83"/>
      <c r="AR244" s="83"/>
      <c r="AS244" s="83"/>
      <c r="AT244" s="153"/>
      <c r="AU244" s="82" t="str">
        <f>IF([13]回答表!X52="●",[13]回答表!G378,IF([13]回答表!AA52="●",[13]回答表!G403,""))</f>
        <v/>
      </c>
      <c r="AV244" s="83"/>
      <c r="AW244" s="83"/>
      <c r="AX244" s="83"/>
      <c r="AY244" s="83"/>
      <c r="AZ244" s="83"/>
      <c r="BA244" s="83"/>
      <c r="BB244" s="153"/>
      <c r="BC244" s="120"/>
      <c r="BD244" s="109"/>
      <c r="BE244" s="109"/>
      <c r="BF244" s="150" t="str">
        <f>IF([13]回答表!X52="●",[13]回答表!X377,IF([13]回答表!AA52="●",[13]回答表!X402,""))</f>
        <v/>
      </c>
      <c r="BG244" s="151"/>
      <c r="BH244" s="151"/>
      <c r="BI244" s="151"/>
      <c r="BJ244" s="150" t="str">
        <f>IF([13]回答表!X52="●",[13]回答表!X378,IF([13]回答表!AA52="●",[13]回答表!X403,""))</f>
        <v/>
      </c>
      <c r="BK244" s="151"/>
      <c r="BL244" s="151"/>
      <c r="BM244" s="152"/>
      <c r="BN244" s="150" t="str">
        <f>IF([13]回答表!X52="●",[13]回答表!X379,IF([13]回答表!AA52="●",[13]回答表!X404,""))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IF([13]回答表!X52="●",[13]回答表!E386,IF([13]回答表!AA52="●",[13]回答表!E407,""))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IF([13]回答表!X52="●",[13]回答表!B388,IF([13]回答表!AA52="●",[13]回答表!B409,""))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IF([13]回答表!AD52="●","●","")</f>
        <v/>
      </c>
      <c r="O260" s="131"/>
      <c r="P260" s="131"/>
      <c r="Q260" s="132"/>
      <c r="R260" s="119"/>
      <c r="S260" s="119"/>
      <c r="T260" s="119"/>
      <c r="U260" s="133" t="str">
        <f>IF([13]回答表!AD52="●",[13]回答表!B417,"")</f>
        <v/>
      </c>
      <c r="V260" s="134"/>
      <c r="W260" s="134"/>
      <c r="X260" s="134"/>
      <c r="Y260" s="134"/>
      <c r="Z260" s="134"/>
      <c r="AA260" s="134"/>
      <c r="AB260" s="134"/>
      <c r="AC260" s="134"/>
      <c r="AD260" s="134"/>
      <c r="AE260" s="134"/>
      <c r="AF260" s="134"/>
      <c r="AG260" s="134"/>
      <c r="AH260" s="134"/>
      <c r="AI260" s="134"/>
      <c r="AJ260" s="135"/>
      <c r="AK260" s="249"/>
      <c r="AL260" s="249"/>
      <c r="AM260" s="133" t="str">
        <f>IF([13]回答表!AD52="●",[13]回答表!B423,"")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IF([13]回答表!X53="●","●","")</f>
        <v/>
      </c>
      <c r="O272" s="131"/>
      <c r="P272" s="131"/>
      <c r="Q272" s="132"/>
      <c r="R272" s="119"/>
      <c r="S272" s="119"/>
      <c r="T272" s="119"/>
      <c r="U272" s="133" t="str">
        <f>IF([13]回答表!X53="●",[13]回答表!B434,IF([13]回答表!AA53="●",[13]回答表!B465,""))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IF([13]回答表!X53="●",[13]回答表!B440,"")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IF([13]回答表!X53="●",[13]回答表!B446,IF([13]回答表!AA53="●",[13]回答表!B471,""))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IF([13]回答表!X53="●",[13]回答表!E446,IF([13]回答表!AA53="●",[13]回答表!E471,""))</f>
        <v/>
      </c>
      <c r="BG275" s="151"/>
      <c r="BH275" s="151"/>
      <c r="BI275" s="151"/>
      <c r="BJ275" s="150" t="str">
        <f>IF([13]回答表!X53="●",[13]回答表!E447,IF([13]回答表!AA53="●",[13]回答表!E472,""))</f>
        <v/>
      </c>
      <c r="BK275" s="151"/>
      <c r="BL275" s="151"/>
      <c r="BM275" s="152"/>
      <c r="BN275" s="150" t="str">
        <f>IF([13]回答表!X53="●",[13]回答表!E448,IF([13]回答表!AA53="●",[13]回答表!E473,""))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IF([13]回答表!X53="●",[13]回答表!E455,IF([13]回答表!AA53="●",[13]回答表!E476,""))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IF([13]回答表!X53="●",[13]回答表!B457,IF([13]回答表!AA53="●",[13]回答表!B478,""))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IF([13]回答表!AD53="●","●","")</f>
        <v/>
      </c>
      <c r="O291" s="131"/>
      <c r="P291" s="131"/>
      <c r="Q291" s="132"/>
      <c r="R291" s="119"/>
      <c r="S291" s="119"/>
      <c r="T291" s="119"/>
      <c r="U291" s="133" t="str">
        <f>IF([13]回答表!AD53="●",[13]回答表!B486,"")</f>
        <v/>
      </c>
      <c r="V291" s="134"/>
      <c r="W291" s="134"/>
      <c r="X291" s="134"/>
      <c r="Y291" s="134"/>
      <c r="Z291" s="134"/>
      <c r="AA291" s="134"/>
      <c r="AB291" s="134"/>
      <c r="AC291" s="134"/>
      <c r="AD291" s="134"/>
      <c r="AE291" s="134"/>
      <c r="AF291" s="134"/>
      <c r="AG291" s="134"/>
      <c r="AH291" s="134"/>
      <c r="AI291" s="134"/>
      <c r="AJ291" s="135"/>
      <c r="AK291" s="249"/>
      <c r="AL291" s="249"/>
      <c r="AM291" s="133" t="str">
        <f>IF([13]回答表!AD53="●",[13]回答表!B492,"")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IF([13]回答表!X54="●","●","")</f>
        <v/>
      </c>
      <c r="O303" s="131"/>
      <c r="P303" s="131"/>
      <c r="Q303" s="132"/>
      <c r="R303" s="119"/>
      <c r="S303" s="119"/>
      <c r="T303" s="119"/>
      <c r="U303" s="133" t="str">
        <f>IF([13]回答表!X54="●",[13]回答表!B503,IF([13]回答表!AA54="●",[13]回答表!B526,""))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IF([13]回答表!X54="●",[13]回答表!BC510,IF([13]回答表!AA54="●",[13]回答表!BC533,""))</f>
        <v/>
      </c>
      <c r="AR303" s="271"/>
      <c r="AS303" s="271"/>
      <c r="AT303" s="271"/>
      <c r="AU303" s="272" t="s">
        <v>74</v>
      </c>
      <c r="AV303" s="273"/>
      <c r="AW303" s="273"/>
      <c r="AX303" s="274"/>
      <c r="AY303" s="271" t="str">
        <f>IF([13]回答表!X54="●",[13]回答表!BC515,IF([13]回答表!AA54="●",[13]回答表!BC538,""))</f>
        <v/>
      </c>
      <c r="AZ303" s="271"/>
      <c r="BA303" s="271"/>
      <c r="BB303" s="271"/>
      <c r="BC303" s="120"/>
      <c r="BD303" s="109"/>
      <c r="BE303" s="109"/>
      <c r="BF303" s="138" t="str">
        <f>IF([13]回答表!X54="●",[13]回答表!S509,IF([13]回答表!AA54="●",[13]回答表!S532,""))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IF([13]回答表!X54="●",[13]回答表!BC511,IF([13]回答表!AA54="●",[13]回答表!BC534,""))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IF([13]回答表!X54="●",[13]回答表!V509,IF([13]回答表!AA54="●",[13]回答表!V532,""))</f>
        <v/>
      </c>
      <c r="BG306" s="151"/>
      <c r="BH306" s="151"/>
      <c r="BI306" s="151"/>
      <c r="BJ306" s="150" t="str">
        <f>IF([13]回答表!X54="●",[13]回答表!V510,IF([13]回答表!AA54="●",[13]回答表!V533,""))</f>
        <v/>
      </c>
      <c r="BK306" s="151"/>
      <c r="BL306" s="151"/>
      <c r="BM306" s="152"/>
      <c r="BN306" s="150" t="str">
        <f>IF([13]回答表!X54="●",[13]回答表!V511,IF([13]回答表!AA54="●",[13]回答表!V534,""))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IF([13]回答表!X54="●",[13]回答表!BC512,IF([13]回答表!AA54="●",[13]回答表!BC535,""))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IF([13]回答表!X54="●",[13]回答表!BC516,IF([13]回答表!AA54="●",[13]回答表!BC539,""))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IF([13]回答表!X54="●",[13]回答表!BC513,IF([13]回答表!AA54="●",[13]回答表!BC536,""))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IF([13]回答表!X54="●",[13]回答表!BC514,IF([13]回答表!AA54="●",[13]回答表!BC537,""))</f>
        <v/>
      </c>
      <c r="AR311" s="271"/>
      <c r="AS311" s="271"/>
      <c r="AT311" s="271"/>
      <c r="AU311" s="222" t="s">
        <v>80</v>
      </c>
      <c r="AV311" s="223"/>
      <c r="AW311" s="223"/>
      <c r="AX311" s="224"/>
      <c r="AY311" s="281" t="str">
        <f>IF([13]回答表!X54="●",[13]回答表!BC517,IF([13]回答表!AA54="●",[13]回答表!BC540,""))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IF([13]回答表!X54="●",[13]回答表!E516,IF([13]回答表!AA54="●",[13]回答表!E538,""))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IF([13]回答表!X54="●",[13]回答表!B518,IF([13]回答表!AA54="●",[13]回答表!B540,""))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IF([13]回答表!AD54="●","●","")</f>
        <v/>
      </c>
      <c r="O322" s="131"/>
      <c r="P322" s="131"/>
      <c r="Q322" s="132"/>
      <c r="R322" s="119"/>
      <c r="S322" s="119"/>
      <c r="T322" s="119"/>
      <c r="U322" s="133" t="str">
        <f>IF([13]回答表!AD54="●",[13]回答表!B548,"")</f>
        <v/>
      </c>
      <c r="V322" s="134"/>
      <c r="W322" s="134"/>
      <c r="X322" s="134"/>
      <c r="Y322" s="134"/>
      <c r="Z322" s="134"/>
      <c r="AA322" s="134"/>
      <c r="AB322" s="134"/>
      <c r="AC322" s="134"/>
      <c r="AD322" s="134"/>
      <c r="AE322" s="134"/>
      <c r="AF322" s="134"/>
      <c r="AG322" s="134"/>
      <c r="AH322" s="134"/>
      <c r="AI322" s="134"/>
      <c r="AJ322" s="135"/>
      <c r="AK322" s="189"/>
      <c r="AL322" s="189"/>
      <c r="AM322" s="133" t="str">
        <f>IF([13]回答表!AD54="●",[13]回答表!B554,"")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IF([13]回答表!X55="●","●","")</f>
        <v/>
      </c>
      <c r="O333" s="131"/>
      <c r="P333" s="131"/>
      <c r="Q333" s="132"/>
      <c r="R333" s="119"/>
      <c r="S333" s="119"/>
      <c r="T333" s="119"/>
      <c r="U333" s="133" t="str">
        <f>IF([13]回答表!X55="●",[13]回答表!B565,IF([13]回答表!AA55="●",[13]回答表!B590,""))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IF([13]回答表!X55="●",[13]回答表!B575,IF([13]回答表!AA55="●",[13]回答表!B600,""))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IF([13]回答表!X55="●",[13]回答表!G571,IF([13]回答表!AA55="●",[13]回答表!G596,""))</f>
        <v/>
      </c>
      <c r="AN335" s="83"/>
      <c r="AO335" s="83"/>
      <c r="AP335" s="83"/>
      <c r="AQ335" s="83"/>
      <c r="AR335" s="83"/>
      <c r="AS335" s="83"/>
      <c r="AT335" s="153"/>
      <c r="AU335" s="82" t="str">
        <f>IF([13]回答表!X55="●",[13]回答表!G572,IF([13]回答表!AA55="●",[13]回答表!G597,""))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IF([13]回答表!X55="●",[13]回答表!E575,IF([13]回答表!AA55="●",[13]回答表!E600,""))</f>
        <v/>
      </c>
      <c r="BG336" s="151"/>
      <c r="BH336" s="151"/>
      <c r="BI336" s="151"/>
      <c r="BJ336" s="150" t="str">
        <f>IF([13]回答表!X55="●",[13]回答表!E576,IF([13]回答表!AA55="●",[13]回答表!E601,""))</f>
        <v/>
      </c>
      <c r="BK336" s="151"/>
      <c r="BL336" s="151"/>
      <c r="BM336" s="152"/>
      <c r="BN336" s="150" t="str">
        <f>IF([13]回答表!X55="●",[13]回答表!E577,IF([13]回答表!AA55="●",[13]回答表!E602,""))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IF([13]回答表!X55="●",[13]回答表!E580,IF([13]回答表!AA55="●",[13]回答表!E605,""))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IF([13]回答表!X55="●",[13]回答表!B582,IF([13]回答表!AA55="●",[13]回答表!B607,""))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IF([13]回答表!AD55="●","●","")</f>
        <v/>
      </c>
      <c r="O352" s="131"/>
      <c r="P352" s="131"/>
      <c r="Q352" s="132"/>
      <c r="R352" s="119"/>
      <c r="S352" s="119"/>
      <c r="T352" s="119"/>
      <c r="U352" s="133" t="str">
        <f>IF([13]回答表!AD55="●",[13]回答表!B615,"")</f>
        <v/>
      </c>
      <c r="V352" s="134"/>
      <c r="W352" s="134"/>
      <c r="X352" s="134"/>
      <c r="Y352" s="134"/>
      <c r="Z352" s="134"/>
      <c r="AA352" s="134"/>
      <c r="AB352" s="134"/>
      <c r="AC352" s="134"/>
      <c r="AD352" s="134"/>
      <c r="AE352" s="134"/>
      <c r="AF352" s="134"/>
      <c r="AG352" s="134"/>
      <c r="AH352" s="134"/>
      <c r="AI352" s="134"/>
      <c r="AJ352" s="135"/>
      <c r="AK352" s="136"/>
      <c r="AL352" s="136"/>
      <c r="AM352" s="133" t="str">
        <f>IF([13]回答表!AD55="●",[13]回答表!B621,"")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IF([13]回答表!R56="●",[13]回答表!B634,"")</f>
        <v>　令和2年4月1日より公営企業化し、同年度中に、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F7A10-50B3-43D9-A653-8D0DEA9AC50C}">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IF(COUNTIF([14]回答表!K16,"*")&gt;0,[14]回答表!K16,"")</f>
        <v>由利本荘市</v>
      </c>
      <c r="D11" s="8"/>
      <c r="E11" s="8"/>
      <c r="F11" s="8"/>
      <c r="G11" s="8"/>
      <c r="H11" s="8"/>
      <c r="I11" s="8"/>
      <c r="J11" s="8"/>
      <c r="K11" s="8"/>
      <c r="L11" s="8"/>
      <c r="M11" s="8"/>
      <c r="N11" s="8"/>
      <c r="O11" s="8"/>
      <c r="P11" s="8"/>
      <c r="Q11" s="8"/>
      <c r="R11" s="8"/>
      <c r="S11" s="8"/>
      <c r="T11" s="8"/>
      <c r="U11" s="22" t="str">
        <f>IF(COUNTIF([14]回答表!F18,"*")&gt;0,[14]回答表!F18,"")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IF(COUNTIF([14]回答表!W18,"*")&gt;0,[14]回答表!W18,"")</f>
        <v>漁業集落排水施設</v>
      </c>
      <c r="AP11" s="10"/>
      <c r="AQ11" s="10"/>
      <c r="AR11" s="10"/>
      <c r="AS11" s="10"/>
      <c r="AT11" s="10"/>
      <c r="AU11" s="10"/>
      <c r="AV11" s="10"/>
      <c r="AW11" s="10"/>
      <c r="AX11" s="10"/>
      <c r="AY11" s="10"/>
      <c r="AZ11" s="10"/>
      <c r="BA11" s="10"/>
      <c r="BB11" s="10"/>
      <c r="BC11" s="10"/>
      <c r="BD11" s="10"/>
      <c r="BE11" s="10"/>
      <c r="BF11" s="11"/>
      <c r="BG11" s="21" t="str">
        <f>IF(COUNTIF([14]回答表!F20,"*")&gt;0,[14]回答表!F20,"")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IF([14]回答表!R49="●","●","")</f>
        <v/>
      </c>
      <c r="E24" s="80"/>
      <c r="F24" s="80"/>
      <c r="G24" s="80"/>
      <c r="H24" s="80"/>
      <c r="I24" s="80"/>
      <c r="J24" s="81"/>
      <c r="K24" s="79" t="str">
        <f>IF([14]回答表!R50="●","●","")</f>
        <v/>
      </c>
      <c r="L24" s="80"/>
      <c r="M24" s="80"/>
      <c r="N24" s="80"/>
      <c r="O24" s="80"/>
      <c r="P24" s="80"/>
      <c r="Q24" s="81"/>
      <c r="R24" s="79" t="str">
        <f>IF([14]回答表!R51="●","●","")</f>
        <v>●</v>
      </c>
      <c r="S24" s="80"/>
      <c r="T24" s="80"/>
      <c r="U24" s="80"/>
      <c r="V24" s="80"/>
      <c r="W24" s="80"/>
      <c r="X24" s="81"/>
      <c r="Y24" s="79" t="str">
        <f>IF([14]回答表!R52="●","●","")</f>
        <v/>
      </c>
      <c r="Z24" s="80"/>
      <c r="AA24" s="80"/>
      <c r="AB24" s="80"/>
      <c r="AC24" s="80"/>
      <c r="AD24" s="80"/>
      <c r="AE24" s="81"/>
      <c r="AF24" s="79" t="str">
        <f>IF([14]回答表!R53="●","●","")</f>
        <v/>
      </c>
      <c r="AG24" s="80"/>
      <c r="AH24" s="80"/>
      <c r="AI24" s="80"/>
      <c r="AJ24" s="80"/>
      <c r="AK24" s="80"/>
      <c r="AL24" s="81"/>
      <c r="AM24" s="79" t="str">
        <f>IF([14]回答表!R54="●","●","")</f>
        <v/>
      </c>
      <c r="AN24" s="80"/>
      <c r="AO24" s="80"/>
      <c r="AP24" s="80"/>
      <c r="AQ24" s="80"/>
      <c r="AR24" s="80"/>
      <c r="AS24" s="81"/>
      <c r="AT24" s="79" t="str">
        <f>IF([14]回答表!R55="●","●","")</f>
        <v/>
      </c>
      <c r="AU24" s="80"/>
      <c r="AV24" s="80"/>
      <c r="AW24" s="80"/>
      <c r="AX24" s="80"/>
      <c r="AY24" s="80"/>
      <c r="AZ24" s="81"/>
      <c r="BA24" s="68"/>
      <c r="BB24" s="82" t="str">
        <f>IF([14]回答表!R56="●","●","")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IF([14]回答表!X49="●","●","")</f>
        <v/>
      </c>
      <c r="O36" s="131"/>
      <c r="P36" s="131"/>
      <c r="Q36" s="132"/>
      <c r="R36" s="119"/>
      <c r="S36" s="119"/>
      <c r="T36" s="119"/>
      <c r="U36" s="133" t="str">
        <f>IF([14]回答表!X49="●",[14]回答表!B67,IF([14]回答表!AA49="●",[14]回答表!B95,""))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IF([14]回答表!X49="●",[14]回答表!S73,IF([14]回答表!AA49="●",[14]回答表!S101,""))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IF([14]回答表!X49="●",[14]回答表!G73,IF([14]回答表!AA49="●",[14]回答表!G101,""))</f>
        <v/>
      </c>
      <c r="AN38" s="83"/>
      <c r="AO38" s="83"/>
      <c r="AP38" s="83"/>
      <c r="AQ38" s="83"/>
      <c r="AR38" s="83"/>
      <c r="AS38" s="83"/>
      <c r="AT38" s="153"/>
      <c r="AU38" s="82" t="str">
        <f>IF([14]回答表!X49="●",[14]回答表!G74,IF([14]回答表!AA49="●",[14]回答表!G102,""))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IF([14]回答表!X49="●",[14]回答表!V73,IF([14]回答表!AA49="●",[14]回答表!V101,""))</f>
        <v/>
      </c>
      <c r="BG39" s="16"/>
      <c r="BH39" s="16"/>
      <c r="BI39" s="17"/>
      <c r="BJ39" s="150" t="str">
        <f>IF([14]回答表!X49="●",[14]回答表!V74,IF([14]回答表!AA49="●",[14]回答表!V102,""))</f>
        <v/>
      </c>
      <c r="BK39" s="16"/>
      <c r="BL39" s="16"/>
      <c r="BM39" s="17"/>
      <c r="BN39" s="150" t="str">
        <f>IF([14]回答表!X49="●",[14]回答表!V75,IF([14]回答表!AA49="●",[14]回答表!V103,""))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IF([14]回答表!X49="●",[14]回答表!O79,IF([14]回答表!AA49="●",[14]回答表!O107,""))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IF([14]回答表!X49="●",[14]回答表!O80,IF([14]回答表!AA49="●",[14]回答表!O108,""))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IF([14]回答表!AA49="●","●","")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IF([14]回答表!X49="●",[14]回答表!O81,IF([14]回答表!AA49="●",[14]回答表!O109,""))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IF([14]回答表!X49="●",[14]回答表!O82,IF([14]回答表!AA49="●",[14]回答表!O110,""))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IF([14]回答表!X49="●",[14]回答表!AG79,IF([14]回答表!AA49="●",[14]回答表!AG107,""))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IF([14]回答表!X49="●",[14]回答表!AG80,IF([14]回答表!AA49="●",[14]回答表!AG108,""))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IF([14]回答表!X49="●",[14]回答表!E85,IF([14]回答表!AA49="●",[14]回答表!E113,""))</f>
        <v/>
      </c>
      <c r="V50" s="182"/>
      <c r="W50" s="182"/>
      <c r="X50" s="182"/>
      <c r="Y50" s="182"/>
      <c r="Z50" s="182"/>
      <c r="AA50" s="182"/>
      <c r="AB50" s="182"/>
      <c r="AC50" s="182"/>
      <c r="AD50" s="182"/>
      <c r="AE50" s="183" t="s">
        <v>33</v>
      </c>
      <c r="AF50" s="183"/>
      <c r="AG50" s="183"/>
      <c r="AH50" s="183"/>
      <c r="AI50" s="183"/>
      <c r="AJ50" s="184"/>
      <c r="AK50" s="136"/>
      <c r="AL50" s="136"/>
      <c r="AM50" s="133" t="str">
        <f>IF([14]回答表!X49="●",[14]回答表!B87,IF([14]回答表!AA49="●",[14]回答表!B115,""))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IF([14]回答表!AD49="●","●","")</f>
        <v/>
      </c>
      <c r="O57" s="131"/>
      <c r="P57" s="131"/>
      <c r="Q57" s="132"/>
      <c r="R57" s="119"/>
      <c r="S57" s="119"/>
      <c r="T57" s="119"/>
      <c r="U57" s="133" t="str">
        <f>IF([14]回答表!AD49="●",[14]回答表!B123,"")</f>
        <v/>
      </c>
      <c r="V57" s="134"/>
      <c r="W57" s="134"/>
      <c r="X57" s="134"/>
      <c r="Y57" s="134"/>
      <c r="Z57" s="134"/>
      <c r="AA57" s="134"/>
      <c r="AB57" s="134"/>
      <c r="AC57" s="134"/>
      <c r="AD57" s="134"/>
      <c r="AE57" s="134"/>
      <c r="AF57" s="134"/>
      <c r="AG57" s="134"/>
      <c r="AH57" s="134"/>
      <c r="AI57" s="134"/>
      <c r="AJ57" s="135"/>
      <c r="AK57" s="189"/>
      <c r="AL57" s="189"/>
      <c r="AM57" s="133" t="str">
        <f>IF([14]回答表!AD49="●",[14]回答表!B128,"")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IF([14]回答表!X50="●","●","")</f>
        <v/>
      </c>
      <c r="O68" s="131"/>
      <c r="P68" s="131"/>
      <c r="Q68" s="132"/>
      <c r="R68" s="119"/>
      <c r="S68" s="119"/>
      <c r="T68" s="119"/>
      <c r="U68" s="133" t="str">
        <f>IF([14]回答表!X50="●",[14]回答表!B138,IF([14]回答表!AA50="●",[14]回答表!B159,""))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IF([14]回答表!X50="●",[14]回答表!S144,IF([14]回答表!AA50="●",[14]回答表!S165,""))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IF([14]回答表!X50="●",[14]回答表!J144,IF([14]回答表!AA50="●",[14]回答表!J165,""))</f>
        <v/>
      </c>
      <c r="AN71" s="83"/>
      <c r="AO71" s="83"/>
      <c r="AP71" s="83"/>
      <c r="AQ71" s="83"/>
      <c r="AR71" s="83"/>
      <c r="AS71" s="83"/>
      <c r="AT71" s="153"/>
      <c r="AU71" s="82" t="str">
        <f>IF([14]回答表!X50="●",[14]回答表!J145,IF([14]回答表!AA50="●",[14]回答表!J166,""))</f>
        <v/>
      </c>
      <c r="AV71" s="83"/>
      <c r="AW71" s="83"/>
      <c r="AX71" s="83"/>
      <c r="AY71" s="83"/>
      <c r="AZ71" s="83"/>
      <c r="BA71" s="83"/>
      <c r="BB71" s="153"/>
      <c r="BC71" s="120"/>
      <c r="BD71" s="109"/>
      <c r="BE71" s="109"/>
      <c r="BF71" s="150" t="str">
        <f>IF([14]回答表!X50="●",[14]回答表!V144,IF([14]回答表!AA50="●",[14]回答表!V165,""))</f>
        <v/>
      </c>
      <c r="BG71" s="151"/>
      <c r="BH71" s="151"/>
      <c r="BI71" s="151"/>
      <c r="BJ71" s="150" t="str">
        <f>IF([14]回答表!X50="●",[14]回答表!V145,IF([14]回答表!AA50="●",[14]回答表!V166,""))</f>
        <v/>
      </c>
      <c r="BK71" s="151"/>
      <c r="BL71" s="151"/>
      <c r="BM71" s="151"/>
      <c r="BN71" s="150" t="str">
        <f>IF([14]回答表!X50="●",[14]回答表!V146,IF([14]回答表!AA50="●",[14]回答表!V167,""))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IF([14]回答表!AA50="●","●","")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IF([14]回答表!X50="●",[14]回答表!E149,IF([14]回答表!AA50="●",[14]回答表!E170,""))</f>
        <v/>
      </c>
      <c r="V80" s="182"/>
      <c r="W80" s="182"/>
      <c r="X80" s="182"/>
      <c r="Y80" s="182"/>
      <c r="Z80" s="182"/>
      <c r="AA80" s="182"/>
      <c r="AB80" s="182"/>
      <c r="AC80" s="182"/>
      <c r="AD80" s="182"/>
      <c r="AE80" s="183" t="s">
        <v>33</v>
      </c>
      <c r="AF80" s="183"/>
      <c r="AG80" s="183"/>
      <c r="AH80" s="183"/>
      <c r="AI80" s="183"/>
      <c r="AJ80" s="184"/>
      <c r="AK80" s="136"/>
      <c r="AL80" s="136"/>
      <c r="AM80" s="133" t="str">
        <f>IF([14]回答表!X50="●",[14]回答表!B151,IF([14]回答表!AA50="●",[14]回答表!B172,""))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IF([14]回答表!AD50="●","●","")</f>
        <v/>
      </c>
      <c r="O87" s="131"/>
      <c r="P87" s="131"/>
      <c r="Q87" s="132"/>
      <c r="R87" s="119"/>
      <c r="S87" s="119"/>
      <c r="T87" s="119"/>
      <c r="U87" s="133" t="str">
        <f>IF([14]回答表!AD50="●",[14]回答表!B180,"")</f>
        <v/>
      </c>
      <c r="V87" s="134"/>
      <c r="W87" s="134"/>
      <c r="X87" s="134"/>
      <c r="Y87" s="134"/>
      <c r="Z87" s="134"/>
      <c r="AA87" s="134"/>
      <c r="AB87" s="134"/>
      <c r="AC87" s="134"/>
      <c r="AD87" s="134"/>
      <c r="AE87" s="134"/>
      <c r="AF87" s="134"/>
      <c r="AG87" s="134"/>
      <c r="AH87" s="134"/>
      <c r="AI87" s="134"/>
      <c r="AJ87" s="135"/>
      <c r="AK87" s="189"/>
      <c r="AL87" s="189"/>
      <c r="AM87" s="133" t="str">
        <f>IF([14]回答表!AD50="●",[14]回答表!B186,"")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IF([14]回答表!F18="水道事業",IF([14]回答表!X51="●","●",""),"")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IF([14]回答表!F18="水道事業",IF([14]回答表!X51="●",[14]回答表!B197,IF([14]回答表!AA51="●",[14]回答表!B275,"")),"")</f>
        <v/>
      </c>
      <c r="AN99" s="134"/>
      <c r="AO99" s="134"/>
      <c r="AP99" s="134"/>
      <c r="AQ99" s="134"/>
      <c r="AR99" s="134"/>
      <c r="AS99" s="134"/>
      <c r="AT99" s="134"/>
      <c r="AU99" s="134"/>
      <c r="AV99" s="134"/>
      <c r="AW99" s="134"/>
      <c r="AX99" s="134"/>
      <c r="AY99" s="134"/>
      <c r="AZ99" s="134"/>
      <c r="BA99" s="134"/>
      <c r="BB99" s="134"/>
      <c r="BC99" s="135"/>
      <c r="BD99" s="109"/>
      <c r="BE99" s="109"/>
      <c r="BF99" s="138" t="str">
        <f>IF([14]回答表!F18="水道事業",IF([14]回答表!X51="●",[14]回答表!B256,IF([14]回答表!AA51="●",[14]回答表!B335,"")),"")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IF([14]回答表!F18="水道事業",IF([14]回答表!X51="●",[14]回答表!J205,IF([14]回答表!AA51="●",[14]回答表!J283,"")),"")</f>
        <v/>
      </c>
      <c r="V101" s="83"/>
      <c r="W101" s="83"/>
      <c r="X101" s="83"/>
      <c r="Y101" s="83"/>
      <c r="Z101" s="83"/>
      <c r="AA101" s="83"/>
      <c r="AB101" s="153"/>
      <c r="AC101" s="82" t="str">
        <f>IF([14]回答表!F18="水道事業",IF([14]回答表!X51="●",[14]回答表!J210,IF([14]回答表!AA51="●",[14]回答表!J290,"")),"")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IF([14]回答表!F18="水道事業",IF([14]回答表!X51="●",[14]回答表!E256,IF([14]回答表!AA51="●",[14]回答表!E335,"")),"")</f>
        <v/>
      </c>
      <c r="BG102" s="151"/>
      <c r="BH102" s="151"/>
      <c r="BI102" s="151"/>
      <c r="BJ102" s="150" t="str">
        <f>IF([14]回答表!F18="水道事業",IF([14]回答表!X51="●",[14]回答表!E257,IF([14]回答表!AA51="●",[14]回答表!E336,"")),"")</f>
        <v/>
      </c>
      <c r="BK102" s="151"/>
      <c r="BL102" s="151"/>
      <c r="BM102" s="151"/>
      <c r="BN102" s="150" t="str">
        <f>IF([14]回答表!F18="水道事業",IF([14]回答表!X51="●",[14]回答表!E258,IF([14]回答表!AA51="●",[14]回答表!E337,"")),"")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IF([14]回答表!F18="水道事業",IF([14]回答表!AA51="●","●",""),"")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IF([14]回答表!F18="水道事業",IF([14]回答表!X51="●",[14]回答表!J213,IF([14]回答表!AA51="●",[14]回答表!J293,"")),"")</f>
        <v/>
      </c>
      <c r="V106" s="83"/>
      <c r="W106" s="83"/>
      <c r="X106" s="83"/>
      <c r="Y106" s="83"/>
      <c r="Z106" s="83"/>
      <c r="AA106" s="83"/>
      <c r="AB106" s="153"/>
      <c r="AC106" s="82" t="str">
        <f>IF([14]回答表!F18="水道事業",IF([14]回答表!X51="●",[14]回答表!J217,IF([14]回答表!AA51="●",[14]回答表!J297,"")),"")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IF([14]回答表!F18="水道事業",IF([14]回答表!X51="●",[14]回答表!E265,IF([14]回答表!AA51="●",[14]回答表!E344,"")),"")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IF([14]回答表!F18="水道事業",IF([14]回答表!X51="●",[14]回答表!B267,IF([14]回答表!AA51="●",[14]回答表!B346,"")),"")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IF([14]回答表!F18="水道事業",IF([14]回答表!AD51="●","●",""),"")</f>
        <v/>
      </c>
      <c r="O118" s="131"/>
      <c r="P118" s="131"/>
      <c r="Q118" s="132"/>
      <c r="R118" s="119"/>
      <c r="S118" s="119"/>
      <c r="T118" s="119"/>
      <c r="U118" s="133" t="str">
        <f>IF([14]回答表!F18="水道事業",IF([14]回答表!AD51="●",[14]回答表!B354,""),"")</f>
        <v/>
      </c>
      <c r="V118" s="134"/>
      <c r="W118" s="134"/>
      <c r="X118" s="134"/>
      <c r="Y118" s="134"/>
      <c r="Z118" s="134"/>
      <c r="AA118" s="134"/>
      <c r="AB118" s="134"/>
      <c r="AC118" s="134"/>
      <c r="AD118" s="134"/>
      <c r="AE118" s="134"/>
      <c r="AF118" s="134"/>
      <c r="AG118" s="134"/>
      <c r="AH118" s="134"/>
      <c r="AI118" s="134"/>
      <c r="AJ118" s="135"/>
      <c r="AK118" s="189"/>
      <c r="AL118" s="189"/>
      <c r="AM118" s="133" t="str">
        <f>IF([14]回答表!F18="水道事業",IF([14]回答表!AD51="●",[14]回答表!B360,""),"")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IF([14]回答表!F18="簡易水道事業",IF([14]回答表!X51="●",[14]回答表!B197,IF([14]回答表!AA51="●",[14]回答表!B275,"")),"")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IF([14]回答表!F18="簡易水道事業",IF([14]回答表!X51="●",[14]回答表!B256,IF([14]回答表!AA51="●",[14]回答表!B335,"")),"")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IF([14]回答表!F18="簡易水道事業",IF([14]回答表!X51="●","●",""),"")</f>
        <v/>
      </c>
      <c r="O132" s="131"/>
      <c r="P132" s="131"/>
      <c r="Q132" s="132"/>
      <c r="R132" s="119"/>
      <c r="S132" s="119"/>
      <c r="T132" s="119"/>
      <c r="U132" s="82" t="str">
        <f>IF([14]回答表!F18="簡易水道事業",IF([14]回答表!X51="●",[14]回答表!S224,IF([14]回答表!AA51="●",[14]回答表!S304,"")),"")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IF([14]回答表!F18="簡易水道事業",IF([14]回答表!X51="●",[14]回答表!E256,IF([14]回答表!AA51="●",[14]回答表!E335,"")),"")</f>
        <v/>
      </c>
      <c r="BG133" s="151"/>
      <c r="BH133" s="151"/>
      <c r="BI133" s="151"/>
      <c r="BJ133" s="150" t="str">
        <f>IF([14]回答表!F18="簡易水道事業",IF([14]回答表!X51="●",[14]回答表!E257,IF([14]回答表!AA51="●",[14]回答表!E336,"")),"")</f>
        <v/>
      </c>
      <c r="BK133" s="151"/>
      <c r="BL133" s="151"/>
      <c r="BM133" s="151"/>
      <c r="BN133" s="150" t="str">
        <f>IF([14]回答表!F18="簡易水道事業",IF([14]回答表!X51="●",[14]回答表!E258,IF([14]回答表!AA51="●",[14]回答表!E337,"")),"")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IF([14]回答表!F18="簡易水道事業",IF([14]回答表!X51="●",[14]回答表!S225,IF([14]回答表!AA51="●",[14]回答表!S305,"")),"")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IF([14]回答表!F18="簡易水道事業",IF([14]回答表!AA51="●","●",""),"")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IF([14]回答表!F18="簡易水道事業",IF([14]回答表!X51="●",[14]回答表!S226,IF([14]回答表!AA51="●",[14]回答表!S306,"")),"")</f>
        <v/>
      </c>
      <c r="V142" s="83"/>
      <c r="W142" s="83"/>
      <c r="X142" s="83"/>
      <c r="Y142" s="83"/>
      <c r="Z142" s="83"/>
      <c r="AA142" s="83"/>
      <c r="AB142" s="83"/>
      <c r="AC142" s="83"/>
      <c r="AD142" s="83"/>
      <c r="AE142" s="83"/>
      <c r="AF142" s="83"/>
      <c r="AG142" s="83"/>
      <c r="AH142" s="83"/>
      <c r="AI142" s="83"/>
      <c r="AJ142" s="153"/>
      <c r="AK142" s="68"/>
      <c r="AL142" s="68"/>
      <c r="AM142" s="231" t="str">
        <f>IF([14]回答表!F18="簡易水道事業",IF([14]回答表!X51="●",[14]回答表!Y228,IF([14]回答表!AA51="●",[14]回答表!Y308,"")),"")</f>
        <v/>
      </c>
      <c r="AN142" s="231"/>
      <c r="AO142" s="231"/>
      <c r="AP142" s="231"/>
      <c r="AQ142" s="231"/>
      <c r="AR142" s="231"/>
      <c r="AS142" s="231" t="str">
        <f>IF([14]回答表!F18="簡易水道事業",IF([14]回答表!X51="●",[14]回答表!Y229,IF([14]回答表!AA51="●",[14]回答表!Y309,"")),"")</f>
        <v/>
      </c>
      <c r="AT142" s="231"/>
      <c r="AU142" s="231"/>
      <c r="AV142" s="231"/>
      <c r="AW142" s="231"/>
      <c r="AX142" s="231"/>
      <c r="AY142" s="231" t="str">
        <f>IF([14]回答表!F18="簡易水道事業",IF([14]回答表!X51="●",[14]回答表!Y230,IF([14]回答表!AA51="●",[14]回答表!Y310,"")),"")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IF([14]回答表!F18="簡易水道事業",IF([14]回答表!X51="●",[14]回答表!E265,IF([14]回答表!AA51="●",[14]回答表!E344,"")),"")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IF([14]回答表!F18="簡易水道事業",IF([14]回答表!X51="●",[14]回答表!B267,IF([14]回答表!AA51="●",[14]回答表!B346,"")),"")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IF([14]回答表!F18="簡易水道事業",IF([14]回答表!AD51="●","●",""),"")</f>
        <v/>
      </c>
      <c r="O154" s="131"/>
      <c r="P154" s="131"/>
      <c r="Q154" s="132"/>
      <c r="R154" s="119"/>
      <c r="S154" s="119"/>
      <c r="T154" s="119"/>
      <c r="U154" s="133" t="str">
        <f>IF([14]回答表!F18="簡易水道事業",IF([14]回答表!AD51="●",[14]回答表!B354,""),"")</f>
        <v/>
      </c>
      <c r="V154" s="134"/>
      <c r="W154" s="134"/>
      <c r="X154" s="134"/>
      <c r="Y154" s="134"/>
      <c r="Z154" s="134"/>
      <c r="AA154" s="134"/>
      <c r="AB154" s="134"/>
      <c r="AC154" s="134"/>
      <c r="AD154" s="134"/>
      <c r="AE154" s="134"/>
      <c r="AF154" s="134"/>
      <c r="AG154" s="134"/>
      <c r="AH154" s="134"/>
      <c r="AI154" s="134"/>
      <c r="AJ154" s="135"/>
      <c r="AK154" s="189"/>
      <c r="AL154" s="189"/>
      <c r="AM154" s="133" t="str">
        <f>IF([14]回答表!F18="簡易水道事業",IF([14]回答表!AD51="●",[14]回答表!B360,""),"")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IF([14]回答表!F18="下水道事業",IF([14]回答表!X51="●","●",""),"")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IF([14]回答表!F18="下水道事業",IF([14]回答表!X51="●",[14]回答表!B197,IF([14]回答表!AA51="●",[14]回答表!B275,"")),"")</f>
        <v>　処理施設を多く抱え維持管理費の縮減が課題となっており、漁業集落排水処理施設を廃止し、農業集落排水処理施設に統合する計画で、令和１３年度に工事を行うこととしている。処理施設数が減ることで維持管理費用が減少すると見込んでい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IF([14]回答表!F18="下水道事業",IF([14]回答表!X51="●",[14]回答表!B256,IF([14]回答表!AA51="●",[14]回答表!B335,"")),"")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IF([14]回答表!F18="下水道事業",IF([14]回答表!X51="●",[14]回答表!N234,IF([14]回答表!AA51="●",[14]回答表!N314,"")),"")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IF([14]回答表!F18="下水道事業",IF([14]回答表!X51="●",[14]回答表!E256,IF([14]回答表!AA51="●",[14]回答表!E335,"")),"")</f>
        <v>14</v>
      </c>
      <c r="BG169" s="151"/>
      <c r="BH169" s="151"/>
      <c r="BI169" s="151"/>
      <c r="BJ169" s="150">
        <f>IF([14]回答表!F18="下水道事業",IF([14]回答表!X51="●",[14]回答表!E257,IF([14]回答表!AA51="●",[14]回答表!E336,"")),"")</f>
        <v>4</v>
      </c>
      <c r="BK169" s="151"/>
      <c r="BL169" s="151"/>
      <c r="BM169" s="151"/>
      <c r="BN169" s="150">
        <f>IF([14]回答表!F18="下水道事業",IF([14]回答表!X51="●",[14]回答表!E258,IF([14]回答表!AA51="●",[14]回答表!E337,"")),"")</f>
        <v>1</v>
      </c>
      <c r="BO169" s="151"/>
      <c r="BP169" s="151"/>
      <c r="BQ169" s="152"/>
      <c r="BR169" s="112"/>
      <c r="BX169" s="234" t="str">
        <f>IF([14]回答表!AQ21="下水道事業",IF([14]回答表!BI54="○",[14]回答表!AM200,IF([14]回答表!BL54="○",[14]回答表!AM278,"")),"")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IF([14]回答表!F18="下水道事業",IF([14]回答表!X51="●",[14]回答表!Y236,IF([14]回答表!AA51="●",[14]回答表!Y316,"")),"")</f>
        <v>●</v>
      </c>
      <c r="V174" s="83"/>
      <c r="W174" s="83"/>
      <c r="X174" s="83"/>
      <c r="Y174" s="83"/>
      <c r="Z174" s="83"/>
      <c r="AA174" s="83"/>
      <c r="AB174" s="153"/>
      <c r="AC174" s="82" t="str">
        <f>IF([14]回答表!F18="下水道事業",IF([14]回答表!X51="●",[14]回答表!Y237,IF([14]回答表!AA51="●",[14]回答表!Y317,"")),"")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IF([14]回答表!F18="下水道事業",IF([14]回答表!X51="●",[14]回答表!Y239,IF([14]回答表!AA51="●",[14]回答表!Y319,"")),"")</f>
        <v xml:space="preserve"> </v>
      </c>
      <c r="V180" s="83"/>
      <c r="W180" s="83"/>
      <c r="X180" s="83"/>
      <c r="Y180" s="83"/>
      <c r="Z180" s="83"/>
      <c r="AA180" s="83"/>
      <c r="AB180" s="153"/>
      <c r="AC180" s="82" t="str">
        <f>IF([14]回答表!F18="下水道事業",IF([14]回答表!X51="●",[14]回答表!Y240,IF([14]回答表!AA51="●",[14]回答表!Y320,"")),"")</f>
        <v xml:space="preserve"> </v>
      </c>
      <c r="AD180" s="83"/>
      <c r="AE180" s="83"/>
      <c r="AF180" s="83"/>
      <c r="AG180" s="83"/>
      <c r="AH180" s="83"/>
      <c r="AI180" s="83"/>
      <c r="AJ180" s="153"/>
      <c r="AK180" s="82" t="str">
        <f>IF([14]回答表!F18="下水道事業",IF([14]回答表!X51="●",[14]回答表!Y241,IF([14]回答表!AA51="●",[14]回答表!Y321,"")),"")</f>
        <v xml:space="preserve"> </v>
      </c>
      <c r="AL180" s="83"/>
      <c r="AM180" s="83"/>
      <c r="AN180" s="83"/>
      <c r="AO180" s="83"/>
      <c r="AP180" s="83"/>
      <c r="AQ180" s="83"/>
      <c r="AR180" s="153"/>
      <c r="AS180" s="82">
        <f>IF([14]回答表!F18="下水道事業",IF([14]回答表!X51="●",[14]回答表!Y242,IF([14]回答表!AA51="●",[14]回答表!Y322,"")),"")</f>
        <v>0</v>
      </c>
      <c r="AT180" s="83"/>
      <c r="AU180" s="83"/>
      <c r="AV180" s="83"/>
      <c r="AW180" s="83"/>
      <c r="AX180" s="83"/>
      <c r="AY180" s="83"/>
      <c r="AZ180" s="153"/>
      <c r="BA180" s="82" t="str">
        <f>IF([14]回答表!F18="下水道事業",IF([14]回答表!X51="●",[14]回答表!Y243,IF([14]回答表!AA51="●",[14]回答表!Y323,"")),"")</f>
        <v>●</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IF([14]回答表!F18="下水道事業",IF([14]回答表!AA51="●","●",""),"")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IF([14]回答表!F18="下水道事業",IF([14]回答表!X51="●",[14]回答表!N248,IF([14]回答表!AA51="●",[14]回答表!N328,"")),"")</f>
        <v xml:space="preserve"> </v>
      </c>
      <c r="V186" s="83"/>
      <c r="W186" s="83"/>
      <c r="X186" s="83"/>
      <c r="Y186" s="83"/>
      <c r="Z186" s="83"/>
      <c r="AA186" s="83"/>
      <c r="AB186" s="153"/>
      <c r="AC186" s="82" t="str">
        <f>IF([14]回答表!F18="下水道事業",IF([14]回答表!X51="●",[14]回答表!N249,IF([14]回答表!AA51="●",[14]回答表!N329,"")),"")</f>
        <v xml:space="preserve"> </v>
      </c>
      <c r="AD186" s="83"/>
      <c r="AE186" s="83"/>
      <c r="AF186" s="83"/>
      <c r="AG186" s="83"/>
      <c r="AH186" s="83"/>
      <c r="AI186" s="83"/>
      <c r="AJ186" s="153"/>
      <c r="AK186" s="82" t="str">
        <f>IF([14]回答表!F18="下水道事業",IF([14]回答表!X51="●",[14]回答表!N250,IF([14]回答表!AA51="●",[14]回答表!N330,"")),"")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IF([14]回答表!F18="下水道事業",IF([14]回答表!X51="●",[14]回答表!E265,IF([14]回答表!AA51="●",[14]回答表!E344,"")),"")</f>
        <v>5.3</v>
      </c>
      <c r="V191" s="182"/>
      <c r="W191" s="182"/>
      <c r="X191" s="182"/>
      <c r="Y191" s="182"/>
      <c r="Z191" s="182"/>
      <c r="AA191" s="182"/>
      <c r="AB191" s="182"/>
      <c r="AC191" s="182"/>
      <c r="AD191" s="182"/>
      <c r="AE191" s="183" t="s">
        <v>33</v>
      </c>
      <c r="AF191" s="183"/>
      <c r="AG191" s="183"/>
      <c r="AH191" s="183"/>
      <c r="AI191" s="183"/>
      <c r="AJ191" s="184"/>
      <c r="AK191" s="136"/>
      <c r="AL191" s="136"/>
      <c r="AM191" s="133" t="str">
        <f>IF([14]回答表!F18="下水道事業",IF([14]回答表!X51="●",[14]回答表!B267,IF([14]回答表!AA51="●",[14]回答表!B346,"")),"")</f>
        <v>①維持管理費　　　　　年▲2.5百万円
②維持管理委託料　　年▲2.8百万円</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IF([14]回答表!F18="下水道事業",IF([14]回答表!AD51="●","●",""),"")</f>
        <v/>
      </c>
      <c r="O198" s="131"/>
      <c r="P198" s="131"/>
      <c r="Q198" s="132"/>
      <c r="R198" s="119"/>
      <c r="S198" s="119"/>
      <c r="T198" s="119"/>
      <c r="U198" s="133" t="str">
        <f>IF([14]回答表!F18="下水道事業",IF([14]回答表!AD51="●",[14]回答表!B354,""),"")</f>
        <v/>
      </c>
      <c r="V198" s="134"/>
      <c r="W198" s="134"/>
      <c r="X198" s="134"/>
      <c r="Y198" s="134"/>
      <c r="Z198" s="134"/>
      <c r="AA198" s="134"/>
      <c r="AB198" s="134"/>
      <c r="AC198" s="134"/>
      <c r="AD198" s="134"/>
      <c r="AE198" s="134"/>
      <c r="AF198" s="134"/>
      <c r="AG198" s="134"/>
      <c r="AH198" s="134"/>
      <c r="AI198" s="134"/>
      <c r="AJ198" s="135"/>
      <c r="AK198" s="189"/>
      <c r="AL198" s="189"/>
      <c r="AM198" s="133" t="str">
        <f>IF([14]回答表!F18="下水道事業",IF([14]回答表!AD51="●",[14]回答表!B360,""),"")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IF([14]回答表!BD18="●",IF([14]回答表!X51="●","●",""),"")</f>
        <v/>
      </c>
      <c r="O210" s="131"/>
      <c r="P210" s="131"/>
      <c r="Q210" s="132"/>
      <c r="R210" s="119"/>
      <c r="S210" s="119"/>
      <c r="T210" s="119"/>
      <c r="U210" s="133" t="str">
        <f>IF([14]回答表!BD18="●",IF([14]回答表!X51="●",[14]回答表!B197,IF([14]回答表!AA51="●",[14]回答表!B275,"")),"")</f>
        <v/>
      </c>
      <c r="V210" s="134"/>
      <c r="W210" s="134"/>
      <c r="X210" s="134"/>
      <c r="Y210" s="134"/>
      <c r="Z210" s="134"/>
      <c r="AA210" s="134"/>
      <c r="AB210" s="134"/>
      <c r="AC210" s="134"/>
      <c r="AD210" s="134"/>
      <c r="AE210" s="134"/>
      <c r="AF210" s="134"/>
      <c r="AG210" s="134"/>
      <c r="AH210" s="134"/>
      <c r="AI210" s="134"/>
      <c r="AJ210" s="135"/>
      <c r="AK210" s="136"/>
      <c r="AL210" s="136"/>
      <c r="AM210" s="138" t="str">
        <f>IF([14]回答表!BD18="●",IF([14]回答表!X51="●",[14]回答表!B256,IF([14]回答表!AA51="●",[14]回答表!B335,"")),"")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IF([14]回答表!BD18="●",IF([14]回答表!X51="●",[14]回答表!E256,IF([14]回答表!AA51="●",[14]回答表!E335,"")),"")</f>
        <v/>
      </c>
      <c r="AN213" s="151"/>
      <c r="AO213" s="151"/>
      <c r="AP213" s="151"/>
      <c r="AQ213" s="150" t="str">
        <f>IF([14]回答表!BD18="●",IF([14]回答表!X51="●",[14]回答表!E257,IF([14]回答表!AA51="●",[14]回答表!E336,"")),"")</f>
        <v/>
      </c>
      <c r="AR213" s="151"/>
      <c r="AS213" s="151"/>
      <c r="AT213" s="151"/>
      <c r="AU213" s="150" t="str">
        <f>IF([14]回答表!BD18="●",IF([14]回答表!X51="●",[14]回答表!E258,IF([14]回答表!AA51="●",[14]回答表!E337,"")),"")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IF([14]回答表!BD18="●",IF([14]回答表!AA51="●","●",""),"")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IF([14]回答表!BD18="●",IF([14]回答表!X51="●",[14]回答表!E265,IF([14]回答表!AA51="●",[14]回答表!E344,"")),"")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IF([14]回答表!BD18="●",IF([14]回答表!X51="●",[14]回答表!B267,IF([14]回答表!AA51="●",[14]回答表!B346,"")),"")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IF([14]回答表!BD18="●",IF([14]回答表!AD51="●","●",""),"")</f>
        <v/>
      </c>
      <c r="O229" s="131"/>
      <c r="P229" s="131"/>
      <c r="Q229" s="132"/>
      <c r="R229" s="119"/>
      <c r="S229" s="119"/>
      <c r="T229" s="119"/>
      <c r="U229" s="133" t="str">
        <f>IF([14]回答表!BD18="●",IF([14]回答表!AD51="●",[14]回答表!B354,""),"")</f>
        <v/>
      </c>
      <c r="V229" s="134"/>
      <c r="W229" s="134"/>
      <c r="X229" s="134"/>
      <c r="Y229" s="134"/>
      <c r="Z229" s="134"/>
      <c r="AA229" s="134"/>
      <c r="AB229" s="134"/>
      <c r="AC229" s="134"/>
      <c r="AD229" s="134"/>
      <c r="AE229" s="134"/>
      <c r="AF229" s="134"/>
      <c r="AG229" s="134"/>
      <c r="AH229" s="134"/>
      <c r="AI229" s="134"/>
      <c r="AJ229" s="135"/>
      <c r="AK229" s="249"/>
      <c r="AL229" s="249"/>
      <c r="AM229" s="133" t="str">
        <f>IF([14]回答表!BD18="●",IF([14]回答表!AD51="●",[14]回答表!B360,""),"")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IF([14]回答表!X52="●","●","")</f>
        <v/>
      </c>
      <c r="O241" s="131"/>
      <c r="P241" s="131"/>
      <c r="Q241" s="132"/>
      <c r="R241" s="119"/>
      <c r="S241" s="119"/>
      <c r="T241" s="119"/>
      <c r="U241" s="133" t="str">
        <f>IF([14]回答表!X52="●",[14]回答表!B371,IF([14]回答表!AA52="●",[14]回答表!B396,""))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IF([14]回答表!X52="●",[14]回答表!U377,IF([14]回答表!AA52="●",[14]回答表!U402,""))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IF([14]回答表!X52="●",[14]回答表!G377,IF([14]回答表!AA52="●",[14]回答表!G402,""))</f>
        <v/>
      </c>
      <c r="AN244" s="83"/>
      <c r="AO244" s="83"/>
      <c r="AP244" s="83"/>
      <c r="AQ244" s="83"/>
      <c r="AR244" s="83"/>
      <c r="AS244" s="83"/>
      <c r="AT244" s="153"/>
      <c r="AU244" s="82" t="str">
        <f>IF([14]回答表!X52="●",[14]回答表!G378,IF([14]回答表!AA52="●",[14]回答表!G403,""))</f>
        <v/>
      </c>
      <c r="AV244" s="83"/>
      <c r="AW244" s="83"/>
      <c r="AX244" s="83"/>
      <c r="AY244" s="83"/>
      <c r="AZ244" s="83"/>
      <c r="BA244" s="83"/>
      <c r="BB244" s="153"/>
      <c r="BC244" s="120"/>
      <c r="BD244" s="109"/>
      <c r="BE244" s="109"/>
      <c r="BF244" s="150" t="str">
        <f>IF([14]回答表!X52="●",[14]回答表!X377,IF([14]回答表!AA52="●",[14]回答表!X402,""))</f>
        <v/>
      </c>
      <c r="BG244" s="151"/>
      <c r="BH244" s="151"/>
      <c r="BI244" s="151"/>
      <c r="BJ244" s="150" t="str">
        <f>IF([14]回答表!X52="●",[14]回答表!X378,IF([14]回答表!AA52="●",[14]回答表!X403,""))</f>
        <v/>
      </c>
      <c r="BK244" s="151"/>
      <c r="BL244" s="151"/>
      <c r="BM244" s="152"/>
      <c r="BN244" s="150" t="str">
        <f>IF([14]回答表!X52="●",[14]回答表!X379,IF([14]回答表!AA52="●",[14]回答表!X404,""))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IF([14]回答表!AA52="●","●","")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IF([14]回答表!X52="●",[14]回答表!E386,IF([14]回答表!AA52="●",[14]回答表!E407,""))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IF([14]回答表!X52="●",[14]回答表!B388,IF([14]回答表!AA52="●",[14]回答表!B409,""))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IF([14]回答表!AD52="●","●","")</f>
        <v/>
      </c>
      <c r="O260" s="131"/>
      <c r="P260" s="131"/>
      <c r="Q260" s="132"/>
      <c r="R260" s="119"/>
      <c r="S260" s="119"/>
      <c r="T260" s="119"/>
      <c r="U260" s="133" t="str">
        <f>IF([14]回答表!AD52="●",[14]回答表!B417,"")</f>
        <v/>
      </c>
      <c r="V260" s="134"/>
      <c r="W260" s="134"/>
      <c r="X260" s="134"/>
      <c r="Y260" s="134"/>
      <c r="Z260" s="134"/>
      <c r="AA260" s="134"/>
      <c r="AB260" s="134"/>
      <c r="AC260" s="134"/>
      <c r="AD260" s="134"/>
      <c r="AE260" s="134"/>
      <c r="AF260" s="134"/>
      <c r="AG260" s="134"/>
      <c r="AH260" s="134"/>
      <c r="AI260" s="134"/>
      <c r="AJ260" s="135"/>
      <c r="AK260" s="249"/>
      <c r="AL260" s="249"/>
      <c r="AM260" s="133" t="str">
        <f>IF([14]回答表!AD52="●",[14]回答表!B423,"")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IF([14]回答表!X53="●","●","")</f>
        <v/>
      </c>
      <c r="O272" s="131"/>
      <c r="P272" s="131"/>
      <c r="Q272" s="132"/>
      <c r="R272" s="119"/>
      <c r="S272" s="119"/>
      <c r="T272" s="119"/>
      <c r="U272" s="133" t="str">
        <f>IF([14]回答表!X53="●",[14]回答表!B434,IF([14]回答表!AA53="●",[14]回答表!B465,""))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IF([14]回答表!X53="●",[14]回答表!B440,"")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IF([14]回答表!X53="●",[14]回答表!B446,IF([14]回答表!AA53="●",[14]回答表!B471,""))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IF([14]回答表!X53="●",[14]回答表!E446,IF([14]回答表!AA53="●",[14]回答表!E471,""))</f>
        <v/>
      </c>
      <c r="BG275" s="151"/>
      <c r="BH275" s="151"/>
      <c r="BI275" s="151"/>
      <c r="BJ275" s="150" t="str">
        <f>IF([14]回答表!X53="●",[14]回答表!E447,IF([14]回答表!AA53="●",[14]回答表!E472,""))</f>
        <v/>
      </c>
      <c r="BK275" s="151"/>
      <c r="BL275" s="151"/>
      <c r="BM275" s="152"/>
      <c r="BN275" s="150" t="str">
        <f>IF([14]回答表!X53="●",[14]回答表!E448,IF([14]回答表!AA53="●",[14]回答表!E473,""))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IF([14]回答表!AA53="●","●","")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IF([14]回答表!X53="●",[14]回答表!E455,IF([14]回答表!AA53="●",[14]回答表!E476,""))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IF([14]回答表!X53="●",[14]回答表!B457,IF([14]回答表!AA53="●",[14]回答表!B478,""))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IF([14]回答表!AD53="●","●","")</f>
        <v/>
      </c>
      <c r="O291" s="131"/>
      <c r="P291" s="131"/>
      <c r="Q291" s="132"/>
      <c r="R291" s="119"/>
      <c r="S291" s="119"/>
      <c r="T291" s="119"/>
      <c r="U291" s="133" t="str">
        <f>IF([14]回答表!AD53="●",[14]回答表!B486,"")</f>
        <v/>
      </c>
      <c r="V291" s="134"/>
      <c r="W291" s="134"/>
      <c r="X291" s="134"/>
      <c r="Y291" s="134"/>
      <c r="Z291" s="134"/>
      <c r="AA291" s="134"/>
      <c r="AB291" s="134"/>
      <c r="AC291" s="134"/>
      <c r="AD291" s="134"/>
      <c r="AE291" s="134"/>
      <c r="AF291" s="134"/>
      <c r="AG291" s="134"/>
      <c r="AH291" s="134"/>
      <c r="AI291" s="134"/>
      <c r="AJ291" s="135"/>
      <c r="AK291" s="249"/>
      <c r="AL291" s="249"/>
      <c r="AM291" s="133" t="str">
        <f>IF([14]回答表!AD53="●",[14]回答表!B492,"")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IF([14]回答表!X54="●","●","")</f>
        <v/>
      </c>
      <c r="O303" s="131"/>
      <c r="P303" s="131"/>
      <c r="Q303" s="132"/>
      <c r="R303" s="119"/>
      <c r="S303" s="119"/>
      <c r="T303" s="119"/>
      <c r="U303" s="133" t="str">
        <f>IF([14]回答表!X54="●",[14]回答表!B503,IF([14]回答表!AA54="●",[14]回答表!B526,""))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IF([14]回答表!X54="●",[14]回答表!BC510,IF([14]回答表!AA54="●",[14]回答表!BC533,""))</f>
        <v/>
      </c>
      <c r="AR303" s="271"/>
      <c r="AS303" s="271"/>
      <c r="AT303" s="271"/>
      <c r="AU303" s="272" t="s">
        <v>74</v>
      </c>
      <c r="AV303" s="273"/>
      <c r="AW303" s="273"/>
      <c r="AX303" s="274"/>
      <c r="AY303" s="271" t="str">
        <f>IF([14]回答表!X54="●",[14]回答表!BC515,IF([14]回答表!AA54="●",[14]回答表!BC538,""))</f>
        <v/>
      </c>
      <c r="AZ303" s="271"/>
      <c r="BA303" s="271"/>
      <c r="BB303" s="271"/>
      <c r="BC303" s="120"/>
      <c r="BD303" s="109"/>
      <c r="BE303" s="109"/>
      <c r="BF303" s="138" t="str">
        <f>IF([14]回答表!X54="●",[14]回答表!S509,IF([14]回答表!AA54="●",[14]回答表!S532,""))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IF([14]回答表!X54="●",[14]回答表!BC511,IF([14]回答表!AA54="●",[14]回答表!BC534,""))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IF([14]回答表!X54="●",[14]回答表!V509,IF([14]回答表!AA54="●",[14]回答表!V532,""))</f>
        <v/>
      </c>
      <c r="BG306" s="151"/>
      <c r="BH306" s="151"/>
      <c r="BI306" s="151"/>
      <c r="BJ306" s="150" t="str">
        <f>IF([14]回答表!X54="●",[14]回答表!V510,IF([14]回答表!AA54="●",[14]回答表!V533,""))</f>
        <v/>
      </c>
      <c r="BK306" s="151"/>
      <c r="BL306" s="151"/>
      <c r="BM306" s="152"/>
      <c r="BN306" s="150" t="str">
        <f>IF([14]回答表!X54="●",[14]回答表!V511,IF([14]回答表!AA54="●",[14]回答表!V534,""))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IF([14]回答表!X54="●",[14]回答表!BC512,IF([14]回答表!AA54="●",[14]回答表!BC535,""))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IF([14]回答表!X54="●",[14]回答表!BC516,IF([14]回答表!AA54="●",[14]回答表!BC539,""))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IF([14]回答表!AA54="●","●","")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IF([14]回答表!X54="●",[14]回答表!BC513,IF([14]回答表!AA54="●",[14]回答表!BC536,""))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IF([14]回答表!X54="●",[14]回答表!BC514,IF([14]回答表!AA54="●",[14]回答表!BC537,""))</f>
        <v/>
      </c>
      <c r="AR311" s="271"/>
      <c r="AS311" s="271"/>
      <c r="AT311" s="271"/>
      <c r="AU311" s="222" t="s">
        <v>80</v>
      </c>
      <c r="AV311" s="223"/>
      <c r="AW311" s="223"/>
      <c r="AX311" s="224"/>
      <c r="AY311" s="281" t="str">
        <f>IF([14]回答表!X54="●",[14]回答表!BC517,IF([14]回答表!AA54="●",[14]回答表!BC540,""))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IF([14]回答表!X54="●",[14]回答表!E516,IF([14]回答表!AA54="●",[14]回答表!E538,""))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IF([14]回答表!X54="●",[14]回答表!B518,IF([14]回答表!AA54="●",[14]回答表!B540,""))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IF([14]回答表!AD54="●","●","")</f>
        <v/>
      </c>
      <c r="O322" s="131"/>
      <c r="P322" s="131"/>
      <c r="Q322" s="132"/>
      <c r="R322" s="119"/>
      <c r="S322" s="119"/>
      <c r="T322" s="119"/>
      <c r="U322" s="133" t="str">
        <f>IF([14]回答表!AD54="●",[14]回答表!B548,"")</f>
        <v/>
      </c>
      <c r="V322" s="134"/>
      <c r="W322" s="134"/>
      <c r="X322" s="134"/>
      <c r="Y322" s="134"/>
      <c r="Z322" s="134"/>
      <c r="AA322" s="134"/>
      <c r="AB322" s="134"/>
      <c r="AC322" s="134"/>
      <c r="AD322" s="134"/>
      <c r="AE322" s="134"/>
      <c r="AF322" s="134"/>
      <c r="AG322" s="134"/>
      <c r="AH322" s="134"/>
      <c r="AI322" s="134"/>
      <c r="AJ322" s="135"/>
      <c r="AK322" s="189"/>
      <c r="AL322" s="189"/>
      <c r="AM322" s="133" t="str">
        <f>IF([14]回答表!AD54="●",[14]回答表!B554,"")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IF([14]回答表!X55="●","●","")</f>
        <v/>
      </c>
      <c r="O333" s="131"/>
      <c r="P333" s="131"/>
      <c r="Q333" s="132"/>
      <c r="R333" s="119"/>
      <c r="S333" s="119"/>
      <c r="T333" s="119"/>
      <c r="U333" s="133" t="str">
        <f>IF([14]回答表!X55="●",[14]回答表!B565,IF([14]回答表!AA55="●",[14]回答表!B590,""))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IF([14]回答表!X55="●",[14]回答表!B575,IF([14]回答表!AA55="●",[14]回答表!B600,""))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IF([14]回答表!X55="●",[14]回答表!G571,IF([14]回答表!AA55="●",[14]回答表!G596,""))</f>
        <v/>
      </c>
      <c r="AN335" s="83"/>
      <c r="AO335" s="83"/>
      <c r="AP335" s="83"/>
      <c r="AQ335" s="83"/>
      <c r="AR335" s="83"/>
      <c r="AS335" s="83"/>
      <c r="AT335" s="153"/>
      <c r="AU335" s="82" t="str">
        <f>IF([14]回答表!X55="●",[14]回答表!G572,IF([14]回答表!AA55="●",[14]回答表!G597,""))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IF([14]回答表!X55="●",[14]回答表!E575,IF([14]回答表!AA55="●",[14]回答表!E600,""))</f>
        <v/>
      </c>
      <c r="BG336" s="151"/>
      <c r="BH336" s="151"/>
      <c r="BI336" s="151"/>
      <c r="BJ336" s="150" t="str">
        <f>IF([14]回答表!X55="●",[14]回答表!E576,IF([14]回答表!AA55="●",[14]回答表!E601,""))</f>
        <v/>
      </c>
      <c r="BK336" s="151"/>
      <c r="BL336" s="151"/>
      <c r="BM336" s="152"/>
      <c r="BN336" s="150" t="str">
        <f>IF([14]回答表!X55="●",[14]回答表!E577,IF([14]回答表!AA55="●",[14]回答表!E602,""))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IF([14]回答表!AA55="●","●","")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IF([14]回答表!X55="●",[14]回答表!E580,IF([14]回答表!AA55="●",[14]回答表!E605,""))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IF([14]回答表!X55="●",[14]回答表!B582,IF([14]回答表!AA55="●",[14]回答表!B607,""))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IF([14]回答表!AD55="●","●","")</f>
        <v/>
      </c>
      <c r="O352" s="131"/>
      <c r="P352" s="131"/>
      <c r="Q352" s="132"/>
      <c r="R352" s="119"/>
      <c r="S352" s="119"/>
      <c r="T352" s="119"/>
      <c r="U352" s="133" t="str">
        <f>IF([14]回答表!AD55="●",[14]回答表!B615,"")</f>
        <v/>
      </c>
      <c r="V352" s="134"/>
      <c r="W352" s="134"/>
      <c r="X352" s="134"/>
      <c r="Y352" s="134"/>
      <c r="Z352" s="134"/>
      <c r="AA352" s="134"/>
      <c r="AB352" s="134"/>
      <c r="AC352" s="134"/>
      <c r="AD352" s="134"/>
      <c r="AE352" s="134"/>
      <c r="AF352" s="134"/>
      <c r="AG352" s="134"/>
      <c r="AH352" s="134"/>
      <c r="AI352" s="134"/>
      <c r="AJ352" s="135"/>
      <c r="AK352" s="136"/>
      <c r="AL352" s="136"/>
      <c r="AM352" s="133" t="str">
        <f>IF([14]回答表!AD55="●",[14]回答表!B621,"")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IF([14]回答表!R56="●",[14]回答表!B634,"")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35E5B-F126-4A87-A6A9-1C3E01CEFCBA}">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IF(COUNTIF([15]回答表!K16,"*")&gt;0,[15]回答表!K16,"")</f>
        <v>由利本荘市</v>
      </c>
      <c r="D11" s="8"/>
      <c r="E11" s="8"/>
      <c r="F11" s="8"/>
      <c r="G11" s="8"/>
      <c r="H11" s="8"/>
      <c r="I11" s="8"/>
      <c r="J11" s="8"/>
      <c r="K11" s="8"/>
      <c r="L11" s="8"/>
      <c r="M11" s="8"/>
      <c r="N11" s="8"/>
      <c r="O11" s="8"/>
      <c r="P11" s="8"/>
      <c r="Q11" s="8"/>
      <c r="R11" s="8"/>
      <c r="S11" s="8"/>
      <c r="T11" s="8"/>
      <c r="U11" s="22" t="str">
        <f>IF(COUNTIF([15]回答表!F18,"*")&gt;0,[15]回答表!F18,"")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IF(COUNTIF([15]回答表!W18,"*")&gt;0,[15]回答表!W18,"")</f>
        <v>簡易排水施設</v>
      </c>
      <c r="AP11" s="10"/>
      <c r="AQ11" s="10"/>
      <c r="AR11" s="10"/>
      <c r="AS11" s="10"/>
      <c r="AT11" s="10"/>
      <c r="AU11" s="10"/>
      <c r="AV11" s="10"/>
      <c r="AW11" s="10"/>
      <c r="AX11" s="10"/>
      <c r="AY11" s="10"/>
      <c r="AZ11" s="10"/>
      <c r="BA11" s="10"/>
      <c r="BB11" s="10"/>
      <c r="BC11" s="10"/>
      <c r="BD11" s="10"/>
      <c r="BE11" s="10"/>
      <c r="BF11" s="11"/>
      <c r="BG11" s="21" t="str">
        <f>IF(COUNTIF([15]回答表!F20,"*")&gt;0,[15]回答表!F20,"")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IF([15]回答表!R49="●","●","")</f>
        <v/>
      </c>
      <c r="E24" s="80"/>
      <c r="F24" s="80"/>
      <c r="G24" s="80"/>
      <c r="H24" s="80"/>
      <c r="I24" s="80"/>
      <c r="J24" s="81"/>
      <c r="K24" s="79" t="str">
        <f>IF([15]回答表!R50="●","●","")</f>
        <v/>
      </c>
      <c r="L24" s="80"/>
      <c r="M24" s="80"/>
      <c r="N24" s="80"/>
      <c r="O24" s="80"/>
      <c r="P24" s="80"/>
      <c r="Q24" s="81"/>
      <c r="R24" s="79" t="str">
        <f>IF([15]回答表!R51="●","●","")</f>
        <v/>
      </c>
      <c r="S24" s="80"/>
      <c r="T24" s="80"/>
      <c r="U24" s="80"/>
      <c r="V24" s="80"/>
      <c r="W24" s="80"/>
      <c r="X24" s="81"/>
      <c r="Y24" s="79" t="str">
        <f>IF([15]回答表!R52="●","●","")</f>
        <v/>
      </c>
      <c r="Z24" s="80"/>
      <c r="AA24" s="80"/>
      <c r="AB24" s="80"/>
      <c r="AC24" s="80"/>
      <c r="AD24" s="80"/>
      <c r="AE24" s="81"/>
      <c r="AF24" s="79" t="str">
        <f>IF([15]回答表!R53="●","●","")</f>
        <v/>
      </c>
      <c r="AG24" s="80"/>
      <c r="AH24" s="80"/>
      <c r="AI24" s="80"/>
      <c r="AJ24" s="80"/>
      <c r="AK24" s="80"/>
      <c r="AL24" s="81"/>
      <c r="AM24" s="79" t="str">
        <f>IF([15]回答表!R54="●","●","")</f>
        <v/>
      </c>
      <c r="AN24" s="80"/>
      <c r="AO24" s="80"/>
      <c r="AP24" s="80"/>
      <c r="AQ24" s="80"/>
      <c r="AR24" s="80"/>
      <c r="AS24" s="81"/>
      <c r="AT24" s="79" t="str">
        <f>IF([15]回答表!R55="●","●","")</f>
        <v/>
      </c>
      <c r="AU24" s="80"/>
      <c r="AV24" s="80"/>
      <c r="AW24" s="80"/>
      <c r="AX24" s="80"/>
      <c r="AY24" s="80"/>
      <c r="AZ24" s="81"/>
      <c r="BA24" s="68"/>
      <c r="BB24" s="82" t="str">
        <f>IF([15]回答表!R56="●","●","")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IF([15]回答表!X49="●","●","")</f>
        <v/>
      </c>
      <c r="O36" s="131"/>
      <c r="P36" s="131"/>
      <c r="Q36" s="132"/>
      <c r="R36" s="119"/>
      <c r="S36" s="119"/>
      <c r="T36" s="119"/>
      <c r="U36" s="133" t="str">
        <f>IF([15]回答表!X49="●",[15]回答表!B67,IF([15]回答表!AA49="●",[15]回答表!B95,""))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IF([15]回答表!X49="●",[15]回答表!S73,IF([15]回答表!AA49="●",[15]回答表!S101,""))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IF([15]回答表!X49="●",[15]回答表!G73,IF([15]回答表!AA49="●",[15]回答表!G101,""))</f>
        <v/>
      </c>
      <c r="AN38" s="83"/>
      <c r="AO38" s="83"/>
      <c r="AP38" s="83"/>
      <c r="AQ38" s="83"/>
      <c r="AR38" s="83"/>
      <c r="AS38" s="83"/>
      <c r="AT38" s="153"/>
      <c r="AU38" s="82" t="str">
        <f>IF([15]回答表!X49="●",[15]回答表!G74,IF([15]回答表!AA49="●",[15]回答表!G102,""))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IF([15]回答表!X49="●",[15]回答表!V73,IF([15]回答表!AA49="●",[15]回答表!V101,""))</f>
        <v/>
      </c>
      <c r="BG39" s="16"/>
      <c r="BH39" s="16"/>
      <c r="BI39" s="17"/>
      <c r="BJ39" s="150" t="str">
        <f>IF([15]回答表!X49="●",[15]回答表!V74,IF([15]回答表!AA49="●",[15]回答表!V102,""))</f>
        <v/>
      </c>
      <c r="BK39" s="16"/>
      <c r="BL39" s="16"/>
      <c r="BM39" s="17"/>
      <c r="BN39" s="150" t="str">
        <f>IF([15]回答表!X49="●",[15]回答表!V75,IF([15]回答表!AA49="●",[15]回答表!V103,""))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IF([15]回答表!X49="●",[15]回答表!O79,IF([15]回答表!AA49="●",[15]回答表!O107,""))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IF([15]回答表!X49="●",[15]回答表!O80,IF([15]回答表!AA49="●",[15]回答表!O108,""))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IF([15]回答表!AA49="●","●","")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IF([15]回答表!X49="●",[15]回答表!O81,IF([15]回答表!AA49="●",[15]回答表!O109,""))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IF([15]回答表!X49="●",[15]回答表!O82,IF([15]回答表!AA49="●",[15]回答表!O110,""))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IF([15]回答表!X49="●",[15]回答表!AG79,IF([15]回答表!AA49="●",[15]回答表!AG107,""))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IF([15]回答表!X49="●",[15]回答表!AG80,IF([15]回答表!AA49="●",[15]回答表!AG108,""))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IF([15]回答表!X49="●",[15]回答表!E85,IF([15]回答表!AA49="●",[15]回答表!E113,""))</f>
        <v/>
      </c>
      <c r="V50" s="182"/>
      <c r="W50" s="182"/>
      <c r="X50" s="182"/>
      <c r="Y50" s="182"/>
      <c r="Z50" s="182"/>
      <c r="AA50" s="182"/>
      <c r="AB50" s="182"/>
      <c r="AC50" s="182"/>
      <c r="AD50" s="182"/>
      <c r="AE50" s="183" t="s">
        <v>33</v>
      </c>
      <c r="AF50" s="183"/>
      <c r="AG50" s="183"/>
      <c r="AH50" s="183"/>
      <c r="AI50" s="183"/>
      <c r="AJ50" s="184"/>
      <c r="AK50" s="136"/>
      <c r="AL50" s="136"/>
      <c r="AM50" s="133" t="str">
        <f>IF([15]回答表!X49="●",[15]回答表!B87,IF([15]回答表!AA49="●",[15]回答表!B115,""))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IF([15]回答表!AD49="●","●","")</f>
        <v/>
      </c>
      <c r="O57" s="131"/>
      <c r="P57" s="131"/>
      <c r="Q57" s="132"/>
      <c r="R57" s="119"/>
      <c r="S57" s="119"/>
      <c r="T57" s="119"/>
      <c r="U57" s="133" t="str">
        <f>IF([15]回答表!AD49="●",[15]回答表!B123,"")</f>
        <v/>
      </c>
      <c r="V57" s="134"/>
      <c r="W57" s="134"/>
      <c r="X57" s="134"/>
      <c r="Y57" s="134"/>
      <c r="Z57" s="134"/>
      <c r="AA57" s="134"/>
      <c r="AB57" s="134"/>
      <c r="AC57" s="134"/>
      <c r="AD57" s="134"/>
      <c r="AE57" s="134"/>
      <c r="AF57" s="134"/>
      <c r="AG57" s="134"/>
      <c r="AH57" s="134"/>
      <c r="AI57" s="134"/>
      <c r="AJ57" s="135"/>
      <c r="AK57" s="189"/>
      <c r="AL57" s="189"/>
      <c r="AM57" s="133" t="str">
        <f>IF([15]回答表!AD49="●",[15]回答表!B128,"")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IF([15]回答表!X50="●","●","")</f>
        <v/>
      </c>
      <c r="O68" s="131"/>
      <c r="P68" s="131"/>
      <c r="Q68" s="132"/>
      <c r="R68" s="119"/>
      <c r="S68" s="119"/>
      <c r="T68" s="119"/>
      <c r="U68" s="133" t="str">
        <f>IF([15]回答表!X50="●",[15]回答表!B138,IF([15]回答表!AA50="●",[15]回答表!B159,""))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IF([15]回答表!X50="●",[15]回答表!S144,IF([15]回答表!AA50="●",[15]回答表!S165,""))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IF([15]回答表!X50="●",[15]回答表!J144,IF([15]回答表!AA50="●",[15]回答表!J165,""))</f>
        <v/>
      </c>
      <c r="AN71" s="83"/>
      <c r="AO71" s="83"/>
      <c r="AP71" s="83"/>
      <c r="AQ71" s="83"/>
      <c r="AR71" s="83"/>
      <c r="AS71" s="83"/>
      <c r="AT71" s="153"/>
      <c r="AU71" s="82" t="str">
        <f>IF([15]回答表!X50="●",[15]回答表!J145,IF([15]回答表!AA50="●",[15]回答表!J166,""))</f>
        <v/>
      </c>
      <c r="AV71" s="83"/>
      <c r="AW71" s="83"/>
      <c r="AX71" s="83"/>
      <c r="AY71" s="83"/>
      <c r="AZ71" s="83"/>
      <c r="BA71" s="83"/>
      <c r="BB71" s="153"/>
      <c r="BC71" s="120"/>
      <c r="BD71" s="109"/>
      <c r="BE71" s="109"/>
      <c r="BF71" s="150" t="str">
        <f>IF([15]回答表!X50="●",[15]回答表!V144,IF([15]回答表!AA50="●",[15]回答表!V165,""))</f>
        <v/>
      </c>
      <c r="BG71" s="151"/>
      <c r="BH71" s="151"/>
      <c r="BI71" s="151"/>
      <c r="BJ71" s="150" t="str">
        <f>IF([15]回答表!X50="●",[15]回答表!V145,IF([15]回答表!AA50="●",[15]回答表!V166,""))</f>
        <v/>
      </c>
      <c r="BK71" s="151"/>
      <c r="BL71" s="151"/>
      <c r="BM71" s="151"/>
      <c r="BN71" s="150" t="str">
        <f>IF([15]回答表!X50="●",[15]回答表!V146,IF([15]回答表!AA50="●",[15]回答表!V167,""))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IF([15]回答表!AA50="●","●","")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IF([15]回答表!X50="●",[15]回答表!E149,IF([15]回答表!AA50="●",[15]回答表!E170,""))</f>
        <v/>
      </c>
      <c r="V80" s="182"/>
      <c r="W80" s="182"/>
      <c r="X80" s="182"/>
      <c r="Y80" s="182"/>
      <c r="Z80" s="182"/>
      <c r="AA80" s="182"/>
      <c r="AB80" s="182"/>
      <c r="AC80" s="182"/>
      <c r="AD80" s="182"/>
      <c r="AE80" s="183" t="s">
        <v>33</v>
      </c>
      <c r="AF80" s="183"/>
      <c r="AG80" s="183"/>
      <c r="AH80" s="183"/>
      <c r="AI80" s="183"/>
      <c r="AJ80" s="184"/>
      <c r="AK80" s="136"/>
      <c r="AL80" s="136"/>
      <c r="AM80" s="133" t="str">
        <f>IF([15]回答表!X50="●",[15]回答表!B151,IF([15]回答表!AA50="●",[15]回答表!B172,""))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IF([15]回答表!AD50="●","●","")</f>
        <v/>
      </c>
      <c r="O87" s="131"/>
      <c r="P87" s="131"/>
      <c r="Q87" s="132"/>
      <c r="R87" s="119"/>
      <c r="S87" s="119"/>
      <c r="T87" s="119"/>
      <c r="U87" s="133" t="str">
        <f>IF([15]回答表!AD50="●",[15]回答表!B180,"")</f>
        <v/>
      </c>
      <c r="V87" s="134"/>
      <c r="W87" s="134"/>
      <c r="X87" s="134"/>
      <c r="Y87" s="134"/>
      <c r="Z87" s="134"/>
      <c r="AA87" s="134"/>
      <c r="AB87" s="134"/>
      <c r="AC87" s="134"/>
      <c r="AD87" s="134"/>
      <c r="AE87" s="134"/>
      <c r="AF87" s="134"/>
      <c r="AG87" s="134"/>
      <c r="AH87" s="134"/>
      <c r="AI87" s="134"/>
      <c r="AJ87" s="135"/>
      <c r="AK87" s="189"/>
      <c r="AL87" s="189"/>
      <c r="AM87" s="133" t="str">
        <f>IF([15]回答表!AD50="●",[15]回答表!B186,"")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IF([15]回答表!F18="水道事業",IF([15]回答表!X51="●","●",""),"")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IF([15]回答表!F18="水道事業",IF([15]回答表!X51="●",[15]回答表!B197,IF([15]回答表!AA51="●",[15]回答表!B275,"")),"")</f>
        <v/>
      </c>
      <c r="AN99" s="134"/>
      <c r="AO99" s="134"/>
      <c r="AP99" s="134"/>
      <c r="AQ99" s="134"/>
      <c r="AR99" s="134"/>
      <c r="AS99" s="134"/>
      <c r="AT99" s="134"/>
      <c r="AU99" s="134"/>
      <c r="AV99" s="134"/>
      <c r="AW99" s="134"/>
      <c r="AX99" s="134"/>
      <c r="AY99" s="134"/>
      <c r="AZ99" s="134"/>
      <c r="BA99" s="134"/>
      <c r="BB99" s="134"/>
      <c r="BC99" s="135"/>
      <c r="BD99" s="109"/>
      <c r="BE99" s="109"/>
      <c r="BF99" s="138" t="str">
        <f>IF([15]回答表!F18="水道事業",IF([15]回答表!X51="●",[15]回答表!B256,IF([15]回答表!AA51="●",[15]回答表!B335,"")),"")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IF([15]回答表!F18="水道事業",IF([15]回答表!X51="●",[15]回答表!J205,IF([15]回答表!AA51="●",[15]回答表!J283,"")),"")</f>
        <v/>
      </c>
      <c r="V101" s="83"/>
      <c r="W101" s="83"/>
      <c r="X101" s="83"/>
      <c r="Y101" s="83"/>
      <c r="Z101" s="83"/>
      <c r="AA101" s="83"/>
      <c r="AB101" s="153"/>
      <c r="AC101" s="82" t="str">
        <f>IF([15]回答表!F18="水道事業",IF([15]回答表!X51="●",[15]回答表!J210,IF([15]回答表!AA51="●",[15]回答表!J290,"")),"")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IF([15]回答表!F18="水道事業",IF([15]回答表!X51="●",[15]回答表!E256,IF([15]回答表!AA51="●",[15]回答表!E335,"")),"")</f>
        <v/>
      </c>
      <c r="BG102" s="151"/>
      <c r="BH102" s="151"/>
      <c r="BI102" s="151"/>
      <c r="BJ102" s="150" t="str">
        <f>IF([15]回答表!F18="水道事業",IF([15]回答表!X51="●",[15]回答表!E257,IF([15]回答表!AA51="●",[15]回答表!E336,"")),"")</f>
        <v/>
      </c>
      <c r="BK102" s="151"/>
      <c r="BL102" s="151"/>
      <c r="BM102" s="151"/>
      <c r="BN102" s="150" t="str">
        <f>IF([15]回答表!F18="水道事業",IF([15]回答表!X51="●",[15]回答表!E258,IF([15]回答表!AA51="●",[15]回答表!E337,"")),"")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IF([15]回答表!F18="水道事業",IF([15]回答表!AA51="●","●",""),"")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IF([15]回答表!F18="水道事業",IF([15]回答表!X51="●",[15]回答表!J213,IF([15]回答表!AA51="●",[15]回答表!J293,"")),"")</f>
        <v/>
      </c>
      <c r="V106" s="83"/>
      <c r="W106" s="83"/>
      <c r="X106" s="83"/>
      <c r="Y106" s="83"/>
      <c r="Z106" s="83"/>
      <c r="AA106" s="83"/>
      <c r="AB106" s="153"/>
      <c r="AC106" s="82" t="str">
        <f>IF([15]回答表!F18="水道事業",IF([15]回答表!X51="●",[15]回答表!J217,IF([15]回答表!AA51="●",[15]回答表!J297,"")),"")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IF([15]回答表!F18="水道事業",IF([15]回答表!X51="●",[15]回答表!E265,IF([15]回答表!AA51="●",[15]回答表!E344,"")),"")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IF([15]回答表!F18="水道事業",IF([15]回答表!X51="●",[15]回答表!B267,IF([15]回答表!AA51="●",[15]回答表!B346,"")),"")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IF([15]回答表!F18="水道事業",IF([15]回答表!AD51="●","●",""),"")</f>
        <v/>
      </c>
      <c r="O118" s="131"/>
      <c r="P118" s="131"/>
      <c r="Q118" s="132"/>
      <c r="R118" s="119"/>
      <c r="S118" s="119"/>
      <c r="T118" s="119"/>
      <c r="U118" s="133" t="str">
        <f>IF([15]回答表!F18="水道事業",IF([15]回答表!AD51="●",[15]回答表!B354,""),"")</f>
        <v/>
      </c>
      <c r="V118" s="134"/>
      <c r="W118" s="134"/>
      <c r="X118" s="134"/>
      <c r="Y118" s="134"/>
      <c r="Z118" s="134"/>
      <c r="AA118" s="134"/>
      <c r="AB118" s="134"/>
      <c r="AC118" s="134"/>
      <c r="AD118" s="134"/>
      <c r="AE118" s="134"/>
      <c r="AF118" s="134"/>
      <c r="AG118" s="134"/>
      <c r="AH118" s="134"/>
      <c r="AI118" s="134"/>
      <c r="AJ118" s="135"/>
      <c r="AK118" s="189"/>
      <c r="AL118" s="189"/>
      <c r="AM118" s="133" t="str">
        <f>IF([15]回答表!F18="水道事業",IF([15]回答表!AD51="●",[15]回答表!B360,""),"")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IF([15]回答表!F18="簡易水道事業",IF([15]回答表!X51="●",[15]回答表!B197,IF([15]回答表!AA51="●",[15]回答表!B275,"")),"")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IF([15]回答表!F18="簡易水道事業",IF([15]回答表!X51="●",[15]回答表!B256,IF([15]回答表!AA51="●",[15]回答表!B335,"")),"")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IF([15]回答表!F18="簡易水道事業",IF([15]回答表!X51="●","●",""),"")</f>
        <v/>
      </c>
      <c r="O132" s="131"/>
      <c r="P132" s="131"/>
      <c r="Q132" s="132"/>
      <c r="R132" s="119"/>
      <c r="S132" s="119"/>
      <c r="T132" s="119"/>
      <c r="U132" s="82" t="str">
        <f>IF([15]回答表!F18="簡易水道事業",IF([15]回答表!X51="●",[15]回答表!S224,IF([15]回答表!AA51="●",[15]回答表!S304,"")),"")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IF([15]回答表!F18="簡易水道事業",IF([15]回答表!X51="●",[15]回答表!E256,IF([15]回答表!AA51="●",[15]回答表!E335,"")),"")</f>
        <v/>
      </c>
      <c r="BG133" s="151"/>
      <c r="BH133" s="151"/>
      <c r="BI133" s="151"/>
      <c r="BJ133" s="150" t="str">
        <f>IF([15]回答表!F18="簡易水道事業",IF([15]回答表!X51="●",[15]回答表!E257,IF([15]回答表!AA51="●",[15]回答表!E336,"")),"")</f>
        <v/>
      </c>
      <c r="BK133" s="151"/>
      <c r="BL133" s="151"/>
      <c r="BM133" s="151"/>
      <c r="BN133" s="150" t="str">
        <f>IF([15]回答表!F18="簡易水道事業",IF([15]回答表!X51="●",[15]回答表!E258,IF([15]回答表!AA51="●",[15]回答表!E337,"")),"")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IF([15]回答表!F18="簡易水道事業",IF([15]回答表!X51="●",[15]回答表!S225,IF([15]回答表!AA51="●",[15]回答表!S305,"")),"")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IF([15]回答表!F18="簡易水道事業",IF([15]回答表!AA51="●","●",""),"")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IF([15]回答表!F18="簡易水道事業",IF([15]回答表!X51="●",[15]回答表!S226,IF([15]回答表!AA51="●",[15]回答表!S306,"")),"")</f>
        <v/>
      </c>
      <c r="V142" s="83"/>
      <c r="W142" s="83"/>
      <c r="X142" s="83"/>
      <c r="Y142" s="83"/>
      <c r="Z142" s="83"/>
      <c r="AA142" s="83"/>
      <c r="AB142" s="83"/>
      <c r="AC142" s="83"/>
      <c r="AD142" s="83"/>
      <c r="AE142" s="83"/>
      <c r="AF142" s="83"/>
      <c r="AG142" s="83"/>
      <c r="AH142" s="83"/>
      <c r="AI142" s="83"/>
      <c r="AJ142" s="153"/>
      <c r="AK142" s="68"/>
      <c r="AL142" s="68"/>
      <c r="AM142" s="231" t="str">
        <f>IF([15]回答表!F18="簡易水道事業",IF([15]回答表!X51="●",[15]回答表!Y228,IF([15]回答表!AA51="●",[15]回答表!Y308,"")),"")</f>
        <v/>
      </c>
      <c r="AN142" s="231"/>
      <c r="AO142" s="231"/>
      <c r="AP142" s="231"/>
      <c r="AQ142" s="231"/>
      <c r="AR142" s="231"/>
      <c r="AS142" s="231" t="str">
        <f>IF([15]回答表!F18="簡易水道事業",IF([15]回答表!X51="●",[15]回答表!Y229,IF([15]回答表!AA51="●",[15]回答表!Y309,"")),"")</f>
        <v/>
      </c>
      <c r="AT142" s="231"/>
      <c r="AU142" s="231"/>
      <c r="AV142" s="231"/>
      <c r="AW142" s="231"/>
      <c r="AX142" s="231"/>
      <c r="AY142" s="231" t="str">
        <f>IF([15]回答表!F18="簡易水道事業",IF([15]回答表!X51="●",[15]回答表!Y230,IF([15]回答表!AA51="●",[15]回答表!Y310,"")),"")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IF([15]回答表!F18="簡易水道事業",IF([15]回答表!X51="●",[15]回答表!E265,IF([15]回答表!AA51="●",[15]回答表!E344,"")),"")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IF([15]回答表!F18="簡易水道事業",IF([15]回答表!X51="●",[15]回答表!B267,IF([15]回答表!AA51="●",[15]回答表!B346,"")),"")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IF([15]回答表!F18="簡易水道事業",IF([15]回答表!AD51="●","●",""),"")</f>
        <v/>
      </c>
      <c r="O154" s="131"/>
      <c r="P154" s="131"/>
      <c r="Q154" s="132"/>
      <c r="R154" s="119"/>
      <c r="S154" s="119"/>
      <c r="T154" s="119"/>
      <c r="U154" s="133" t="str">
        <f>IF([15]回答表!F18="簡易水道事業",IF([15]回答表!AD51="●",[15]回答表!B354,""),"")</f>
        <v/>
      </c>
      <c r="V154" s="134"/>
      <c r="W154" s="134"/>
      <c r="X154" s="134"/>
      <c r="Y154" s="134"/>
      <c r="Z154" s="134"/>
      <c r="AA154" s="134"/>
      <c r="AB154" s="134"/>
      <c r="AC154" s="134"/>
      <c r="AD154" s="134"/>
      <c r="AE154" s="134"/>
      <c r="AF154" s="134"/>
      <c r="AG154" s="134"/>
      <c r="AH154" s="134"/>
      <c r="AI154" s="134"/>
      <c r="AJ154" s="135"/>
      <c r="AK154" s="189"/>
      <c r="AL154" s="189"/>
      <c r="AM154" s="133" t="str">
        <f>IF([15]回答表!F18="簡易水道事業",IF([15]回答表!AD51="●",[15]回答表!B360,""),"")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IF([15]回答表!F18="下水道事業",IF([15]回答表!X51="●","●",""),"")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IF([15]回答表!F18="下水道事業",IF([15]回答表!X51="●",[15]回答表!B197,IF([15]回答表!AA51="●",[15]回答表!B275,"")),"")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IF([15]回答表!F18="下水道事業",IF([15]回答表!X51="●",[15]回答表!B256,IF([15]回答表!AA51="●",[15]回答表!B335,"")),"")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IF([15]回答表!F18="下水道事業",IF([15]回答表!X51="●",[15]回答表!N234,IF([15]回答表!AA51="●",[15]回答表!N314,"")),"")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IF([15]回答表!F18="下水道事業",IF([15]回答表!X51="●",[15]回答表!E256,IF([15]回答表!AA51="●",[15]回答表!E335,"")),"")</f>
        <v/>
      </c>
      <c r="BG169" s="151"/>
      <c r="BH169" s="151"/>
      <c r="BI169" s="151"/>
      <c r="BJ169" s="150" t="str">
        <f>IF([15]回答表!F18="下水道事業",IF([15]回答表!X51="●",[15]回答表!E257,IF([15]回答表!AA51="●",[15]回答表!E336,"")),"")</f>
        <v/>
      </c>
      <c r="BK169" s="151"/>
      <c r="BL169" s="151"/>
      <c r="BM169" s="151"/>
      <c r="BN169" s="150" t="str">
        <f>IF([15]回答表!F18="下水道事業",IF([15]回答表!X51="●",[15]回答表!E258,IF([15]回答表!AA51="●",[15]回答表!E337,"")),"")</f>
        <v/>
      </c>
      <c r="BO169" s="151"/>
      <c r="BP169" s="151"/>
      <c r="BQ169" s="152"/>
      <c r="BR169" s="112"/>
      <c r="BX169" s="234" t="str">
        <f>IF([15]回答表!AQ21="下水道事業",IF([15]回答表!BI54="○",[15]回答表!AM200,IF([15]回答表!BL54="○",[15]回答表!AM278,"")),"")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IF([15]回答表!F18="下水道事業",IF([15]回答表!X51="●",[15]回答表!Y236,IF([15]回答表!AA51="●",[15]回答表!Y316,"")),"")</f>
        <v/>
      </c>
      <c r="V174" s="83"/>
      <c r="W174" s="83"/>
      <c r="X174" s="83"/>
      <c r="Y174" s="83"/>
      <c r="Z174" s="83"/>
      <c r="AA174" s="83"/>
      <c r="AB174" s="153"/>
      <c r="AC174" s="82" t="str">
        <f>IF([15]回答表!F18="下水道事業",IF([15]回答表!X51="●",[15]回答表!Y237,IF([15]回答表!AA51="●",[15]回答表!Y317,"")),"")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IF([15]回答表!F18="下水道事業",IF([15]回答表!X51="●",[15]回答表!Y239,IF([15]回答表!AA51="●",[15]回答表!Y319,"")),"")</f>
        <v/>
      </c>
      <c r="V180" s="83"/>
      <c r="W180" s="83"/>
      <c r="X180" s="83"/>
      <c r="Y180" s="83"/>
      <c r="Z180" s="83"/>
      <c r="AA180" s="83"/>
      <c r="AB180" s="153"/>
      <c r="AC180" s="82" t="str">
        <f>IF([15]回答表!F18="下水道事業",IF([15]回答表!X51="●",[15]回答表!Y240,IF([15]回答表!AA51="●",[15]回答表!Y320,"")),"")</f>
        <v/>
      </c>
      <c r="AD180" s="83"/>
      <c r="AE180" s="83"/>
      <c r="AF180" s="83"/>
      <c r="AG180" s="83"/>
      <c r="AH180" s="83"/>
      <c r="AI180" s="83"/>
      <c r="AJ180" s="153"/>
      <c r="AK180" s="82" t="str">
        <f>IF([15]回答表!F18="下水道事業",IF([15]回答表!X51="●",[15]回答表!Y241,IF([15]回答表!AA51="●",[15]回答表!Y321,"")),"")</f>
        <v/>
      </c>
      <c r="AL180" s="83"/>
      <c r="AM180" s="83"/>
      <c r="AN180" s="83"/>
      <c r="AO180" s="83"/>
      <c r="AP180" s="83"/>
      <c r="AQ180" s="83"/>
      <c r="AR180" s="153"/>
      <c r="AS180" s="82" t="str">
        <f>IF([15]回答表!F18="下水道事業",IF([15]回答表!X51="●",[15]回答表!Y242,IF([15]回答表!AA51="●",[15]回答表!Y322,"")),"")</f>
        <v/>
      </c>
      <c r="AT180" s="83"/>
      <c r="AU180" s="83"/>
      <c r="AV180" s="83"/>
      <c r="AW180" s="83"/>
      <c r="AX180" s="83"/>
      <c r="AY180" s="83"/>
      <c r="AZ180" s="153"/>
      <c r="BA180" s="82" t="str">
        <f>IF([15]回答表!F18="下水道事業",IF([15]回答表!X51="●",[15]回答表!Y243,IF([15]回答表!AA51="●",[15]回答表!Y323,"")),"")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IF([15]回答表!F18="下水道事業",IF([15]回答表!AA51="●","●",""),"")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IF([15]回答表!F18="下水道事業",IF([15]回答表!X51="●",[15]回答表!N248,IF([15]回答表!AA51="●",[15]回答表!N328,"")),"")</f>
        <v/>
      </c>
      <c r="V186" s="83"/>
      <c r="W186" s="83"/>
      <c r="X186" s="83"/>
      <c r="Y186" s="83"/>
      <c r="Z186" s="83"/>
      <c r="AA186" s="83"/>
      <c r="AB186" s="153"/>
      <c r="AC186" s="82" t="str">
        <f>IF([15]回答表!F18="下水道事業",IF([15]回答表!X51="●",[15]回答表!N249,IF([15]回答表!AA51="●",[15]回答表!N329,"")),"")</f>
        <v/>
      </c>
      <c r="AD186" s="83"/>
      <c r="AE186" s="83"/>
      <c r="AF186" s="83"/>
      <c r="AG186" s="83"/>
      <c r="AH186" s="83"/>
      <c r="AI186" s="83"/>
      <c r="AJ186" s="153"/>
      <c r="AK186" s="82" t="str">
        <f>IF([15]回答表!F18="下水道事業",IF([15]回答表!X51="●",[15]回答表!N250,IF([15]回答表!AA51="●",[15]回答表!N330,"")),"")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IF([15]回答表!F18="下水道事業",IF([15]回答表!X51="●",[15]回答表!E265,IF([15]回答表!AA51="●",[15]回答表!E344,"")),"")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IF([15]回答表!F18="下水道事業",IF([15]回答表!X51="●",[15]回答表!B267,IF([15]回答表!AA51="●",[15]回答表!B346,"")),"")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IF([15]回答表!F18="下水道事業",IF([15]回答表!AD51="●","●",""),"")</f>
        <v/>
      </c>
      <c r="O198" s="131"/>
      <c r="P198" s="131"/>
      <c r="Q198" s="132"/>
      <c r="R198" s="119"/>
      <c r="S198" s="119"/>
      <c r="T198" s="119"/>
      <c r="U198" s="133" t="str">
        <f>IF([15]回答表!F18="下水道事業",IF([15]回答表!AD51="●",[15]回答表!B354,""),"")</f>
        <v/>
      </c>
      <c r="V198" s="134"/>
      <c r="W198" s="134"/>
      <c r="X198" s="134"/>
      <c r="Y198" s="134"/>
      <c r="Z198" s="134"/>
      <c r="AA198" s="134"/>
      <c r="AB198" s="134"/>
      <c r="AC198" s="134"/>
      <c r="AD198" s="134"/>
      <c r="AE198" s="134"/>
      <c r="AF198" s="134"/>
      <c r="AG198" s="134"/>
      <c r="AH198" s="134"/>
      <c r="AI198" s="134"/>
      <c r="AJ198" s="135"/>
      <c r="AK198" s="189"/>
      <c r="AL198" s="189"/>
      <c r="AM198" s="133" t="str">
        <f>IF([15]回答表!F18="下水道事業",IF([15]回答表!AD51="●",[15]回答表!B360,""),"")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IF([15]回答表!BD18="●",IF([15]回答表!X51="●","●",""),"")</f>
        <v/>
      </c>
      <c r="O210" s="131"/>
      <c r="P210" s="131"/>
      <c r="Q210" s="132"/>
      <c r="R210" s="119"/>
      <c r="S210" s="119"/>
      <c r="T210" s="119"/>
      <c r="U210" s="133" t="str">
        <f>IF([15]回答表!BD18="●",IF([15]回答表!X51="●",[15]回答表!B197,IF([15]回答表!AA51="●",[15]回答表!B275,"")),"")</f>
        <v/>
      </c>
      <c r="V210" s="134"/>
      <c r="W210" s="134"/>
      <c r="X210" s="134"/>
      <c r="Y210" s="134"/>
      <c r="Z210" s="134"/>
      <c r="AA210" s="134"/>
      <c r="AB210" s="134"/>
      <c r="AC210" s="134"/>
      <c r="AD210" s="134"/>
      <c r="AE210" s="134"/>
      <c r="AF210" s="134"/>
      <c r="AG210" s="134"/>
      <c r="AH210" s="134"/>
      <c r="AI210" s="134"/>
      <c r="AJ210" s="135"/>
      <c r="AK210" s="136"/>
      <c r="AL210" s="136"/>
      <c r="AM210" s="138" t="str">
        <f>IF([15]回答表!BD18="●",IF([15]回答表!X51="●",[15]回答表!B256,IF([15]回答表!AA51="●",[15]回答表!B335,"")),"")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IF([15]回答表!BD18="●",IF([15]回答表!X51="●",[15]回答表!E256,IF([15]回答表!AA51="●",[15]回答表!E335,"")),"")</f>
        <v/>
      </c>
      <c r="AN213" s="151"/>
      <c r="AO213" s="151"/>
      <c r="AP213" s="151"/>
      <c r="AQ213" s="150" t="str">
        <f>IF([15]回答表!BD18="●",IF([15]回答表!X51="●",[15]回答表!E257,IF([15]回答表!AA51="●",[15]回答表!E336,"")),"")</f>
        <v/>
      </c>
      <c r="AR213" s="151"/>
      <c r="AS213" s="151"/>
      <c r="AT213" s="151"/>
      <c r="AU213" s="150" t="str">
        <f>IF([15]回答表!BD18="●",IF([15]回答表!X51="●",[15]回答表!E258,IF([15]回答表!AA51="●",[15]回答表!E337,"")),"")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IF([15]回答表!BD18="●",IF([15]回答表!AA51="●","●",""),"")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IF([15]回答表!BD18="●",IF([15]回答表!X51="●",[15]回答表!E265,IF([15]回答表!AA51="●",[15]回答表!E344,"")),"")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IF([15]回答表!BD18="●",IF([15]回答表!X51="●",[15]回答表!B267,IF([15]回答表!AA51="●",[15]回答表!B346,"")),"")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IF([15]回答表!BD18="●",IF([15]回答表!AD51="●","●",""),"")</f>
        <v/>
      </c>
      <c r="O229" s="131"/>
      <c r="P229" s="131"/>
      <c r="Q229" s="132"/>
      <c r="R229" s="119"/>
      <c r="S229" s="119"/>
      <c r="T229" s="119"/>
      <c r="U229" s="133" t="str">
        <f>IF([15]回答表!BD18="●",IF([15]回答表!AD51="●",[15]回答表!B354,""),"")</f>
        <v/>
      </c>
      <c r="V229" s="134"/>
      <c r="W229" s="134"/>
      <c r="X229" s="134"/>
      <c r="Y229" s="134"/>
      <c r="Z229" s="134"/>
      <c r="AA229" s="134"/>
      <c r="AB229" s="134"/>
      <c r="AC229" s="134"/>
      <c r="AD229" s="134"/>
      <c r="AE229" s="134"/>
      <c r="AF229" s="134"/>
      <c r="AG229" s="134"/>
      <c r="AH229" s="134"/>
      <c r="AI229" s="134"/>
      <c r="AJ229" s="135"/>
      <c r="AK229" s="249"/>
      <c r="AL229" s="249"/>
      <c r="AM229" s="133" t="str">
        <f>IF([15]回答表!BD18="●",IF([15]回答表!AD51="●",[15]回答表!B360,""),"")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IF([15]回答表!X52="●","●","")</f>
        <v/>
      </c>
      <c r="O241" s="131"/>
      <c r="P241" s="131"/>
      <c r="Q241" s="132"/>
      <c r="R241" s="119"/>
      <c r="S241" s="119"/>
      <c r="T241" s="119"/>
      <c r="U241" s="133" t="str">
        <f>IF([15]回答表!X52="●",[15]回答表!B371,IF([15]回答表!AA52="●",[15]回答表!B396,""))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IF([15]回答表!X52="●",[15]回答表!U377,IF([15]回答表!AA52="●",[15]回答表!U402,""))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IF([15]回答表!X52="●",[15]回答表!G377,IF([15]回答表!AA52="●",[15]回答表!G402,""))</f>
        <v/>
      </c>
      <c r="AN244" s="83"/>
      <c r="AO244" s="83"/>
      <c r="AP244" s="83"/>
      <c r="AQ244" s="83"/>
      <c r="AR244" s="83"/>
      <c r="AS244" s="83"/>
      <c r="AT244" s="153"/>
      <c r="AU244" s="82" t="str">
        <f>IF([15]回答表!X52="●",[15]回答表!G378,IF([15]回答表!AA52="●",[15]回答表!G403,""))</f>
        <v/>
      </c>
      <c r="AV244" s="83"/>
      <c r="AW244" s="83"/>
      <c r="AX244" s="83"/>
      <c r="AY244" s="83"/>
      <c r="AZ244" s="83"/>
      <c r="BA244" s="83"/>
      <c r="BB244" s="153"/>
      <c r="BC244" s="120"/>
      <c r="BD244" s="109"/>
      <c r="BE244" s="109"/>
      <c r="BF244" s="150" t="str">
        <f>IF([15]回答表!X52="●",[15]回答表!X377,IF([15]回答表!AA52="●",[15]回答表!X402,""))</f>
        <v/>
      </c>
      <c r="BG244" s="151"/>
      <c r="BH244" s="151"/>
      <c r="BI244" s="151"/>
      <c r="BJ244" s="150" t="str">
        <f>IF([15]回答表!X52="●",[15]回答表!X378,IF([15]回答表!AA52="●",[15]回答表!X403,""))</f>
        <v/>
      </c>
      <c r="BK244" s="151"/>
      <c r="BL244" s="151"/>
      <c r="BM244" s="152"/>
      <c r="BN244" s="150" t="str">
        <f>IF([15]回答表!X52="●",[15]回答表!X379,IF([15]回答表!AA52="●",[15]回答表!X404,""))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IF([15]回答表!AA52="●","●","")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IF([15]回答表!X52="●",[15]回答表!E386,IF([15]回答表!AA52="●",[15]回答表!E407,""))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IF([15]回答表!X52="●",[15]回答表!B388,IF([15]回答表!AA52="●",[15]回答表!B409,""))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IF([15]回答表!AD52="●","●","")</f>
        <v/>
      </c>
      <c r="O260" s="131"/>
      <c r="P260" s="131"/>
      <c r="Q260" s="132"/>
      <c r="R260" s="119"/>
      <c r="S260" s="119"/>
      <c r="T260" s="119"/>
      <c r="U260" s="133" t="str">
        <f>IF([15]回答表!AD52="●",[15]回答表!B417,"")</f>
        <v/>
      </c>
      <c r="V260" s="134"/>
      <c r="W260" s="134"/>
      <c r="X260" s="134"/>
      <c r="Y260" s="134"/>
      <c r="Z260" s="134"/>
      <c r="AA260" s="134"/>
      <c r="AB260" s="134"/>
      <c r="AC260" s="134"/>
      <c r="AD260" s="134"/>
      <c r="AE260" s="134"/>
      <c r="AF260" s="134"/>
      <c r="AG260" s="134"/>
      <c r="AH260" s="134"/>
      <c r="AI260" s="134"/>
      <c r="AJ260" s="135"/>
      <c r="AK260" s="249"/>
      <c r="AL260" s="249"/>
      <c r="AM260" s="133" t="str">
        <f>IF([15]回答表!AD52="●",[15]回答表!B423,"")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IF([15]回答表!X53="●","●","")</f>
        <v/>
      </c>
      <c r="O272" s="131"/>
      <c r="P272" s="131"/>
      <c r="Q272" s="132"/>
      <c r="R272" s="119"/>
      <c r="S272" s="119"/>
      <c r="T272" s="119"/>
      <c r="U272" s="133" t="str">
        <f>IF([15]回答表!X53="●",[15]回答表!B434,IF([15]回答表!AA53="●",[15]回答表!B465,""))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IF([15]回答表!X53="●",[15]回答表!B440,"")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IF([15]回答表!X53="●",[15]回答表!B446,IF([15]回答表!AA53="●",[15]回答表!B471,""))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IF([15]回答表!X53="●",[15]回答表!E446,IF([15]回答表!AA53="●",[15]回答表!E471,""))</f>
        <v/>
      </c>
      <c r="BG275" s="151"/>
      <c r="BH275" s="151"/>
      <c r="BI275" s="151"/>
      <c r="BJ275" s="150" t="str">
        <f>IF([15]回答表!X53="●",[15]回答表!E447,IF([15]回答表!AA53="●",[15]回答表!E472,""))</f>
        <v/>
      </c>
      <c r="BK275" s="151"/>
      <c r="BL275" s="151"/>
      <c r="BM275" s="152"/>
      <c r="BN275" s="150" t="str">
        <f>IF([15]回答表!X53="●",[15]回答表!E448,IF([15]回答表!AA53="●",[15]回答表!E473,""))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IF([15]回答表!AA53="●","●","")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IF([15]回答表!X53="●",[15]回答表!E455,IF([15]回答表!AA53="●",[15]回答表!E476,""))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IF([15]回答表!X53="●",[15]回答表!B457,IF([15]回答表!AA53="●",[15]回答表!B478,""))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IF([15]回答表!AD53="●","●","")</f>
        <v/>
      </c>
      <c r="O291" s="131"/>
      <c r="P291" s="131"/>
      <c r="Q291" s="132"/>
      <c r="R291" s="119"/>
      <c r="S291" s="119"/>
      <c r="T291" s="119"/>
      <c r="U291" s="133" t="str">
        <f>IF([15]回答表!AD53="●",[15]回答表!B486,"")</f>
        <v/>
      </c>
      <c r="V291" s="134"/>
      <c r="W291" s="134"/>
      <c r="X291" s="134"/>
      <c r="Y291" s="134"/>
      <c r="Z291" s="134"/>
      <c r="AA291" s="134"/>
      <c r="AB291" s="134"/>
      <c r="AC291" s="134"/>
      <c r="AD291" s="134"/>
      <c r="AE291" s="134"/>
      <c r="AF291" s="134"/>
      <c r="AG291" s="134"/>
      <c r="AH291" s="134"/>
      <c r="AI291" s="134"/>
      <c r="AJ291" s="135"/>
      <c r="AK291" s="249"/>
      <c r="AL291" s="249"/>
      <c r="AM291" s="133" t="str">
        <f>IF([15]回答表!AD53="●",[15]回答表!B492,"")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IF([15]回答表!X54="●","●","")</f>
        <v/>
      </c>
      <c r="O303" s="131"/>
      <c r="P303" s="131"/>
      <c r="Q303" s="132"/>
      <c r="R303" s="119"/>
      <c r="S303" s="119"/>
      <c r="T303" s="119"/>
      <c r="U303" s="133" t="str">
        <f>IF([15]回答表!X54="●",[15]回答表!B503,IF([15]回答表!AA54="●",[15]回答表!B526,""))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IF([15]回答表!X54="●",[15]回答表!BC510,IF([15]回答表!AA54="●",[15]回答表!BC533,""))</f>
        <v/>
      </c>
      <c r="AR303" s="271"/>
      <c r="AS303" s="271"/>
      <c r="AT303" s="271"/>
      <c r="AU303" s="272" t="s">
        <v>74</v>
      </c>
      <c r="AV303" s="273"/>
      <c r="AW303" s="273"/>
      <c r="AX303" s="274"/>
      <c r="AY303" s="271" t="str">
        <f>IF([15]回答表!X54="●",[15]回答表!BC515,IF([15]回答表!AA54="●",[15]回答表!BC538,""))</f>
        <v/>
      </c>
      <c r="AZ303" s="271"/>
      <c r="BA303" s="271"/>
      <c r="BB303" s="271"/>
      <c r="BC303" s="120"/>
      <c r="BD303" s="109"/>
      <c r="BE303" s="109"/>
      <c r="BF303" s="138" t="str">
        <f>IF([15]回答表!X54="●",[15]回答表!S509,IF([15]回答表!AA54="●",[15]回答表!S532,""))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IF([15]回答表!X54="●",[15]回答表!BC511,IF([15]回答表!AA54="●",[15]回答表!BC534,""))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IF([15]回答表!X54="●",[15]回答表!V509,IF([15]回答表!AA54="●",[15]回答表!V532,""))</f>
        <v/>
      </c>
      <c r="BG306" s="151"/>
      <c r="BH306" s="151"/>
      <c r="BI306" s="151"/>
      <c r="BJ306" s="150" t="str">
        <f>IF([15]回答表!X54="●",[15]回答表!V510,IF([15]回答表!AA54="●",[15]回答表!V533,""))</f>
        <v/>
      </c>
      <c r="BK306" s="151"/>
      <c r="BL306" s="151"/>
      <c r="BM306" s="152"/>
      <c r="BN306" s="150" t="str">
        <f>IF([15]回答表!X54="●",[15]回答表!V511,IF([15]回答表!AA54="●",[15]回答表!V534,""))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IF([15]回答表!X54="●",[15]回答表!BC512,IF([15]回答表!AA54="●",[15]回答表!BC535,""))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IF([15]回答表!X54="●",[15]回答表!BC516,IF([15]回答表!AA54="●",[15]回答表!BC539,""))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IF([15]回答表!AA54="●","●","")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IF([15]回答表!X54="●",[15]回答表!BC513,IF([15]回答表!AA54="●",[15]回答表!BC536,""))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IF([15]回答表!X54="●",[15]回答表!BC514,IF([15]回答表!AA54="●",[15]回答表!BC537,""))</f>
        <v/>
      </c>
      <c r="AR311" s="271"/>
      <c r="AS311" s="271"/>
      <c r="AT311" s="271"/>
      <c r="AU311" s="222" t="s">
        <v>80</v>
      </c>
      <c r="AV311" s="223"/>
      <c r="AW311" s="223"/>
      <c r="AX311" s="224"/>
      <c r="AY311" s="281" t="str">
        <f>IF([15]回答表!X54="●",[15]回答表!BC517,IF([15]回答表!AA54="●",[15]回答表!BC540,""))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IF([15]回答表!X54="●",[15]回答表!E516,IF([15]回答表!AA54="●",[15]回答表!E538,""))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IF([15]回答表!X54="●",[15]回答表!B518,IF([15]回答表!AA54="●",[15]回答表!B540,""))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IF([15]回答表!AD54="●","●","")</f>
        <v/>
      </c>
      <c r="O322" s="131"/>
      <c r="P322" s="131"/>
      <c r="Q322" s="132"/>
      <c r="R322" s="119"/>
      <c r="S322" s="119"/>
      <c r="T322" s="119"/>
      <c r="U322" s="133" t="str">
        <f>IF([15]回答表!AD54="●",[15]回答表!B548,"")</f>
        <v/>
      </c>
      <c r="V322" s="134"/>
      <c r="W322" s="134"/>
      <c r="X322" s="134"/>
      <c r="Y322" s="134"/>
      <c r="Z322" s="134"/>
      <c r="AA322" s="134"/>
      <c r="AB322" s="134"/>
      <c r="AC322" s="134"/>
      <c r="AD322" s="134"/>
      <c r="AE322" s="134"/>
      <c r="AF322" s="134"/>
      <c r="AG322" s="134"/>
      <c r="AH322" s="134"/>
      <c r="AI322" s="134"/>
      <c r="AJ322" s="135"/>
      <c r="AK322" s="189"/>
      <c r="AL322" s="189"/>
      <c r="AM322" s="133" t="str">
        <f>IF([15]回答表!AD54="●",[15]回答表!B554,"")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IF([15]回答表!X55="●","●","")</f>
        <v/>
      </c>
      <c r="O333" s="131"/>
      <c r="P333" s="131"/>
      <c r="Q333" s="132"/>
      <c r="R333" s="119"/>
      <c r="S333" s="119"/>
      <c r="T333" s="119"/>
      <c r="U333" s="133" t="str">
        <f>IF([15]回答表!X55="●",[15]回答表!B565,IF([15]回答表!AA55="●",[15]回答表!B590,""))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IF([15]回答表!X55="●",[15]回答表!B575,IF([15]回答表!AA55="●",[15]回答表!B600,""))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IF([15]回答表!X55="●",[15]回答表!G571,IF([15]回答表!AA55="●",[15]回答表!G596,""))</f>
        <v/>
      </c>
      <c r="AN335" s="83"/>
      <c r="AO335" s="83"/>
      <c r="AP335" s="83"/>
      <c r="AQ335" s="83"/>
      <c r="AR335" s="83"/>
      <c r="AS335" s="83"/>
      <c r="AT335" s="153"/>
      <c r="AU335" s="82" t="str">
        <f>IF([15]回答表!X55="●",[15]回答表!G572,IF([15]回答表!AA55="●",[15]回答表!G597,""))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IF([15]回答表!X55="●",[15]回答表!E575,IF([15]回答表!AA55="●",[15]回答表!E600,""))</f>
        <v/>
      </c>
      <c r="BG336" s="151"/>
      <c r="BH336" s="151"/>
      <c r="BI336" s="151"/>
      <c r="BJ336" s="150" t="str">
        <f>IF([15]回答表!X55="●",[15]回答表!E576,IF([15]回答表!AA55="●",[15]回答表!E601,""))</f>
        <v/>
      </c>
      <c r="BK336" s="151"/>
      <c r="BL336" s="151"/>
      <c r="BM336" s="152"/>
      <c r="BN336" s="150" t="str">
        <f>IF([15]回答表!X55="●",[15]回答表!E577,IF([15]回答表!AA55="●",[15]回答表!E602,""))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IF([15]回答表!AA55="●","●","")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IF([15]回答表!X55="●",[15]回答表!E580,IF([15]回答表!AA55="●",[15]回答表!E605,""))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IF([15]回答表!X55="●",[15]回答表!B582,IF([15]回答表!AA55="●",[15]回答表!B607,""))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IF([15]回答表!AD55="●","●","")</f>
        <v/>
      </c>
      <c r="O352" s="131"/>
      <c r="P352" s="131"/>
      <c r="Q352" s="132"/>
      <c r="R352" s="119"/>
      <c r="S352" s="119"/>
      <c r="T352" s="119"/>
      <c r="U352" s="133" t="str">
        <f>IF([15]回答表!AD55="●",[15]回答表!B615,"")</f>
        <v/>
      </c>
      <c r="V352" s="134"/>
      <c r="W352" s="134"/>
      <c r="X352" s="134"/>
      <c r="Y352" s="134"/>
      <c r="Z352" s="134"/>
      <c r="AA352" s="134"/>
      <c r="AB352" s="134"/>
      <c r="AC352" s="134"/>
      <c r="AD352" s="134"/>
      <c r="AE352" s="134"/>
      <c r="AF352" s="134"/>
      <c r="AG352" s="134"/>
      <c r="AH352" s="134"/>
      <c r="AI352" s="134"/>
      <c r="AJ352" s="135"/>
      <c r="AK352" s="136"/>
      <c r="AL352" s="136"/>
      <c r="AM352" s="133" t="str">
        <f>IF([15]回答表!AD55="●",[15]回答表!B621,"")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IF([15]回答表!R56="●",[15]回答表!B634,"")</f>
        <v>令和2年4月1日より公営企業化し、また同年度中、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施設の統廃合等を検討したものの有利な検討結果が得られないため、現段階では現行の経営体制・手法の継続とした。</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D0079-7542-4720-807E-ACD2C6839FA0}">
  <dimension ref="A1:CN384"/>
  <sheetViews>
    <sheetView tabSelected="1"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IF(COUNTIF([16]回答表!K16,"*")&gt;0,[16]回答表!K16,"")</f>
        <v>由利本荘市</v>
      </c>
      <c r="D11" s="8"/>
      <c r="E11" s="8"/>
      <c r="F11" s="8"/>
      <c r="G11" s="8"/>
      <c r="H11" s="8"/>
      <c r="I11" s="8"/>
      <c r="J11" s="8"/>
      <c r="K11" s="8"/>
      <c r="L11" s="8"/>
      <c r="M11" s="8"/>
      <c r="N11" s="8"/>
      <c r="O11" s="8"/>
      <c r="P11" s="8"/>
      <c r="Q11" s="8"/>
      <c r="R11" s="8"/>
      <c r="S11" s="8"/>
      <c r="T11" s="8"/>
      <c r="U11" s="22" t="str">
        <f>IF(COUNTIF([16]回答表!F18,"*")&gt;0,[16]回答表!F18,"")</f>
        <v>ガス事業</v>
      </c>
      <c r="V11" s="23"/>
      <c r="W11" s="23"/>
      <c r="X11" s="23"/>
      <c r="Y11" s="23"/>
      <c r="Z11" s="23"/>
      <c r="AA11" s="23"/>
      <c r="AB11" s="23"/>
      <c r="AC11" s="23"/>
      <c r="AD11" s="23"/>
      <c r="AE11" s="23"/>
      <c r="AF11" s="10"/>
      <c r="AG11" s="10"/>
      <c r="AH11" s="10"/>
      <c r="AI11" s="10"/>
      <c r="AJ11" s="10"/>
      <c r="AK11" s="10"/>
      <c r="AL11" s="10"/>
      <c r="AM11" s="10"/>
      <c r="AN11" s="11"/>
      <c r="AO11" s="24" t="str">
        <f>IF(COUNTIF([16]回答表!W18,"*")&gt;0,[16]回答表!W18,"")</f>
        <v>―</v>
      </c>
      <c r="AP11" s="10"/>
      <c r="AQ11" s="10"/>
      <c r="AR11" s="10"/>
      <c r="AS11" s="10"/>
      <c r="AT11" s="10"/>
      <c r="AU11" s="10"/>
      <c r="AV11" s="10"/>
      <c r="AW11" s="10"/>
      <c r="AX11" s="10"/>
      <c r="AY11" s="10"/>
      <c r="AZ11" s="10"/>
      <c r="BA11" s="10"/>
      <c r="BB11" s="10"/>
      <c r="BC11" s="10"/>
      <c r="BD11" s="10"/>
      <c r="BE11" s="10"/>
      <c r="BF11" s="11"/>
      <c r="BG11" s="21" t="str">
        <f>IF(COUNTIF([16]回答表!F20,"*")&gt;0,[16]回答表!F20,"")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IF([16]回答表!R49="●","●","")</f>
        <v/>
      </c>
      <c r="E24" s="80"/>
      <c r="F24" s="80"/>
      <c r="G24" s="80"/>
      <c r="H24" s="80"/>
      <c r="I24" s="80"/>
      <c r="J24" s="81"/>
      <c r="K24" s="79" t="str">
        <f>IF([16]回答表!R50="●","●","")</f>
        <v/>
      </c>
      <c r="L24" s="80"/>
      <c r="M24" s="80"/>
      <c r="N24" s="80"/>
      <c r="O24" s="80"/>
      <c r="P24" s="80"/>
      <c r="Q24" s="81"/>
      <c r="R24" s="79" t="str">
        <f>IF([16]回答表!R51="●","●","")</f>
        <v/>
      </c>
      <c r="S24" s="80"/>
      <c r="T24" s="80"/>
      <c r="U24" s="80"/>
      <c r="V24" s="80"/>
      <c r="W24" s="80"/>
      <c r="X24" s="81"/>
      <c r="Y24" s="79" t="str">
        <f>IF([16]回答表!R52="●","●","")</f>
        <v/>
      </c>
      <c r="Z24" s="80"/>
      <c r="AA24" s="80"/>
      <c r="AB24" s="80"/>
      <c r="AC24" s="80"/>
      <c r="AD24" s="80"/>
      <c r="AE24" s="81"/>
      <c r="AF24" s="79" t="str">
        <f>IF([16]回答表!R53="●","●","")</f>
        <v/>
      </c>
      <c r="AG24" s="80"/>
      <c r="AH24" s="80"/>
      <c r="AI24" s="80"/>
      <c r="AJ24" s="80"/>
      <c r="AK24" s="80"/>
      <c r="AL24" s="81"/>
      <c r="AM24" s="79" t="str">
        <f>IF([16]回答表!R54="●","●","")</f>
        <v/>
      </c>
      <c r="AN24" s="80"/>
      <c r="AO24" s="80"/>
      <c r="AP24" s="80"/>
      <c r="AQ24" s="80"/>
      <c r="AR24" s="80"/>
      <c r="AS24" s="81"/>
      <c r="AT24" s="79" t="str">
        <f>IF([16]回答表!R55="●","●","")</f>
        <v/>
      </c>
      <c r="AU24" s="80"/>
      <c r="AV24" s="80"/>
      <c r="AW24" s="80"/>
      <c r="AX24" s="80"/>
      <c r="AY24" s="80"/>
      <c r="AZ24" s="81"/>
      <c r="BA24" s="68"/>
      <c r="BB24" s="82" t="str">
        <f>IF([16]回答表!R56="●","●","")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IF([16]回答表!X49="●","●","")</f>
        <v/>
      </c>
      <c r="O36" s="131"/>
      <c r="P36" s="131"/>
      <c r="Q36" s="132"/>
      <c r="R36" s="119"/>
      <c r="S36" s="119"/>
      <c r="T36" s="119"/>
      <c r="U36" s="133" t="str">
        <f>IF([16]回答表!X49="●",[16]回答表!B67,IF([16]回答表!AA49="●",[16]回答表!B95,""))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IF([16]回答表!X49="●",[16]回答表!S73,IF([16]回答表!AA49="●",[16]回答表!S101,""))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IF([16]回答表!X49="●",[16]回答表!G73,IF([16]回答表!AA49="●",[16]回答表!G101,""))</f>
        <v/>
      </c>
      <c r="AN38" s="83"/>
      <c r="AO38" s="83"/>
      <c r="AP38" s="83"/>
      <c r="AQ38" s="83"/>
      <c r="AR38" s="83"/>
      <c r="AS38" s="83"/>
      <c r="AT38" s="153"/>
      <c r="AU38" s="82" t="str">
        <f>IF([16]回答表!X49="●",[16]回答表!G74,IF([16]回答表!AA49="●",[16]回答表!G102,""))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IF([16]回答表!X49="●",[16]回答表!V73,IF([16]回答表!AA49="●",[16]回答表!V101,""))</f>
        <v/>
      </c>
      <c r="BG39" s="16"/>
      <c r="BH39" s="16"/>
      <c r="BI39" s="17"/>
      <c r="BJ39" s="150" t="str">
        <f>IF([16]回答表!X49="●",[16]回答表!V74,IF([16]回答表!AA49="●",[16]回答表!V102,""))</f>
        <v/>
      </c>
      <c r="BK39" s="16"/>
      <c r="BL39" s="16"/>
      <c r="BM39" s="17"/>
      <c r="BN39" s="150" t="str">
        <f>IF([16]回答表!X49="●",[16]回答表!V75,IF([16]回答表!AA49="●",[16]回答表!V103,""))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IF([16]回答表!X49="●",[16]回答表!O79,IF([16]回答表!AA49="●",[16]回答表!O107,""))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IF([16]回答表!X49="●",[16]回答表!O80,IF([16]回答表!AA49="●",[16]回答表!O108,""))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IF([16]回答表!AA49="●","●","")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IF([16]回答表!X49="●",[16]回答表!O81,IF([16]回答表!AA49="●",[16]回答表!O109,""))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IF([16]回答表!X49="●",[16]回答表!O82,IF([16]回答表!AA49="●",[16]回答表!O110,""))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IF([16]回答表!X49="●",[16]回答表!AG79,IF([16]回答表!AA49="●",[16]回答表!AG107,""))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IF([16]回答表!X49="●",[16]回答表!AG80,IF([16]回答表!AA49="●",[16]回答表!AG108,""))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IF([16]回答表!X49="●",[16]回答表!E85,IF([16]回答表!AA49="●",[16]回答表!E113,""))</f>
        <v/>
      </c>
      <c r="V50" s="182"/>
      <c r="W50" s="182"/>
      <c r="X50" s="182"/>
      <c r="Y50" s="182"/>
      <c r="Z50" s="182"/>
      <c r="AA50" s="182"/>
      <c r="AB50" s="182"/>
      <c r="AC50" s="182"/>
      <c r="AD50" s="182"/>
      <c r="AE50" s="183" t="s">
        <v>33</v>
      </c>
      <c r="AF50" s="183"/>
      <c r="AG50" s="183"/>
      <c r="AH50" s="183"/>
      <c r="AI50" s="183"/>
      <c r="AJ50" s="184"/>
      <c r="AK50" s="136"/>
      <c r="AL50" s="136"/>
      <c r="AM50" s="133" t="str">
        <f>IF([16]回答表!X49="●",[16]回答表!B87,IF([16]回答表!AA49="●",[16]回答表!B115,""))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IF([16]回答表!AD49="●","●","")</f>
        <v/>
      </c>
      <c r="O57" s="131"/>
      <c r="P57" s="131"/>
      <c r="Q57" s="132"/>
      <c r="R57" s="119"/>
      <c r="S57" s="119"/>
      <c r="T57" s="119"/>
      <c r="U57" s="133" t="str">
        <f>IF([16]回答表!AD49="●",[16]回答表!B123,"")</f>
        <v/>
      </c>
      <c r="V57" s="134"/>
      <c r="W57" s="134"/>
      <c r="X57" s="134"/>
      <c r="Y57" s="134"/>
      <c r="Z57" s="134"/>
      <c r="AA57" s="134"/>
      <c r="AB57" s="134"/>
      <c r="AC57" s="134"/>
      <c r="AD57" s="134"/>
      <c r="AE57" s="134"/>
      <c r="AF57" s="134"/>
      <c r="AG57" s="134"/>
      <c r="AH57" s="134"/>
      <c r="AI57" s="134"/>
      <c r="AJ57" s="135"/>
      <c r="AK57" s="189"/>
      <c r="AL57" s="189"/>
      <c r="AM57" s="133" t="str">
        <f>IF([16]回答表!AD49="●",[16]回答表!B128,"")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IF([16]回答表!X50="●","●","")</f>
        <v/>
      </c>
      <c r="O68" s="131"/>
      <c r="P68" s="131"/>
      <c r="Q68" s="132"/>
      <c r="R68" s="119"/>
      <c r="S68" s="119"/>
      <c r="T68" s="119"/>
      <c r="U68" s="133" t="str">
        <f>IF([16]回答表!X50="●",[16]回答表!B138,IF([16]回答表!AA50="●",[16]回答表!B159,""))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IF([16]回答表!X50="●",[16]回答表!S144,IF([16]回答表!AA50="●",[16]回答表!S165,""))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IF([16]回答表!X50="●",[16]回答表!J144,IF([16]回答表!AA50="●",[16]回答表!J165,""))</f>
        <v/>
      </c>
      <c r="AN71" s="83"/>
      <c r="AO71" s="83"/>
      <c r="AP71" s="83"/>
      <c r="AQ71" s="83"/>
      <c r="AR71" s="83"/>
      <c r="AS71" s="83"/>
      <c r="AT71" s="153"/>
      <c r="AU71" s="82" t="str">
        <f>IF([16]回答表!X50="●",[16]回答表!J145,IF([16]回答表!AA50="●",[16]回答表!J166,""))</f>
        <v/>
      </c>
      <c r="AV71" s="83"/>
      <c r="AW71" s="83"/>
      <c r="AX71" s="83"/>
      <c r="AY71" s="83"/>
      <c r="AZ71" s="83"/>
      <c r="BA71" s="83"/>
      <c r="BB71" s="153"/>
      <c r="BC71" s="120"/>
      <c r="BD71" s="109"/>
      <c r="BE71" s="109"/>
      <c r="BF71" s="150" t="str">
        <f>IF([16]回答表!X50="●",[16]回答表!V144,IF([16]回答表!AA50="●",[16]回答表!V165,""))</f>
        <v/>
      </c>
      <c r="BG71" s="151"/>
      <c r="BH71" s="151"/>
      <c r="BI71" s="151"/>
      <c r="BJ71" s="150" t="str">
        <f>IF([16]回答表!X50="●",[16]回答表!V145,IF([16]回答表!AA50="●",[16]回答表!V166,""))</f>
        <v/>
      </c>
      <c r="BK71" s="151"/>
      <c r="BL71" s="151"/>
      <c r="BM71" s="151"/>
      <c r="BN71" s="150" t="str">
        <f>IF([16]回答表!X50="●",[16]回答表!V146,IF([16]回答表!AA50="●",[16]回答表!V167,""))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IF([16]回答表!AA50="●","●","")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IF([16]回答表!X50="●",[16]回答表!E149,IF([16]回答表!AA50="●",[16]回答表!E170,""))</f>
        <v/>
      </c>
      <c r="V80" s="182"/>
      <c r="W80" s="182"/>
      <c r="X80" s="182"/>
      <c r="Y80" s="182"/>
      <c r="Z80" s="182"/>
      <c r="AA80" s="182"/>
      <c r="AB80" s="182"/>
      <c r="AC80" s="182"/>
      <c r="AD80" s="182"/>
      <c r="AE80" s="183" t="s">
        <v>33</v>
      </c>
      <c r="AF80" s="183"/>
      <c r="AG80" s="183"/>
      <c r="AH80" s="183"/>
      <c r="AI80" s="183"/>
      <c r="AJ80" s="184"/>
      <c r="AK80" s="136"/>
      <c r="AL80" s="136"/>
      <c r="AM80" s="133" t="str">
        <f>IF([16]回答表!X50="●",[16]回答表!B151,IF([16]回答表!AA50="●",[16]回答表!B172,""))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IF([16]回答表!AD50="●","●","")</f>
        <v/>
      </c>
      <c r="O87" s="131"/>
      <c r="P87" s="131"/>
      <c r="Q87" s="132"/>
      <c r="R87" s="119"/>
      <c r="S87" s="119"/>
      <c r="T87" s="119"/>
      <c r="U87" s="133" t="str">
        <f>IF([16]回答表!AD50="●",[16]回答表!B180,"")</f>
        <v/>
      </c>
      <c r="V87" s="134"/>
      <c r="W87" s="134"/>
      <c r="X87" s="134"/>
      <c r="Y87" s="134"/>
      <c r="Z87" s="134"/>
      <c r="AA87" s="134"/>
      <c r="AB87" s="134"/>
      <c r="AC87" s="134"/>
      <c r="AD87" s="134"/>
      <c r="AE87" s="134"/>
      <c r="AF87" s="134"/>
      <c r="AG87" s="134"/>
      <c r="AH87" s="134"/>
      <c r="AI87" s="134"/>
      <c r="AJ87" s="135"/>
      <c r="AK87" s="189"/>
      <c r="AL87" s="189"/>
      <c r="AM87" s="133" t="str">
        <f>IF([16]回答表!AD50="●",[16]回答表!B186,"")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IF([16]回答表!F18="水道事業",IF([16]回答表!X51="●","●",""),"")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IF([16]回答表!F18="水道事業",IF([16]回答表!X51="●",[16]回答表!B197,IF([16]回答表!AA51="●",[16]回答表!B275,"")),"")</f>
        <v/>
      </c>
      <c r="AN99" s="134"/>
      <c r="AO99" s="134"/>
      <c r="AP99" s="134"/>
      <c r="AQ99" s="134"/>
      <c r="AR99" s="134"/>
      <c r="AS99" s="134"/>
      <c r="AT99" s="134"/>
      <c r="AU99" s="134"/>
      <c r="AV99" s="134"/>
      <c r="AW99" s="134"/>
      <c r="AX99" s="134"/>
      <c r="AY99" s="134"/>
      <c r="AZ99" s="134"/>
      <c r="BA99" s="134"/>
      <c r="BB99" s="134"/>
      <c r="BC99" s="135"/>
      <c r="BD99" s="109"/>
      <c r="BE99" s="109"/>
      <c r="BF99" s="138" t="str">
        <f>IF([16]回答表!F18="水道事業",IF([16]回答表!X51="●",[16]回答表!B256,IF([16]回答表!AA51="●",[16]回答表!B335,"")),"")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IF([16]回答表!F18="水道事業",IF([16]回答表!X51="●",[16]回答表!J205,IF([16]回答表!AA51="●",[16]回答表!J283,"")),"")</f>
        <v/>
      </c>
      <c r="V101" s="83"/>
      <c r="W101" s="83"/>
      <c r="X101" s="83"/>
      <c r="Y101" s="83"/>
      <c r="Z101" s="83"/>
      <c r="AA101" s="83"/>
      <c r="AB101" s="153"/>
      <c r="AC101" s="82" t="str">
        <f>IF([16]回答表!F18="水道事業",IF([16]回答表!X51="●",[16]回答表!J210,IF([16]回答表!AA51="●",[16]回答表!J290,"")),"")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IF([16]回答表!F18="水道事業",IF([16]回答表!X51="●",[16]回答表!E256,IF([16]回答表!AA51="●",[16]回答表!E335,"")),"")</f>
        <v/>
      </c>
      <c r="BG102" s="151"/>
      <c r="BH102" s="151"/>
      <c r="BI102" s="151"/>
      <c r="BJ102" s="150" t="str">
        <f>IF([16]回答表!F18="水道事業",IF([16]回答表!X51="●",[16]回答表!E257,IF([16]回答表!AA51="●",[16]回答表!E336,"")),"")</f>
        <v/>
      </c>
      <c r="BK102" s="151"/>
      <c r="BL102" s="151"/>
      <c r="BM102" s="151"/>
      <c r="BN102" s="150" t="str">
        <f>IF([16]回答表!F18="水道事業",IF([16]回答表!X51="●",[16]回答表!E258,IF([16]回答表!AA51="●",[16]回答表!E337,"")),"")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IF([16]回答表!F18="水道事業",IF([16]回答表!AA51="●","●",""),"")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IF([16]回答表!F18="水道事業",IF([16]回答表!X51="●",[16]回答表!J213,IF([16]回答表!AA51="●",[16]回答表!J293,"")),"")</f>
        <v/>
      </c>
      <c r="V106" s="83"/>
      <c r="W106" s="83"/>
      <c r="X106" s="83"/>
      <c r="Y106" s="83"/>
      <c r="Z106" s="83"/>
      <c r="AA106" s="83"/>
      <c r="AB106" s="153"/>
      <c r="AC106" s="82" t="str">
        <f>IF([16]回答表!F18="水道事業",IF([16]回答表!X51="●",[16]回答表!J217,IF([16]回答表!AA51="●",[16]回答表!J297,"")),"")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IF([16]回答表!F18="水道事業",IF([16]回答表!X51="●",[16]回答表!E265,IF([16]回答表!AA51="●",[16]回答表!E344,"")),"")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IF([16]回答表!F18="水道事業",IF([16]回答表!X51="●",[16]回答表!B267,IF([16]回答表!AA51="●",[16]回答表!B346,"")),"")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IF([16]回答表!F18="水道事業",IF([16]回答表!AD51="●","●",""),"")</f>
        <v/>
      </c>
      <c r="O118" s="131"/>
      <c r="P118" s="131"/>
      <c r="Q118" s="132"/>
      <c r="R118" s="119"/>
      <c r="S118" s="119"/>
      <c r="T118" s="119"/>
      <c r="U118" s="133" t="str">
        <f>IF([16]回答表!F18="水道事業",IF([16]回答表!AD51="●",[16]回答表!B354,""),"")</f>
        <v/>
      </c>
      <c r="V118" s="134"/>
      <c r="W118" s="134"/>
      <c r="X118" s="134"/>
      <c r="Y118" s="134"/>
      <c r="Z118" s="134"/>
      <c r="AA118" s="134"/>
      <c r="AB118" s="134"/>
      <c r="AC118" s="134"/>
      <c r="AD118" s="134"/>
      <c r="AE118" s="134"/>
      <c r="AF118" s="134"/>
      <c r="AG118" s="134"/>
      <c r="AH118" s="134"/>
      <c r="AI118" s="134"/>
      <c r="AJ118" s="135"/>
      <c r="AK118" s="189"/>
      <c r="AL118" s="189"/>
      <c r="AM118" s="133" t="str">
        <f>IF([16]回答表!F18="水道事業",IF([16]回答表!AD51="●",[16]回答表!B360,""),"")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IF([16]回答表!F18="簡易水道事業",IF([16]回答表!X51="●",[16]回答表!B197,IF([16]回答表!AA51="●",[16]回答表!B275,"")),"")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IF([16]回答表!F18="簡易水道事業",IF([16]回答表!X51="●",[16]回答表!B256,IF([16]回答表!AA51="●",[16]回答表!B335,"")),"")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IF([16]回答表!F18="簡易水道事業",IF([16]回答表!X51="●","●",""),"")</f>
        <v/>
      </c>
      <c r="O132" s="131"/>
      <c r="P132" s="131"/>
      <c r="Q132" s="132"/>
      <c r="R132" s="119"/>
      <c r="S132" s="119"/>
      <c r="T132" s="119"/>
      <c r="U132" s="82" t="str">
        <f>IF([16]回答表!F18="簡易水道事業",IF([16]回答表!X51="●",[16]回答表!S224,IF([16]回答表!AA51="●",[16]回答表!S304,"")),"")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IF([16]回答表!F18="簡易水道事業",IF([16]回答表!X51="●",[16]回答表!E256,IF([16]回答表!AA51="●",[16]回答表!E335,"")),"")</f>
        <v/>
      </c>
      <c r="BG133" s="151"/>
      <c r="BH133" s="151"/>
      <c r="BI133" s="151"/>
      <c r="BJ133" s="150" t="str">
        <f>IF([16]回答表!F18="簡易水道事業",IF([16]回答表!X51="●",[16]回答表!E257,IF([16]回答表!AA51="●",[16]回答表!E336,"")),"")</f>
        <v/>
      </c>
      <c r="BK133" s="151"/>
      <c r="BL133" s="151"/>
      <c r="BM133" s="151"/>
      <c r="BN133" s="150" t="str">
        <f>IF([16]回答表!F18="簡易水道事業",IF([16]回答表!X51="●",[16]回答表!E258,IF([16]回答表!AA51="●",[16]回答表!E337,"")),"")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IF([16]回答表!F18="簡易水道事業",IF([16]回答表!X51="●",[16]回答表!S225,IF([16]回答表!AA51="●",[16]回答表!S305,"")),"")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IF([16]回答表!F18="簡易水道事業",IF([16]回答表!AA51="●","●",""),"")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IF([16]回答表!F18="簡易水道事業",IF([16]回答表!X51="●",[16]回答表!S226,IF([16]回答表!AA51="●",[16]回答表!S306,"")),"")</f>
        <v/>
      </c>
      <c r="V142" s="83"/>
      <c r="W142" s="83"/>
      <c r="X142" s="83"/>
      <c r="Y142" s="83"/>
      <c r="Z142" s="83"/>
      <c r="AA142" s="83"/>
      <c r="AB142" s="83"/>
      <c r="AC142" s="83"/>
      <c r="AD142" s="83"/>
      <c r="AE142" s="83"/>
      <c r="AF142" s="83"/>
      <c r="AG142" s="83"/>
      <c r="AH142" s="83"/>
      <c r="AI142" s="83"/>
      <c r="AJ142" s="153"/>
      <c r="AK142" s="68"/>
      <c r="AL142" s="68"/>
      <c r="AM142" s="231" t="str">
        <f>IF([16]回答表!F18="簡易水道事業",IF([16]回答表!X51="●",[16]回答表!Y228,IF([16]回答表!AA51="●",[16]回答表!Y308,"")),"")</f>
        <v/>
      </c>
      <c r="AN142" s="231"/>
      <c r="AO142" s="231"/>
      <c r="AP142" s="231"/>
      <c r="AQ142" s="231"/>
      <c r="AR142" s="231"/>
      <c r="AS142" s="231" t="str">
        <f>IF([16]回答表!F18="簡易水道事業",IF([16]回答表!X51="●",[16]回答表!Y229,IF([16]回答表!AA51="●",[16]回答表!Y309,"")),"")</f>
        <v/>
      </c>
      <c r="AT142" s="231"/>
      <c r="AU142" s="231"/>
      <c r="AV142" s="231"/>
      <c r="AW142" s="231"/>
      <c r="AX142" s="231"/>
      <c r="AY142" s="231" t="str">
        <f>IF([16]回答表!F18="簡易水道事業",IF([16]回答表!X51="●",[16]回答表!Y230,IF([16]回答表!AA51="●",[16]回答表!Y310,"")),"")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IF([16]回答表!F18="簡易水道事業",IF([16]回答表!X51="●",[16]回答表!E265,IF([16]回答表!AA51="●",[16]回答表!E344,"")),"")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IF([16]回答表!F18="簡易水道事業",IF([16]回答表!X51="●",[16]回答表!B267,IF([16]回答表!AA51="●",[16]回答表!B346,"")),"")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IF([16]回答表!F18="簡易水道事業",IF([16]回答表!AD51="●","●",""),"")</f>
        <v/>
      </c>
      <c r="O154" s="131"/>
      <c r="P154" s="131"/>
      <c r="Q154" s="132"/>
      <c r="R154" s="119"/>
      <c r="S154" s="119"/>
      <c r="T154" s="119"/>
      <c r="U154" s="133" t="str">
        <f>IF([16]回答表!F18="簡易水道事業",IF([16]回答表!AD51="●",[16]回答表!B354,""),"")</f>
        <v/>
      </c>
      <c r="V154" s="134"/>
      <c r="W154" s="134"/>
      <c r="X154" s="134"/>
      <c r="Y154" s="134"/>
      <c r="Z154" s="134"/>
      <c r="AA154" s="134"/>
      <c r="AB154" s="134"/>
      <c r="AC154" s="134"/>
      <c r="AD154" s="134"/>
      <c r="AE154" s="134"/>
      <c r="AF154" s="134"/>
      <c r="AG154" s="134"/>
      <c r="AH154" s="134"/>
      <c r="AI154" s="134"/>
      <c r="AJ154" s="135"/>
      <c r="AK154" s="189"/>
      <c r="AL154" s="189"/>
      <c r="AM154" s="133" t="str">
        <f>IF([16]回答表!F18="簡易水道事業",IF([16]回答表!AD51="●",[16]回答表!B360,""),"")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IF([16]回答表!F18="下水道事業",IF([16]回答表!X51="●","●",""),"")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IF([16]回答表!F18="下水道事業",IF([16]回答表!X51="●",[16]回答表!B197,IF([16]回答表!AA51="●",[16]回答表!B275,"")),"")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IF([16]回答表!F18="下水道事業",IF([16]回答表!X51="●",[16]回答表!B256,IF([16]回答表!AA51="●",[16]回答表!B335,"")),"")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IF([16]回答表!F18="下水道事業",IF([16]回答表!X51="●",[16]回答表!N234,IF([16]回答表!AA51="●",[16]回答表!N314,"")),"")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IF([16]回答表!F18="下水道事業",IF([16]回答表!X51="●",[16]回答表!E256,IF([16]回答表!AA51="●",[16]回答表!E335,"")),"")</f>
        <v/>
      </c>
      <c r="BG169" s="151"/>
      <c r="BH169" s="151"/>
      <c r="BI169" s="151"/>
      <c r="BJ169" s="150" t="str">
        <f>IF([16]回答表!F18="下水道事業",IF([16]回答表!X51="●",[16]回答表!E257,IF([16]回答表!AA51="●",[16]回答表!E336,"")),"")</f>
        <v/>
      </c>
      <c r="BK169" s="151"/>
      <c r="BL169" s="151"/>
      <c r="BM169" s="151"/>
      <c r="BN169" s="150" t="str">
        <f>IF([16]回答表!F18="下水道事業",IF([16]回答表!X51="●",[16]回答表!E258,IF([16]回答表!AA51="●",[16]回答表!E337,"")),"")</f>
        <v/>
      </c>
      <c r="BO169" s="151"/>
      <c r="BP169" s="151"/>
      <c r="BQ169" s="152"/>
      <c r="BR169" s="112"/>
      <c r="BX169" s="234" t="str">
        <f>IF([16]回答表!AQ21="下水道事業",IF([16]回答表!BI54="○",[16]回答表!AM200,IF([16]回答表!BL54="○",[16]回答表!AM278,"")),"")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IF([16]回答表!F18="下水道事業",IF([16]回答表!X51="●",[16]回答表!Y236,IF([16]回答表!AA51="●",[16]回答表!Y316,"")),"")</f>
        <v/>
      </c>
      <c r="V174" s="83"/>
      <c r="W174" s="83"/>
      <c r="X174" s="83"/>
      <c r="Y174" s="83"/>
      <c r="Z174" s="83"/>
      <c r="AA174" s="83"/>
      <c r="AB174" s="153"/>
      <c r="AC174" s="82" t="str">
        <f>IF([16]回答表!F18="下水道事業",IF([16]回答表!X51="●",[16]回答表!Y237,IF([16]回答表!AA51="●",[16]回答表!Y317,"")),"")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IF([16]回答表!F18="下水道事業",IF([16]回答表!X51="●",[16]回答表!Y239,IF([16]回答表!AA51="●",[16]回答表!Y319,"")),"")</f>
        <v/>
      </c>
      <c r="V180" s="83"/>
      <c r="W180" s="83"/>
      <c r="X180" s="83"/>
      <c r="Y180" s="83"/>
      <c r="Z180" s="83"/>
      <c r="AA180" s="83"/>
      <c r="AB180" s="153"/>
      <c r="AC180" s="82" t="str">
        <f>IF([16]回答表!F18="下水道事業",IF([16]回答表!X51="●",[16]回答表!Y240,IF([16]回答表!AA51="●",[16]回答表!Y320,"")),"")</f>
        <v/>
      </c>
      <c r="AD180" s="83"/>
      <c r="AE180" s="83"/>
      <c r="AF180" s="83"/>
      <c r="AG180" s="83"/>
      <c r="AH180" s="83"/>
      <c r="AI180" s="83"/>
      <c r="AJ180" s="153"/>
      <c r="AK180" s="82" t="str">
        <f>IF([16]回答表!F18="下水道事業",IF([16]回答表!X51="●",[16]回答表!Y241,IF([16]回答表!AA51="●",[16]回答表!Y321,"")),"")</f>
        <v/>
      </c>
      <c r="AL180" s="83"/>
      <c r="AM180" s="83"/>
      <c r="AN180" s="83"/>
      <c r="AO180" s="83"/>
      <c r="AP180" s="83"/>
      <c r="AQ180" s="83"/>
      <c r="AR180" s="153"/>
      <c r="AS180" s="82" t="str">
        <f>IF([16]回答表!F18="下水道事業",IF([16]回答表!X51="●",[16]回答表!Y242,IF([16]回答表!AA51="●",[16]回答表!Y322,"")),"")</f>
        <v/>
      </c>
      <c r="AT180" s="83"/>
      <c r="AU180" s="83"/>
      <c r="AV180" s="83"/>
      <c r="AW180" s="83"/>
      <c r="AX180" s="83"/>
      <c r="AY180" s="83"/>
      <c r="AZ180" s="153"/>
      <c r="BA180" s="82" t="str">
        <f>IF([16]回答表!F18="下水道事業",IF([16]回答表!X51="●",[16]回答表!Y243,IF([16]回答表!AA51="●",[16]回答表!Y323,"")),"")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IF([16]回答表!F18="下水道事業",IF([16]回答表!AA51="●","●",""),"")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IF([16]回答表!F18="下水道事業",IF([16]回答表!X51="●",[16]回答表!N248,IF([16]回答表!AA51="●",[16]回答表!N328,"")),"")</f>
        <v/>
      </c>
      <c r="V186" s="83"/>
      <c r="W186" s="83"/>
      <c r="X186" s="83"/>
      <c r="Y186" s="83"/>
      <c r="Z186" s="83"/>
      <c r="AA186" s="83"/>
      <c r="AB186" s="153"/>
      <c r="AC186" s="82" t="str">
        <f>IF([16]回答表!F18="下水道事業",IF([16]回答表!X51="●",[16]回答表!N249,IF([16]回答表!AA51="●",[16]回答表!N329,"")),"")</f>
        <v/>
      </c>
      <c r="AD186" s="83"/>
      <c r="AE186" s="83"/>
      <c r="AF186" s="83"/>
      <c r="AG186" s="83"/>
      <c r="AH186" s="83"/>
      <c r="AI186" s="83"/>
      <c r="AJ186" s="153"/>
      <c r="AK186" s="82" t="str">
        <f>IF([16]回答表!F18="下水道事業",IF([16]回答表!X51="●",[16]回答表!N250,IF([16]回答表!AA51="●",[16]回答表!N330,"")),"")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IF([16]回答表!F18="下水道事業",IF([16]回答表!X51="●",[16]回答表!E265,IF([16]回答表!AA51="●",[16]回答表!E344,"")),"")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IF([16]回答表!F18="下水道事業",IF([16]回答表!X51="●",[16]回答表!B267,IF([16]回答表!AA51="●",[16]回答表!B346,"")),"")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IF([16]回答表!F18="下水道事業",IF([16]回答表!AD51="●","●",""),"")</f>
        <v/>
      </c>
      <c r="O198" s="131"/>
      <c r="P198" s="131"/>
      <c r="Q198" s="132"/>
      <c r="R198" s="119"/>
      <c r="S198" s="119"/>
      <c r="T198" s="119"/>
      <c r="U198" s="133" t="str">
        <f>IF([16]回答表!F18="下水道事業",IF([16]回答表!AD51="●",[16]回答表!B354,""),"")</f>
        <v/>
      </c>
      <c r="V198" s="134"/>
      <c r="W198" s="134"/>
      <c r="X198" s="134"/>
      <c r="Y198" s="134"/>
      <c r="Z198" s="134"/>
      <c r="AA198" s="134"/>
      <c r="AB198" s="134"/>
      <c r="AC198" s="134"/>
      <c r="AD198" s="134"/>
      <c r="AE198" s="134"/>
      <c r="AF198" s="134"/>
      <c r="AG198" s="134"/>
      <c r="AH198" s="134"/>
      <c r="AI198" s="134"/>
      <c r="AJ198" s="135"/>
      <c r="AK198" s="189"/>
      <c r="AL198" s="189"/>
      <c r="AM198" s="133" t="str">
        <f>IF([16]回答表!F18="下水道事業",IF([16]回答表!AD51="●",[16]回答表!B360,""),"")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IF([16]回答表!BD18="●",IF([16]回答表!X51="●","●",""),"")</f>
        <v/>
      </c>
      <c r="O210" s="131"/>
      <c r="P210" s="131"/>
      <c r="Q210" s="132"/>
      <c r="R210" s="119"/>
      <c r="S210" s="119"/>
      <c r="T210" s="119"/>
      <c r="U210" s="133" t="str">
        <f>IF([16]回答表!BD18="●",IF([16]回答表!X51="●",[16]回答表!B197,IF([16]回答表!AA51="●",[16]回答表!B275,"")),"")</f>
        <v/>
      </c>
      <c r="V210" s="134"/>
      <c r="W210" s="134"/>
      <c r="X210" s="134"/>
      <c r="Y210" s="134"/>
      <c r="Z210" s="134"/>
      <c r="AA210" s="134"/>
      <c r="AB210" s="134"/>
      <c r="AC210" s="134"/>
      <c r="AD210" s="134"/>
      <c r="AE210" s="134"/>
      <c r="AF210" s="134"/>
      <c r="AG210" s="134"/>
      <c r="AH210" s="134"/>
      <c r="AI210" s="134"/>
      <c r="AJ210" s="135"/>
      <c r="AK210" s="136"/>
      <c r="AL210" s="136"/>
      <c r="AM210" s="138" t="str">
        <f>IF([16]回答表!BD18="●",IF([16]回答表!X51="●",[16]回答表!B256,IF([16]回答表!AA51="●",[16]回答表!B335,"")),"")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IF([16]回答表!BD18="●",IF([16]回答表!X51="●",[16]回答表!E256,IF([16]回答表!AA51="●",[16]回答表!E335,"")),"")</f>
        <v/>
      </c>
      <c r="AN213" s="151"/>
      <c r="AO213" s="151"/>
      <c r="AP213" s="151"/>
      <c r="AQ213" s="150" t="str">
        <f>IF([16]回答表!BD18="●",IF([16]回答表!X51="●",[16]回答表!E257,IF([16]回答表!AA51="●",[16]回答表!E336,"")),"")</f>
        <v/>
      </c>
      <c r="AR213" s="151"/>
      <c r="AS213" s="151"/>
      <c r="AT213" s="151"/>
      <c r="AU213" s="150" t="str">
        <f>IF([16]回答表!BD18="●",IF([16]回答表!X51="●",[16]回答表!E258,IF([16]回答表!AA51="●",[16]回答表!E337,"")),"")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IF([16]回答表!BD18="●",IF([16]回答表!AA51="●","●",""),"")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IF([16]回答表!BD18="●",IF([16]回答表!X51="●",[16]回答表!E265,IF([16]回答表!AA51="●",[16]回答表!E344,"")),"")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IF([16]回答表!BD18="●",IF([16]回答表!X51="●",[16]回答表!B267,IF([16]回答表!AA51="●",[16]回答表!B346,"")),"")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IF([16]回答表!BD18="●",IF([16]回答表!AD51="●","●",""),"")</f>
        <v/>
      </c>
      <c r="O229" s="131"/>
      <c r="P229" s="131"/>
      <c r="Q229" s="132"/>
      <c r="R229" s="119"/>
      <c r="S229" s="119"/>
      <c r="T229" s="119"/>
      <c r="U229" s="133" t="str">
        <f>IF([16]回答表!BD18="●",IF([16]回答表!AD51="●",[16]回答表!B354,""),"")</f>
        <v/>
      </c>
      <c r="V229" s="134"/>
      <c r="W229" s="134"/>
      <c r="X229" s="134"/>
      <c r="Y229" s="134"/>
      <c r="Z229" s="134"/>
      <c r="AA229" s="134"/>
      <c r="AB229" s="134"/>
      <c r="AC229" s="134"/>
      <c r="AD229" s="134"/>
      <c r="AE229" s="134"/>
      <c r="AF229" s="134"/>
      <c r="AG229" s="134"/>
      <c r="AH229" s="134"/>
      <c r="AI229" s="134"/>
      <c r="AJ229" s="135"/>
      <c r="AK229" s="249"/>
      <c r="AL229" s="249"/>
      <c r="AM229" s="133" t="str">
        <f>IF([16]回答表!BD18="●",IF([16]回答表!AD51="●",[16]回答表!B360,""),"")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IF([16]回答表!X52="●","●","")</f>
        <v/>
      </c>
      <c r="O241" s="131"/>
      <c r="P241" s="131"/>
      <c r="Q241" s="132"/>
      <c r="R241" s="119"/>
      <c r="S241" s="119"/>
      <c r="T241" s="119"/>
      <c r="U241" s="133" t="str">
        <f>IF([16]回答表!X52="●",[16]回答表!B371,IF([16]回答表!AA52="●",[16]回答表!B396,""))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IF([16]回答表!X52="●",[16]回答表!U377,IF([16]回答表!AA52="●",[16]回答表!U402,""))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IF([16]回答表!X52="●",[16]回答表!G377,IF([16]回答表!AA52="●",[16]回答表!G402,""))</f>
        <v/>
      </c>
      <c r="AN244" s="83"/>
      <c r="AO244" s="83"/>
      <c r="AP244" s="83"/>
      <c r="AQ244" s="83"/>
      <c r="AR244" s="83"/>
      <c r="AS244" s="83"/>
      <c r="AT244" s="153"/>
      <c r="AU244" s="82" t="str">
        <f>IF([16]回答表!X52="●",[16]回答表!G378,IF([16]回答表!AA52="●",[16]回答表!G403,""))</f>
        <v/>
      </c>
      <c r="AV244" s="83"/>
      <c r="AW244" s="83"/>
      <c r="AX244" s="83"/>
      <c r="AY244" s="83"/>
      <c r="AZ244" s="83"/>
      <c r="BA244" s="83"/>
      <c r="BB244" s="153"/>
      <c r="BC244" s="120"/>
      <c r="BD244" s="109"/>
      <c r="BE244" s="109"/>
      <c r="BF244" s="150" t="str">
        <f>IF([16]回答表!X52="●",[16]回答表!X377,IF([16]回答表!AA52="●",[16]回答表!X402,""))</f>
        <v/>
      </c>
      <c r="BG244" s="151"/>
      <c r="BH244" s="151"/>
      <c r="BI244" s="151"/>
      <c r="BJ244" s="150" t="str">
        <f>IF([16]回答表!X52="●",[16]回答表!X378,IF([16]回答表!AA52="●",[16]回答表!X403,""))</f>
        <v/>
      </c>
      <c r="BK244" s="151"/>
      <c r="BL244" s="151"/>
      <c r="BM244" s="152"/>
      <c r="BN244" s="150" t="str">
        <f>IF([16]回答表!X52="●",[16]回答表!X379,IF([16]回答表!AA52="●",[16]回答表!X404,""))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IF([16]回答表!AA52="●","●","")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IF([16]回答表!X52="●",[16]回答表!E386,IF([16]回答表!AA52="●",[16]回答表!E407,""))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IF([16]回答表!X52="●",[16]回答表!B388,IF([16]回答表!AA52="●",[16]回答表!B409,""))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IF([16]回答表!AD52="●","●","")</f>
        <v/>
      </c>
      <c r="O260" s="131"/>
      <c r="P260" s="131"/>
      <c r="Q260" s="132"/>
      <c r="R260" s="119"/>
      <c r="S260" s="119"/>
      <c r="T260" s="119"/>
      <c r="U260" s="133" t="str">
        <f>IF([16]回答表!AD52="●",[16]回答表!B417,"")</f>
        <v/>
      </c>
      <c r="V260" s="134"/>
      <c r="W260" s="134"/>
      <c r="X260" s="134"/>
      <c r="Y260" s="134"/>
      <c r="Z260" s="134"/>
      <c r="AA260" s="134"/>
      <c r="AB260" s="134"/>
      <c r="AC260" s="134"/>
      <c r="AD260" s="134"/>
      <c r="AE260" s="134"/>
      <c r="AF260" s="134"/>
      <c r="AG260" s="134"/>
      <c r="AH260" s="134"/>
      <c r="AI260" s="134"/>
      <c r="AJ260" s="135"/>
      <c r="AK260" s="249"/>
      <c r="AL260" s="249"/>
      <c r="AM260" s="133" t="str">
        <f>IF([16]回答表!AD52="●",[16]回答表!B423,"")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IF([16]回答表!X53="●","●","")</f>
        <v/>
      </c>
      <c r="O272" s="131"/>
      <c r="P272" s="131"/>
      <c r="Q272" s="132"/>
      <c r="R272" s="119"/>
      <c r="S272" s="119"/>
      <c r="T272" s="119"/>
      <c r="U272" s="133" t="str">
        <f>IF([16]回答表!X53="●",[16]回答表!B434,IF([16]回答表!AA53="●",[16]回答表!B465,""))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IF([16]回答表!X53="●",[16]回答表!B440,"")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IF([16]回答表!X53="●",[16]回答表!B446,IF([16]回答表!AA53="●",[16]回答表!B471,""))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IF([16]回答表!X53="●",[16]回答表!E446,IF([16]回答表!AA53="●",[16]回答表!E471,""))</f>
        <v/>
      </c>
      <c r="BG275" s="151"/>
      <c r="BH275" s="151"/>
      <c r="BI275" s="151"/>
      <c r="BJ275" s="150" t="str">
        <f>IF([16]回答表!X53="●",[16]回答表!E447,IF([16]回答表!AA53="●",[16]回答表!E472,""))</f>
        <v/>
      </c>
      <c r="BK275" s="151"/>
      <c r="BL275" s="151"/>
      <c r="BM275" s="152"/>
      <c r="BN275" s="150" t="str">
        <f>IF([16]回答表!X53="●",[16]回答表!E448,IF([16]回答表!AA53="●",[16]回答表!E473,""))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IF([16]回答表!AA53="●","●","")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IF([16]回答表!X53="●",[16]回答表!E455,IF([16]回答表!AA53="●",[16]回答表!E476,""))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IF([16]回答表!X53="●",[16]回答表!B457,IF([16]回答表!AA53="●",[16]回答表!B478,""))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IF([16]回答表!AD53="●","●","")</f>
        <v/>
      </c>
      <c r="O291" s="131"/>
      <c r="P291" s="131"/>
      <c r="Q291" s="132"/>
      <c r="R291" s="119"/>
      <c r="S291" s="119"/>
      <c r="T291" s="119"/>
      <c r="U291" s="133" t="str">
        <f>IF([16]回答表!AD53="●",[16]回答表!B486,"")</f>
        <v/>
      </c>
      <c r="V291" s="134"/>
      <c r="W291" s="134"/>
      <c r="X291" s="134"/>
      <c r="Y291" s="134"/>
      <c r="Z291" s="134"/>
      <c r="AA291" s="134"/>
      <c r="AB291" s="134"/>
      <c r="AC291" s="134"/>
      <c r="AD291" s="134"/>
      <c r="AE291" s="134"/>
      <c r="AF291" s="134"/>
      <c r="AG291" s="134"/>
      <c r="AH291" s="134"/>
      <c r="AI291" s="134"/>
      <c r="AJ291" s="135"/>
      <c r="AK291" s="249"/>
      <c r="AL291" s="249"/>
      <c r="AM291" s="133" t="str">
        <f>IF([16]回答表!AD53="●",[16]回答表!B492,"")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IF([16]回答表!X54="●","●","")</f>
        <v/>
      </c>
      <c r="O303" s="131"/>
      <c r="P303" s="131"/>
      <c r="Q303" s="132"/>
      <c r="R303" s="119"/>
      <c r="S303" s="119"/>
      <c r="T303" s="119"/>
      <c r="U303" s="133" t="str">
        <f>IF([16]回答表!X54="●",[16]回答表!B503,IF([16]回答表!AA54="●",[16]回答表!B526,""))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IF([16]回答表!X54="●",[16]回答表!BC510,IF([16]回答表!AA54="●",[16]回答表!BC533,""))</f>
        <v/>
      </c>
      <c r="AR303" s="271"/>
      <c r="AS303" s="271"/>
      <c r="AT303" s="271"/>
      <c r="AU303" s="272" t="s">
        <v>74</v>
      </c>
      <c r="AV303" s="273"/>
      <c r="AW303" s="273"/>
      <c r="AX303" s="274"/>
      <c r="AY303" s="271" t="str">
        <f>IF([16]回答表!X54="●",[16]回答表!BC515,IF([16]回答表!AA54="●",[16]回答表!BC538,""))</f>
        <v/>
      </c>
      <c r="AZ303" s="271"/>
      <c r="BA303" s="271"/>
      <c r="BB303" s="271"/>
      <c r="BC303" s="120"/>
      <c r="BD303" s="109"/>
      <c r="BE303" s="109"/>
      <c r="BF303" s="138" t="str">
        <f>IF([16]回答表!X54="●",[16]回答表!S509,IF([16]回答表!AA54="●",[16]回答表!S532,""))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IF([16]回答表!X54="●",[16]回答表!BC511,IF([16]回答表!AA54="●",[16]回答表!BC534,""))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IF([16]回答表!X54="●",[16]回答表!V509,IF([16]回答表!AA54="●",[16]回答表!V532,""))</f>
        <v/>
      </c>
      <c r="BG306" s="151"/>
      <c r="BH306" s="151"/>
      <c r="BI306" s="151"/>
      <c r="BJ306" s="150" t="str">
        <f>IF([16]回答表!X54="●",[16]回答表!V510,IF([16]回答表!AA54="●",[16]回答表!V533,""))</f>
        <v/>
      </c>
      <c r="BK306" s="151"/>
      <c r="BL306" s="151"/>
      <c r="BM306" s="152"/>
      <c r="BN306" s="150" t="str">
        <f>IF([16]回答表!X54="●",[16]回答表!V511,IF([16]回答表!AA54="●",[16]回答表!V534,""))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IF([16]回答表!X54="●",[16]回答表!BC512,IF([16]回答表!AA54="●",[16]回答表!BC535,""))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IF([16]回答表!X54="●",[16]回答表!BC516,IF([16]回答表!AA54="●",[16]回答表!BC539,""))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IF([16]回答表!AA54="●","●","")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IF([16]回答表!X54="●",[16]回答表!BC513,IF([16]回答表!AA54="●",[16]回答表!BC536,""))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IF([16]回答表!X54="●",[16]回答表!BC514,IF([16]回答表!AA54="●",[16]回答表!BC537,""))</f>
        <v/>
      </c>
      <c r="AR311" s="271"/>
      <c r="AS311" s="271"/>
      <c r="AT311" s="271"/>
      <c r="AU311" s="222" t="s">
        <v>80</v>
      </c>
      <c r="AV311" s="223"/>
      <c r="AW311" s="223"/>
      <c r="AX311" s="224"/>
      <c r="AY311" s="281" t="str">
        <f>IF([16]回答表!X54="●",[16]回答表!BC517,IF([16]回答表!AA54="●",[16]回答表!BC540,""))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IF([16]回答表!X54="●",[16]回答表!E516,IF([16]回答表!AA54="●",[16]回答表!E538,""))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IF([16]回答表!X54="●",[16]回答表!B518,IF([16]回答表!AA54="●",[16]回答表!B540,""))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IF([16]回答表!AD54="●","●","")</f>
        <v/>
      </c>
      <c r="O322" s="131"/>
      <c r="P322" s="131"/>
      <c r="Q322" s="132"/>
      <c r="R322" s="119"/>
      <c r="S322" s="119"/>
      <c r="T322" s="119"/>
      <c r="U322" s="133" t="str">
        <f>IF([16]回答表!AD54="●",[16]回答表!B548,"")</f>
        <v/>
      </c>
      <c r="V322" s="134"/>
      <c r="W322" s="134"/>
      <c r="X322" s="134"/>
      <c r="Y322" s="134"/>
      <c r="Z322" s="134"/>
      <c r="AA322" s="134"/>
      <c r="AB322" s="134"/>
      <c r="AC322" s="134"/>
      <c r="AD322" s="134"/>
      <c r="AE322" s="134"/>
      <c r="AF322" s="134"/>
      <c r="AG322" s="134"/>
      <c r="AH322" s="134"/>
      <c r="AI322" s="134"/>
      <c r="AJ322" s="135"/>
      <c r="AK322" s="189"/>
      <c r="AL322" s="189"/>
      <c r="AM322" s="133" t="str">
        <f>IF([16]回答表!AD54="●",[16]回答表!B554,"")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IF([16]回答表!X55="●","●","")</f>
        <v/>
      </c>
      <c r="O333" s="131"/>
      <c r="P333" s="131"/>
      <c r="Q333" s="132"/>
      <c r="R333" s="119"/>
      <c r="S333" s="119"/>
      <c r="T333" s="119"/>
      <c r="U333" s="133" t="str">
        <f>IF([16]回答表!X55="●",[16]回答表!B565,IF([16]回答表!AA55="●",[16]回答表!B590,""))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IF([16]回答表!X55="●",[16]回答表!B575,IF([16]回答表!AA55="●",[16]回答表!B600,""))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IF([16]回答表!X55="●",[16]回答表!G571,IF([16]回答表!AA55="●",[16]回答表!G596,""))</f>
        <v/>
      </c>
      <c r="AN335" s="83"/>
      <c r="AO335" s="83"/>
      <c r="AP335" s="83"/>
      <c r="AQ335" s="83"/>
      <c r="AR335" s="83"/>
      <c r="AS335" s="83"/>
      <c r="AT335" s="153"/>
      <c r="AU335" s="82" t="str">
        <f>IF([16]回答表!X55="●",[16]回答表!G572,IF([16]回答表!AA55="●",[16]回答表!G597,""))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IF([16]回答表!X55="●",[16]回答表!E575,IF([16]回答表!AA55="●",[16]回答表!E600,""))</f>
        <v/>
      </c>
      <c r="BG336" s="151"/>
      <c r="BH336" s="151"/>
      <c r="BI336" s="151"/>
      <c r="BJ336" s="150" t="str">
        <f>IF([16]回答表!X55="●",[16]回答表!E576,IF([16]回答表!AA55="●",[16]回答表!E601,""))</f>
        <v/>
      </c>
      <c r="BK336" s="151"/>
      <c r="BL336" s="151"/>
      <c r="BM336" s="152"/>
      <c r="BN336" s="150" t="str">
        <f>IF([16]回答表!X55="●",[16]回答表!E577,IF([16]回答表!AA55="●",[16]回答表!E602,""))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IF([16]回答表!AA55="●","●","")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IF([16]回答表!X55="●",[16]回答表!E580,IF([16]回答表!AA55="●",[16]回答表!E605,""))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IF([16]回答表!X55="●",[16]回答表!B582,IF([16]回答表!AA55="●",[16]回答表!B607,""))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IF([16]回答表!AD55="●","●","")</f>
        <v/>
      </c>
      <c r="O352" s="131"/>
      <c r="P352" s="131"/>
      <c r="Q352" s="132"/>
      <c r="R352" s="119"/>
      <c r="S352" s="119"/>
      <c r="T352" s="119"/>
      <c r="U352" s="133" t="str">
        <f>IF([16]回答表!AD55="●",[16]回答表!B615,"")</f>
        <v/>
      </c>
      <c r="V352" s="134"/>
      <c r="W352" s="134"/>
      <c r="X352" s="134"/>
      <c r="Y352" s="134"/>
      <c r="Z352" s="134"/>
      <c r="AA352" s="134"/>
      <c r="AB352" s="134"/>
      <c r="AC352" s="134"/>
      <c r="AD352" s="134"/>
      <c r="AE352" s="134"/>
      <c r="AF352" s="134"/>
      <c r="AG352" s="134"/>
      <c r="AH352" s="134"/>
      <c r="AI352" s="134"/>
      <c r="AJ352" s="135"/>
      <c r="AK352" s="136"/>
      <c r="AL352" s="136"/>
      <c r="AM352" s="133" t="str">
        <f>IF([16]回答表!AD55="●",[16]回答表!B621,"")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IF([16]回答表!R56="●",[16]回答表!B634,"")</f>
        <v>現在のところ、民営化する予定はないため、現行の体制を維持することが望ましいと考える。
ガス小売全面自由化により当市供給区域内に参入する小売り事業者の予定は今のところないが、今後参入の動きがあった場合、価格競争に対抗できるような料金設定を検討していかなければならない。</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82341-61E3-491D-8E4B-918077D94AC5}">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IF(COUNTIF([2]回答表!K16,"*")&gt;0,[2]回答表!K16,"")</f>
        <v>由利本荘市</v>
      </c>
      <c r="D11" s="8"/>
      <c r="E11" s="8"/>
      <c r="F11" s="8"/>
      <c r="G11" s="8"/>
      <c r="H11" s="8"/>
      <c r="I11" s="8"/>
      <c r="J11" s="8"/>
      <c r="K11" s="8"/>
      <c r="L11" s="8"/>
      <c r="M11" s="8"/>
      <c r="N11" s="8"/>
      <c r="O11" s="8"/>
      <c r="P11" s="8"/>
      <c r="Q11" s="8"/>
      <c r="R11" s="8"/>
      <c r="S11" s="8"/>
      <c r="T11" s="8"/>
      <c r="U11" s="22" t="str">
        <f>IF(COUNTIF([2]回答表!F18,"*")&gt;0,[2]回答表!F18,"")</f>
        <v>水道事業</v>
      </c>
      <c r="V11" s="23"/>
      <c r="W11" s="23"/>
      <c r="X11" s="23"/>
      <c r="Y11" s="23"/>
      <c r="Z11" s="23"/>
      <c r="AA11" s="23"/>
      <c r="AB11" s="23"/>
      <c r="AC11" s="23"/>
      <c r="AD11" s="23"/>
      <c r="AE11" s="23"/>
      <c r="AF11" s="10"/>
      <c r="AG11" s="10"/>
      <c r="AH11" s="10"/>
      <c r="AI11" s="10"/>
      <c r="AJ11" s="10"/>
      <c r="AK11" s="10"/>
      <c r="AL11" s="10"/>
      <c r="AM11" s="10"/>
      <c r="AN11" s="11"/>
      <c r="AO11" s="24" t="str">
        <f>IF(COUNTIF([2]回答表!W18,"*")&gt;0,[2]回答表!W18,"")</f>
        <v>―</v>
      </c>
      <c r="AP11" s="10"/>
      <c r="AQ11" s="10"/>
      <c r="AR11" s="10"/>
      <c r="AS11" s="10"/>
      <c r="AT11" s="10"/>
      <c r="AU11" s="10"/>
      <c r="AV11" s="10"/>
      <c r="AW11" s="10"/>
      <c r="AX11" s="10"/>
      <c r="AY11" s="10"/>
      <c r="AZ11" s="10"/>
      <c r="BA11" s="10"/>
      <c r="BB11" s="10"/>
      <c r="BC11" s="10"/>
      <c r="BD11" s="10"/>
      <c r="BE11" s="10"/>
      <c r="BF11" s="11"/>
      <c r="BG11" s="21" t="str">
        <f>IF(COUNTIF([2]回答表!F20,"*")&gt;0,[2]回答表!F20,"")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IF([2]回答表!R49="●","●","")</f>
        <v/>
      </c>
      <c r="E24" s="80"/>
      <c r="F24" s="80"/>
      <c r="G24" s="80"/>
      <c r="H24" s="80"/>
      <c r="I24" s="80"/>
      <c r="J24" s="81"/>
      <c r="K24" s="79" t="str">
        <f>IF([2]回答表!R50="●","●","")</f>
        <v/>
      </c>
      <c r="L24" s="80"/>
      <c r="M24" s="80"/>
      <c r="N24" s="80"/>
      <c r="O24" s="80"/>
      <c r="P24" s="80"/>
      <c r="Q24" s="81"/>
      <c r="R24" s="79" t="str">
        <f>IF([2]回答表!R51="●","●","")</f>
        <v/>
      </c>
      <c r="S24" s="80"/>
      <c r="T24" s="80"/>
      <c r="U24" s="80"/>
      <c r="V24" s="80"/>
      <c r="W24" s="80"/>
      <c r="X24" s="81"/>
      <c r="Y24" s="79" t="str">
        <f>IF([2]回答表!R52="●","●","")</f>
        <v/>
      </c>
      <c r="Z24" s="80"/>
      <c r="AA24" s="80"/>
      <c r="AB24" s="80"/>
      <c r="AC24" s="80"/>
      <c r="AD24" s="80"/>
      <c r="AE24" s="81"/>
      <c r="AF24" s="79" t="str">
        <f>IF([2]回答表!R53="●","●","")</f>
        <v/>
      </c>
      <c r="AG24" s="80"/>
      <c r="AH24" s="80"/>
      <c r="AI24" s="80"/>
      <c r="AJ24" s="80"/>
      <c r="AK24" s="80"/>
      <c r="AL24" s="81"/>
      <c r="AM24" s="79" t="str">
        <f>IF([2]回答表!R54="●","●","")</f>
        <v/>
      </c>
      <c r="AN24" s="80"/>
      <c r="AO24" s="80"/>
      <c r="AP24" s="80"/>
      <c r="AQ24" s="80"/>
      <c r="AR24" s="80"/>
      <c r="AS24" s="81"/>
      <c r="AT24" s="79" t="str">
        <f>IF([2]回答表!R55="●","●","")</f>
        <v/>
      </c>
      <c r="AU24" s="80"/>
      <c r="AV24" s="80"/>
      <c r="AW24" s="80"/>
      <c r="AX24" s="80"/>
      <c r="AY24" s="80"/>
      <c r="AZ24" s="81"/>
      <c r="BA24" s="68"/>
      <c r="BB24" s="82" t="str">
        <f>IF([2]回答表!R56="●","●","")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IF([2]回答表!X49="●","●","")</f>
        <v/>
      </c>
      <c r="O36" s="131"/>
      <c r="P36" s="131"/>
      <c r="Q36" s="132"/>
      <c r="R36" s="119"/>
      <c r="S36" s="119"/>
      <c r="T36" s="119"/>
      <c r="U36" s="133" t="str">
        <f>IF([2]回答表!X49="●",[2]回答表!B67,IF([2]回答表!AA49="●",[2]回答表!B95,""))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IF([2]回答表!X49="●",[2]回答表!S73,IF([2]回答表!AA49="●",[2]回答表!S101,""))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IF([2]回答表!X49="●",[2]回答表!G73,IF([2]回答表!AA49="●",[2]回答表!G101,""))</f>
        <v/>
      </c>
      <c r="AN38" s="83"/>
      <c r="AO38" s="83"/>
      <c r="AP38" s="83"/>
      <c r="AQ38" s="83"/>
      <c r="AR38" s="83"/>
      <c r="AS38" s="83"/>
      <c r="AT38" s="153"/>
      <c r="AU38" s="82" t="str">
        <f>IF([2]回答表!X49="●",[2]回答表!G74,IF([2]回答表!AA49="●",[2]回答表!G102,""))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IF([2]回答表!X49="●",[2]回答表!V73,IF([2]回答表!AA49="●",[2]回答表!V101,""))</f>
        <v/>
      </c>
      <c r="BG39" s="16"/>
      <c r="BH39" s="16"/>
      <c r="BI39" s="17"/>
      <c r="BJ39" s="150" t="str">
        <f>IF([2]回答表!X49="●",[2]回答表!V74,IF([2]回答表!AA49="●",[2]回答表!V102,""))</f>
        <v/>
      </c>
      <c r="BK39" s="16"/>
      <c r="BL39" s="16"/>
      <c r="BM39" s="17"/>
      <c r="BN39" s="150" t="str">
        <f>IF([2]回答表!X49="●",[2]回答表!V75,IF([2]回答表!AA49="●",[2]回答表!V103,""))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IF([2]回答表!X49="●",[2]回答表!O79,IF([2]回答表!AA49="●",[2]回答表!O107,""))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IF([2]回答表!X49="●",[2]回答表!O80,IF([2]回答表!AA49="●",[2]回答表!O108,""))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IF([2]回答表!X49="●",[2]回答表!O81,IF([2]回答表!AA49="●",[2]回答表!O109,""))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IF([2]回答表!X49="●",[2]回答表!O82,IF([2]回答表!AA49="●",[2]回答表!O110,""))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IF([2]回答表!X49="●",[2]回答表!AG79,IF([2]回答表!AA49="●",[2]回答表!AG107,""))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IF([2]回答表!X49="●",[2]回答表!AG80,IF([2]回答表!AA49="●",[2]回答表!AG108,""))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IF([2]回答表!X49="●",[2]回答表!E85,IF([2]回答表!AA49="●",[2]回答表!E113,""))</f>
        <v/>
      </c>
      <c r="V50" s="182"/>
      <c r="W50" s="182"/>
      <c r="X50" s="182"/>
      <c r="Y50" s="182"/>
      <c r="Z50" s="182"/>
      <c r="AA50" s="182"/>
      <c r="AB50" s="182"/>
      <c r="AC50" s="182"/>
      <c r="AD50" s="182"/>
      <c r="AE50" s="183" t="s">
        <v>33</v>
      </c>
      <c r="AF50" s="183"/>
      <c r="AG50" s="183"/>
      <c r="AH50" s="183"/>
      <c r="AI50" s="183"/>
      <c r="AJ50" s="184"/>
      <c r="AK50" s="136"/>
      <c r="AL50" s="136"/>
      <c r="AM50" s="133" t="str">
        <f>IF([2]回答表!X49="●",[2]回答表!B87,IF([2]回答表!AA49="●",[2]回答表!B115,""))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IF([2]回答表!AD49="●","●","")</f>
        <v/>
      </c>
      <c r="O57" s="131"/>
      <c r="P57" s="131"/>
      <c r="Q57" s="132"/>
      <c r="R57" s="119"/>
      <c r="S57" s="119"/>
      <c r="T57" s="119"/>
      <c r="U57" s="133" t="str">
        <f>IF([2]回答表!AD49="●",[2]回答表!B123,"")</f>
        <v/>
      </c>
      <c r="V57" s="134"/>
      <c r="W57" s="134"/>
      <c r="X57" s="134"/>
      <c r="Y57" s="134"/>
      <c r="Z57" s="134"/>
      <c r="AA57" s="134"/>
      <c r="AB57" s="134"/>
      <c r="AC57" s="134"/>
      <c r="AD57" s="134"/>
      <c r="AE57" s="134"/>
      <c r="AF57" s="134"/>
      <c r="AG57" s="134"/>
      <c r="AH57" s="134"/>
      <c r="AI57" s="134"/>
      <c r="AJ57" s="135"/>
      <c r="AK57" s="189"/>
      <c r="AL57" s="189"/>
      <c r="AM57" s="133" t="str">
        <f>IF([2]回答表!AD49="●",[2]回答表!B128,"")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IF([2]回答表!X50="●","●","")</f>
        <v/>
      </c>
      <c r="O68" s="131"/>
      <c r="P68" s="131"/>
      <c r="Q68" s="132"/>
      <c r="R68" s="119"/>
      <c r="S68" s="119"/>
      <c r="T68" s="119"/>
      <c r="U68" s="133" t="str">
        <f>IF([2]回答表!X50="●",[2]回答表!B138,IF([2]回答表!AA50="●",[2]回答表!B159,""))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IF([2]回答表!X50="●",[2]回答表!S144,IF([2]回答表!AA50="●",[2]回答表!S165,""))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IF([2]回答表!X50="●",[2]回答表!J144,IF([2]回答表!AA50="●",[2]回答表!J165,""))</f>
        <v/>
      </c>
      <c r="AN71" s="83"/>
      <c r="AO71" s="83"/>
      <c r="AP71" s="83"/>
      <c r="AQ71" s="83"/>
      <c r="AR71" s="83"/>
      <c r="AS71" s="83"/>
      <c r="AT71" s="153"/>
      <c r="AU71" s="82" t="str">
        <f>IF([2]回答表!X50="●",[2]回答表!J145,IF([2]回答表!AA50="●",[2]回答表!J166,""))</f>
        <v/>
      </c>
      <c r="AV71" s="83"/>
      <c r="AW71" s="83"/>
      <c r="AX71" s="83"/>
      <c r="AY71" s="83"/>
      <c r="AZ71" s="83"/>
      <c r="BA71" s="83"/>
      <c r="BB71" s="153"/>
      <c r="BC71" s="120"/>
      <c r="BD71" s="109"/>
      <c r="BE71" s="109"/>
      <c r="BF71" s="150" t="str">
        <f>IF([2]回答表!X50="●",[2]回答表!V144,IF([2]回答表!AA50="●",[2]回答表!V165,""))</f>
        <v/>
      </c>
      <c r="BG71" s="151"/>
      <c r="BH71" s="151"/>
      <c r="BI71" s="151"/>
      <c r="BJ71" s="150" t="str">
        <f>IF([2]回答表!X50="●",[2]回答表!V145,IF([2]回答表!AA50="●",[2]回答表!V166,""))</f>
        <v/>
      </c>
      <c r="BK71" s="151"/>
      <c r="BL71" s="151"/>
      <c r="BM71" s="151"/>
      <c r="BN71" s="150" t="str">
        <f>IF([2]回答表!X50="●",[2]回答表!V146,IF([2]回答表!AA50="●",[2]回答表!V167,""))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IF([2]回答表!X50="●",[2]回答表!E149,IF([2]回答表!AA50="●",[2]回答表!E170,""))</f>
        <v/>
      </c>
      <c r="V80" s="182"/>
      <c r="W80" s="182"/>
      <c r="X80" s="182"/>
      <c r="Y80" s="182"/>
      <c r="Z80" s="182"/>
      <c r="AA80" s="182"/>
      <c r="AB80" s="182"/>
      <c r="AC80" s="182"/>
      <c r="AD80" s="182"/>
      <c r="AE80" s="183" t="s">
        <v>33</v>
      </c>
      <c r="AF80" s="183"/>
      <c r="AG80" s="183"/>
      <c r="AH80" s="183"/>
      <c r="AI80" s="183"/>
      <c r="AJ80" s="184"/>
      <c r="AK80" s="136"/>
      <c r="AL80" s="136"/>
      <c r="AM80" s="133" t="str">
        <f>IF([2]回答表!X50="●",[2]回答表!B151,IF([2]回答表!AA50="●",[2]回答表!B172,""))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IF([2]回答表!AD50="●","●","")</f>
        <v/>
      </c>
      <c r="O87" s="131"/>
      <c r="P87" s="131"/>
      <c r="Q87" s="132"/>
      <c r="R87" s="119"/>
      <c r="S87" s="119"/>
      <c r="T87" s="119"/>
      <c r="U87" s="133" t="str">
        <f>IF([2]回答表!AD50="●",[2]回答表!B180,"")</f>
        <v/>
      </c>
      <c r="V87" s="134"/>
      <c r="W87" s="134"/>
      <c r="X87" s="134"/>
      <c r="Y87" s="134"/>
      <c r="Z87" s="134"/>
      <c r="AA87" s="134"/>
      <c r="AB87" s="134"/>
      <c r="AC87" s="134"/>
      <c r="AD87" s="134"/>
      <c r="AE87" s="134"/>
      <c r="AF87" s="134"/>
      <c r="AG87" s="134"/>
      <c r="AH87" s="134"/>
      <c r="AI87" s="134"/>
      <c r="AJ87" s="135"/>
      <c r="AK87" s="189"/>
      <c r="AL87" s="189"/>
      <c r="AM87" s="133" t="str">
        <f>IF([2]回答表!AD50="●",[2]回答表!B186,"")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IF([2]回答表!F18="水道事業",IF([2]回答表!X51="●","●",""),"")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IF([2]回答表!F18="水道事業",IF([2]回答表!X51="●",[2]回答表!B197,IF([2]回答表!AA51="●",[2]回答表!B275,"")),"")</f>
        <v/>
      </c>
      <c r="AN99" s="134"/>
      <c r="AO99" s="134"/>
      <c r="AP99" s="134"/>
      <c r="AQ99" s="134"/>
      <c r="AR99" s="134"/>
      <c r="AS99" s="134"/>
      <c r="AT99" s="134"/>
      <c r="AU99" s="134"/>
      <c r="AV99" s="134"/>
      <c r="AW99" s="134"/>
      <c r="AX99" s="134"/>
      <c r="AY99" s="134"/>
      <c r="AZ99" s="134"/>
      <c r="BA99" s="134"/>
      <c r="BB99" s="134"/>
      <c r="BC99" s="135"/>
      <c r="BD99" s="109"/>
      <c r="BE99" s="109"/>
      <c r="BF99" s="138" t="str">
        <f>IF([2]回答表!F18="水道事業",IF([2]回答表!X51="●",[2]回答表!B256,IF([2]回答表!AA51="●",[2]回答表!B335,"")),"")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IF([2]回答表!F18="水道事業",IF([2]回答表!X51="●",[2]回答表!J205,IF([2]回答表!AA51="●",[2]回答表!J283,"")),"")</f>
        <v/>
      </c>
      <c r="V101" s="83"/>
      <c r="W101" s="83"/>
      <c r="X101" s="83"/>
      <c r="Y101" s="83"/>
      <c r="Z101" s="83"/>
      <c r="AA101" s="83"/>
      <c r="AB101" s="153"/>
      <c r="AC101" s="82" t="str">
        <f>IF([2]回答表!F18="水道事業",IF([2]回答表!X51="●",[2]回答表!J210,IF([2]回答表!AA51="●",[2]回答表!J290,"")),"")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IF([2]回答表!F18="水道事業",IF([2]回答表!X51="●",[2]回答表!E256,IF([2]回答表!AA51="●",[2]回答表!E335,"")),"")</f>
        <v/>
      </c>
      <c r="BG102" s="151"/>
      <c r="BH102" s="151"/>
      <c r="BI102" s="151"/>
      <c r="BJ102" s="150" t="str">
        <f>IF([2]回答表!F18="水道事業",IF([2]回答表!X51="●",[2]回答表!E257,IF([2]回答表!AA51="●",[2]回答表!E336,"")),"")</f>
        <v/>
      </c>
      <c r="BK102" s="151"/>
      <c r="BL102" s="151"/>
      <c r="BM102" s="151"/>
      <c r="BN102" s="150" t="str">
        <f>IF([2]回答表!F18="水道事業",IF([2]回答表!X51="●",[2]回答表!E258,IF([2]回答表!AA51="●",[2]回答表!E337,"")),"")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IF([2]回答表!F18="水道事業",IF([2]回答表!AA51="●","●",""),"")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IF([2]回答表!F18="水道事業",IF([2]回答表!X51="●",[2]回答表!J213,IF([2]回答表!AA51="●",[2]回答表!J293,"")),"")</f>
        <v/>
      </c>
      <c r="V106" s="83"/>
      <c r="W106" s="83"/>
      <c r="X106" s="83"/>
      <c r="Y106" s="83"/>
      <c r="Z106" s="83"/>
      <c r="AA106" s="83"/>
      <c r="AB106" s="153"/>
      <c r="AC106" s="82" t="str">
        <f>IF([2]回答表!F18="水道事業",IF([2]回答表!X51="●",[2]回答表!J217,IF([2]回答表!AA51="●",[2]回答表!J297,"")),"")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IF([2]回答表!F18="水道事業",IF([2]回答表!X51="●",[2]回答表!E265,IF([2]回答表!AA51="●",[2]回答表!E344,"")),"")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IF([2]回答表!F18="水道事業",IF([2]回答表!X51="●",[2]回答表!B267,IF([2]回答表!AA51="●",[2]回答表!B346,"")),"")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IF([2]回答表!F18="水道事業",IF([2]回答表!AD51="●","●",""),"")</f>
        <v/>
      </c>
      <c r="O118" s="131"/>
      <c r="P118" s="131"/>
      <c r="Q118" s="132"/>
      <c r="R118" s="119"/>
      <c r="S118" s="119"/>
      <c r="T118" s="119"/>
      <c r="U118" s="133" t="str">
        <f>IF([2]回答表!F18="水道事業",IF([2]回答表!AD51="●",[2]回答表!B354,""),"")</f>
        <v/>
      </c>
      <c r="V118" s="134"/>
      <c r="W118" s="134"/>
      <c r="X118" s="134"/>
      <c r="Y118" s="134"/>
      <c r="Z118" s="134"/>
      <c r="AA118" s="134"/>
      <c r="AB118" s="134"/>
      <c r="AC118" s="134"/>
      <c r="AD118" s="134"/>
      <c r="AE118" s="134"/>
      <c r="AF118" s="134"/>
      <c r="AG118" s="134"/>
      <c r="AH118" s="134"/>
      <c r="AI118" s="134"/>
      <c r="AJ118" s="135"/>
      <c r="AK118" s="189"/>
      <c r="AL118" s="189"/>
      <c r="AM118" s="133" t="str">
        <f>IF([2]回答表!F18="水道事業",IF([2]回答表!AD51="●",[2]回答表!B360,""),"")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IF([2]回答表!F18="簡易水道事業",IF([2]回答表!X51="●",[2]回答表!B197,IF([2]回答表!AA51="●",[2]回答表!B275,"")),"")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IF([2]回答表!F18="簡易水道事業",IF([2]回答表!X51="●",[2]回答表!B256,IF([2]回答表!AA51="●",[2]回答表!B335,"")),"")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IF([2]回答表!F18="簡易水道事業",IF([2]回答表!X51="●","●",""),"")</f>
        <v/>
      </c>
      <c r="O132" s="131"/>
      <c r="P132" s="131"/>
      <c r="Q132" s="132"/>
      <c r="R132" s="119"/>
      <c r="S132" s="119"/>
      <c r="T132" s="119"/>
      <c r="U132" s="82" t="str">
        <f>IF([2]回答表!F18="簡易水道事業",IF([2]回答表!X51="●",[2]回答表!S224,IF([2]回答表!AA51="●",[2]回答表!S304,"")),"")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IF([2]回答表!F18="簡易水道事業",IF([2]回答表!X51="●",[2]回答表!E256,IF([2]回答表!AA51="●",[2]回答表!E335,"")),"")</f>
        <v/>
      </c>
      <c r="BG133" s="151"/>
      <c r="BH133" s="151"/>
      <c r="BI133" s="151"/>
      <c r="BJ133" s="150" t="str">
        <f>IF([2]回答表!F18="簡易水道事業",IF([2]回答表!X51="●",[2]回答表!E257,IF([2]回答表!AA51="●",[2]回答表!E336,"")),"")</f>
        <v/>
      </c>
      <c r="BK133" s="151"/>
      <c r="BL133" s="151"/>
      <c r="BM133" s="151"/>
      <c r="BN133" s="150" t="str">
        <f>IF([2]回答表!F18="簡易水道事業",IF([2]回答表!X51="●",[2]回答表!E258,IF([2]回答表!AA51="●",[2]回答表!E337,"")),"")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IF([2]回答表!F18="簡易水道事業",IF([2]回答表!X51="●",[2]回答表!S225,IF([2]回答表!AA51="●",[2]回答表!S305,"")),"")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IF([2]回答表!F18="簡易水道事業",IF([2]回答表!AA51="●","●",""),"")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IF([2]回答表!F18="簡易水道事業",IF([2]回答表!X51="●",[2]回答表!S226,IF([2]回答表!AA51="●",[2]回答表!S306,"")),"")</f>
        <v/>
      </c>
      <c r="V142" s="83"/>
      <c r="W142" s="83"/>
      <c r="X142" s="83"/>
      <c r="Y142" s="83"/>
      <c r="Z142" s="83"/>
      <c r="AA142" s="83"/>
      <c r="AB142" s="83"/>
      <c r="AC142" s="83"/>
      <c r="AD142" s="83"/>
      <c r="AE142" s="83"/>
      <c r="AF142" s="83"/>
      <c r="AG142" s="83"/>
      <c r="AH142" s="83"/>
      <c r="AI142" s="83"/>
      <c r="AJ142" s="153"/>
      <c r="AK142" s="68"/>
      <c r="AL142" s="68"/>
      <c r="AM142" s="231" t="str">
        <f>IF([2]回答表!F18="簡易水道事業",IF([2]回答表!X51="●",[2]回答表!Y228,IF([2]回答表!AA51="●",[2]回答表!Y308,"")),"")</f>
        <v/>
      </c>
      <c r="AN142" s="231"/>
      <c r="AO142" s="231"/>
      <c r="AP142" s="231"/>
      <c r="AQ142" s="231"/>
      <c r="AR142" s="231"/>
      <c r="AS142" s="231" t="str">
        <f>IF([2]回答表!F18="簡易水道事業",IF([2]回答表!X51="●",[2]回答表!Y229,IF([2]回答表!AA51="●",[2]回答表!Y309,"")),"")</f>
        <v/>
      </c>
      <c r="AT142" s="231"/>
      <c r="AU142" s="231"/>
      <c r="AV142" s="231"/>
      <c r="AW142" s="231"/>
      <c r="AX142" s="231"/>
      <c r="AY142" s="231" t="str">
        <f>IF([2]回答表!F18="簡易水道事業",IF([2]回答表!X51="●",[2]回答表!Y230,IF([2]回答表!AA51="●",[2]回答表!Y310,"")),"")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IF([2]回答表!F18="簡易水道事業",IF([2]回答表!X51="●",[2]回答表!E265,IF([2]回答表!AA51="●",[2]回答表!E344,"")),"")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IF([2]回答表!F18="簡易水道事業",IF([2]回答表!X51="●",[2]回答表!B267,IF([2]回答表!AA51="●",[2]回答表!B346,"")),"")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IF([2]回答表!F18="簡易水道事業",IF([2]回答表!AD51="●","●",""),"")</f>
        <v/>
      </c>
      <c r="O154" s="131"/>
      <c r="P154" s="131"/>
      <c r="Q154" s="132"/>
      <c r="R154" s="119"/>
      <c r="S154" s="119"/>
      <c r="T154" s="119"/>
      <c r="U154" s="133" t="str">
        <f>IF([2]回答表!F18="簡易水道事業",IF([2]回答表!AD51="●",[2]回答表!B354,""),"")</f>
        <v/>
      </c>
      <c r="V154" s="134"/>
      <c r="W154" s="134"/>
      <c r="X154" s="134"/>
      <c r="Y154" s="134"/>
      <c r="Z154" s="134"/>
      <c r="AA154" s="134"/>
      <c r="AB154" s="134"/>
      <c r="AC154" s="134"/>
      <c r="AD154" s="134"/>
      <c r="AE154" s="134"/>
      <c r="AF154" s="134"/>
      <c r="AG154" s="134"/>
      <c r="AH154" s="134"/>
      <c r="AI154" s="134"/>
      <c r="AJ154" s="135"/>
      <c r="AK154" s="189"/>
      <c r="AL154" s="189"/>
      <c r="AM154" s="133" t="str">
        <f>IF([2]回答表!F18="簡易水道事業",IF([2]回答表!AD51="●",[2]回答表!B360,""),"")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IF([2]回答表!F18="下水道事業",IF([2]回答表!X51="●","●",""),"")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IF([2]回答表!F18="下水道事業",IF([2]回答表!X51="●",[2]回答表!B197,IF([2]回答表!AA51="●",[2]回答表!B275,"")),"")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IF([2]回答表!F18="下水道事業",IF([2]回答表!X51="●",[2]回答表!B256,IF([2]回答表!AA51="●",[2]回答表!B335,"")),"")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IF([2]回答表!F18="下水道事業",IF([2]回答表!X51="●",[2]回答表!N234,IF([2]回答表!AA51="●",[2]回答表!N314,"")),"")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IF([2]回答表!F18="下水道事業",IF([2]回答表!X51="●",[2]回答表!E256,IF([2]回答表!AA51="●",[2]回答表!E335,"")),"")</f>
        <v/>
      </c>
      <c r="BG169" s="151"/>
      <c r="BH169" s="151"/>
      <c r="BI169" s="151"/>
      <c r="BJ169" s="150" t="str">
        <f>IF([2]回答表!F18="下水道事業",IF([2]回答表!X51="●",[2]回答表!E257,IF([2]回答表!AA51="●",[2]回答表!E336,"")),"")</f>
        <v/>
      </c>
      <c r="BK169" s="151"/>
      <c r="BL169" s="151"/>
      <c r="BM169" s="151"/>
      <c r="BN169" s="150" t="str">
        <f>IF([2]回答表!F18="下水道事業",IF([2]回答表!X51="●",[2]回答表!E258,IF([2]回答表!AA51="●",[2]回答表!E337,"")),"")</f>
        <v/>
      </c>
      <c r="BO169" s="151"/>
      <c r="BP169" s="151"/>
      <c r="BQ169" s="152"/>
      <c r="BR169" s="112"/>
      <c r="BX169" s="234" t="str">
        <f>IF([2]回答表!AQ21="下水道事業",IF([2]回答表!BI54="○",[2]回答表!AM200,IF([2]回答表!BL54="○",[2]回答表!AM278,"")),"")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IF([2]回答表!F18="下水道事業",IF([2]回答表!X51="●",[2]回答表!Y236,IF([2]回答表!AA51="●",[2]回答表!Y316,"")),"")</f>
        <v/>
      </c>
      <c r="V174" s="83"/>
      <c r="W174" s="83"/>
      <c r="X174" s="83"/>
      <c r="Y174" s="83"/>
      <c r="Z174" s="83"/>
      <c r="AA174" s="83"/>
      <c r="AB174" s="153"/>
      <c r="AC174" s="82" t="str">
        <f>IF([2]回答表!F18="下水道事業",IF([2]回答表!X51="●",[2]回答表!Y237,IF([2]回答表!AA51="●",[2]回答表!Y317,"")),"")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IF([2]回答表!F18="下水道事業",IF([2]回答表!X51="●",[2]回答表!Y239,IF([2]回答表!AA51="●",[2]回答表!Y319,"")),"")</f>
        <v/>
      </c>
      <c r="V180" s="83"/>
      <c r="W180" s="83"/>
      <c r="X180" s="83"/>
      <c r="Y180" s="83"/>
      <c r="Z180" s="83"/>
      <c r="AA180" s="83"/>
      <c r="AB180" s="153"/>
      <c r="AC180" s="82" t="str">
        <f>IF([2]回答表!F18="下水道事業",IF([2]回答表!X51="●",[2]回答表!Y240,IF([2]回答表!AA51="●",[2]回答表!Y320,"")),"")</f>
        <v/>
      </c>
      <c r="AD180" s="83"/>
      <c r="AE180" s="83"/>
      <c r="AF180" s="83"/>
      <c r="AG180" s="83"/>
      <c r="AH180" s="83"/>
      <c r="AI180" s="83"/>
      <c r="AJ180" s="153"/>
      <c r="AK180" s="82" t="str">
        <f>IF([2]回答表!F18="下水道事業",IF([2]回答表!X51="●",[2]回答表!Y241,IF([2]回答表!AA51="●",[2]回答表!Y321,"")),"")</f>
        <v/>
      </c>
      <c r="AL180" s="83"/>
      <c r="AM180" s="83"/>
      <c r="AN180" s="83"/>
      <c r="AO180" s="83"/>
      <c r="AP180" s="83"/>
      <c r="AQ180" s="83"/>
      <c r="AR180" s="153"/>
      <c r="AS180" s="82" t="str">
        <f>IF([2]回答表!F18="下水道事業",IF([2]回答表!X51="●",[2]回答表!Y242,IF([2]回答表!AA51="●",[2]回答表!Y322,"")),"")</f>
        <v/>
      </c>
      <c r="AT180" s="83"/>
      <c r="AU180" s="83"/>
      <c r="AV180" s="83"/>
      <c r="AW180" s="83"/>
      <c r="AX180" s="83"/>
      <c r="AY180" s="83"/>
      <c r="AZ180" s="153"/>
      <c r="BA180" s="82" t="str">
        <f>IF([2]回答表!F18="下水道事業",IF([2]回答表!X51="●",[2]回答表!Y243,IF([2]回答表!AA51="●",[2]回答表!Y323,"")),"")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IF([2]回答表!F18="下水道事業",IF([2]回答表!AA51="●","●",""),"")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IF([2]回答表!F18="下水道事業",IF([2]回答表!X51="●",[2]回答表!N248,IF([2]回答表!AA51="●",[2]回答表!N328,"")),"")</f>
        <v/>
      </c>
      <c r="V186" s="83"/>
      <c r="W186" s="83"/>
      <c r="X186" s="83"/>
      <c r="Y186" s="83"/>
      <c r="Z186" s="83"/>
      <c r="AA186" s="83"/>
      <c r="AB186" s="153"/>
      <c r="AC186" s="82" t="str">
        <f>IF([2]回答表!F18="下水道事業",IF([2]回答表!X51="●",[2]回答表!N249,IF([2]回答表!AA51="●",[2]回答表!N329,"")),"")</f>
        <v/>
      </c>
      <c r="AD186" s="83"/>
      <c r="AE186" s="83"/>
      <c r="AF186" s="83"/>
      <c r="AG186" s="83"/>
      <c r="AH186" s="83"/>
      <c r="AI186" s="83"/>
      <c r="AJ186" s="153"/>
      <c r="AK186" s="82" t="str">
        <f>IF([2]回答表!F18="下水道事業",IF([2]回答表!X51="●",[2]回答表!N250,IF([2]回答表!AA51="●",[2]回答表!N330,"")),"")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IF([2]回答表!F18="下水道事業",IF([2]回答表!X51="●",[2]回答表!E265,IF([2]回答表!AA51="●",[2]回答表!E344,"")),"")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IF([2]回答表!F18="下水道事業",IF([2]回答表!X51="●",[2]回答表!B267,IF([2]回答表!AA51="●",[2]回答表!B346,"")),"")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IF([2]回答表!F18="下水道事業",IF([2]回答表!AD51="●","●",""),"")</f>
        <v/>
      </c>
      <c r="O198" s="131"/>
      <c r="P198" s="131"/>
      <c r="Q198" s="132"/>
      <c r="R198" s="119"/>
      <c r="S198" s="119"/>
      <c r="T198" s="119"/>
      <c r="U198" s="133" t="str">
        <f>IF([2]回答表!F18="下水道事業",IF([2]回答表!AD51="●",[2]回答表!B354,""),"")</f>
        <v/>
      </c>
      <c r="V198" s="134"/>
      <c r="W198" s="134"/>
      <c r="X198" s="134"/>
      <c r="Y198" s="134"/>
      <c r="Z198" s="134"/>
      <c r="AA198" s="134"/>
      <c r="AB198" s="134"/>
      <c r="AC198" s="134"/>
      <c r="AD198" s="134"/>
      <c r="AE198" s="134"/>
      <c r="AF198" s="134"/>
      <c r="AG198" s="134"/>
      <c r="AH198" s="134"/>
      <c r="AI198" s="134"/>
      <c r="AJ198" s="135"/>
      <c r="AK198" s="189"/>
      <c r="AL198" s="189"/>
      <c r="AM198" s="133" t="str">
        <f>IF([2]回答表!F18="下水道事業",IF([2]回答表!AD51="●",[2]回答表!B360,""),"")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IF([2]回答表!BD18="●",IF([2]回答表!X51="●","●",""),"")</f>
        <v/>
      </c>
      <c r="O210" s="131"/>
      <c r="P210" s="131"/>
      <c r="Q210" s="132"/>
      <c r="R210" s="119"/>
      <c r="S210" s="119"/>
      <c r="T210" s="119"/>
      <c r="U210" s="133" t="str">
        <f>IF([2]回答表!BD18="●",IF([2]回答表!X51="●",[2]回答表!B197,IF([2]回答表!AA51="●",[2]回答表!B275,"")),"")</f>
        <v/>
      </c>
      <c r="V210" s="134"/>
      <c r="W210" s="134"/>
      <c r="X210" s="134"/>
      <c r="Y210" s="134"/>
      <c r="Z210" s="134"/>
      <c r="AA210" s="134"/>
      <c r="AB210" s="134"/>
      <c r="AC210" s="134"/>
      <c r="AD210" s="134"/>
      <c r="AE210" s="134"/>
      <c r="AF210" s="134"/>
      <c r="AG210" s="134"/>
      <c r="AH210" s="134"/>
      <c r="AI210" s="134"/>
      <c r="AJ210" s="135"/>
      <c r="AK210" s="136"/>
      <c r="AL210" s="136"/>
      <c r="AM210" s="138" t="str">
        <f>IF([2]回答表!BD18="●",IF([2]回答表!X51="●",[2]回答表!B256,IF([2]回答表!AA51="●",[2]回答表!B335,"")),"")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IF([2]回答表!BD18="●",IF([2]回答表!X51="●",[2]回答表!E256,IF([2]回答表!AA51="●",[2]回答表!E335,"")),"")</f>
        <v/>
      </c>
      <c r="AN213" s="151"/>
      <c r="AO213" s="151"/>
      <c r="AP213" s="151"/>
      <c r="AQ213" s="150" t="str">
        <f>IF([2]回答表!BD18="●",IF([2]回答表!X51="●",[2]回答表!E257,IF([2]回答表!AA51="●",[2]回答表!E336,"")),"")</f>
        <v/>
      </c>
      <c r="AR213" s="151"/>
      <c r="AS213" s="151"/>
      <c r="AT213" s="151"/>
      <c r="AU213" s="150" t="str">
        <f>IF([2]回答表!BD18="●",IF([2]回答表!X51="●",[2]回答表!E258,IF([2]回答表!AA51="●",[2]回答表!E337,"")),"")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IF([2]回答表!BD18="●",IF([2]回答表!AA51="●","●",""),"")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IF([2]回答表!BD18="●",IF([2]回答表!X51="●",[2]回答表!E265,IF([2]回答表!AA51="●",[2]回答表!E344,"")),"")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IF([2]回答表!BD18="●",IF([2]回答表!X51="●",[2]回答表!B267,IF([2]回答表!AA51="●",[2]回答表!B346,"")),"")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IF([2]回答表!BD18="●",IF([2]回答表!AD51="●","●",""),"")</f>
        <v/>
      </c>
      <c r="O229" s="131"/>
      <c r="P229" s="131"/>
      <c r="Q229" s="132"/>
      <c r="R229" s="119"/>
      <c r="S229" s="119"/>
      <c r="T229" s="119"/>
      <c r="U229" s="133" t="str">
        <f>IF([2]回答表!BD18="●",IF([2]回答表!AD51="●",[2]回答表!B354,""),"")</f>
        <v/>
      </c>
      <c r="V229" s="134"/>
      <c r="W229" s="134"/>
      <c r="X229" s="134"/>
      <c r="Y229" s="134"/>
      <c r="Z229" s="134"/>
      <c r="AA229" s="134"/>
      <c r="AB229" s="134"/>
      <c r="AC229" s="134"/>
      <c r="AD229" s="134"/>
      <c r="AE229" s="134"/>
      <c r="AF229" s="134"/>
      <c r="AG229" s="134"/>
      <c r="AH229" s="134"/>
      <c r="AI229" s="134"/>
      <c r="AJ229" s="135"/>
      <c r="AK229" s="249"/>
      <c r="AL229" s="249"/>
      <c r="AM229" s="133" t="str">
        <f>IF([2]回答表!BD18="●",IF([2]回答表!AD51="●",[2]回答表!B360,""),"")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IF([2]回答表!X52="●","●","")</f>
        <v/>
      </c>
      <c r="O241" s="131"/>
      <c r="P241" s="131"/>
      <c r="Q241" s="132"/>
      <c r="R241" s="119"/>
      <c r="S241" s="119"/>
      <c r="T241" s="119"/>
      <c r="U241" s="133" t="str">
        <f>IF([2]回答表!X52="●",[2]回答表!B371,IF([2]回答表!AA52="●",[2]回答表!B396,""))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IF([2]回答表!X52="●",[2]回答表!U377,IF([2]回答表!AA52="●",[2]回答表!U402,""))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IF([2]回答表!X52="●",[2]回答表!G377,IF([2]回答表!AA52="●",[2]回答表!G402,""))</f>
        <v/>
      </c>
      <c r="AN244" s="83"/>
      <c r="AO244" s="83"/>
      <c r="AP244" s="83"/>
      <c r="AQ244" s="83"/>
      <c r="AR244" s="83"/>
      <c r="AS244" s="83"/>
      <c r="AT244" s="153"/>
      <c r="AU244" s="82" t="str">
        <f>IF([2]回答表!X52="●",[2]回答表!G378,IF([2]回答表!AA52="●",[2]回答表!G403,""))</f>
        <v/>
      </c>
      <c r="AV244" s="83"/>
      <c r="AW244" s="83"/>
      <c r="AX244" s="83"/>
      <c r="AY244" s="83"/>
      <c r="AZ244" s="83"/>
      <c r="BA244" s="83"/>
      <c r="BB244" s="153"/>
      <c r="BC244" s="120"/>
      <c r="BD244" s="109"/>
      <c r="BE244" s="109"/>
      <c r="BF244" s="150" t="str">
        <f>IF([2]回答表!X52="●",[2]回答表!X377,IF([2]回答表!AA52="●",[2]回答表!X402,""))</f>
        <v/>
      </c>
      <c r="BG244" s="151"/>
      <c r="BH244" s="151"/>
      <c r="BI244" s="151"/>
      <c r="BJ244" s="150" t="str">
        <f>IF([2]回答表!X52="●",[2]回答表!X378,IF([2]回答表!AA52="●",[2]回答表!X403,""))</f>
        <v/>
      </c>
      <c r="BK244" s="151"/>
      <c r="BL244" s="151"/>
      <c r="BM244" s="152"/>
      <c r="BN244" s="150" t="str">
        <f>IF([2]回答表!X52="●",[2]回答表!X379,IF([2]回答表!AA52="●",[2]回答表!X404,""))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IF([2]回答表!X52="●",[2]回答表!E386,IF([2]回答表!AA52="●",[2]回答表!E407,""))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IF([2]回答表!X52="●",[2]回答表!B388,IF([2]回答表!AA52="●",[2]回答表!B409,""))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IF([2]回答表!AD52="●","●","")</f>
        <v/>
      </c>
      <c r="O260" s="131"/>
      <c r="P260" s="131"/>
      <c r="Q260" s="132"/>
      <c r="R260" s="119"/>
      <c r="S260" s="119"/>
      <c r="T260" s="119"/>
      <c r="U260" s="133" t="str">
        <f>IF([2]回答表!AD52="●",[2]回答表!B417,"")</f>
        <v/>
      </c>
      <c r="V260" s="134"/>
      <c r="W260" s="134"/>
      <c r="X260" s="134"/>
      <c r="Y260" s="134"/>
      <c r="Z260" s="134"/>
      <c r="AA260" s="134"/>
      <c r="AB260" s="134"/>
      <c r="AC260" s="134"/>
      <c r="AD260" s="134"/>
      <c r="AE260" s="134"/>
      <c r="AF260" s="134"/>
      <c r="AG260" s="134"/>
      <c r="AH260" s="134"/>
      <c r="AI260" s="134"/>
      <c r="AJ260" s="135"/>
      <c r="AK260" s="249"/>
      <c r="AL260" s="249"/>
      <c r="AM260" s="133" t="str">
        <f>IF([2]回答表!AD52="●",[2]回答表!B423,"")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IF([2]回答表!X53="●","●","")</f>
        <v/>
      </c>
      <c r="O272" s="131"/>
      <c r="P272" s="131"/>
      <c r="Q272" s="132"/>
      <c r="R272" s="119"/>
      <c r="S272" s="119"/>
      <c r="T272" s="119"/>
      <c r="U272" s="133" t="str">
        <f>IF([2]回答表!X53="●",[2]回答表!B434,IF([2]回答表!AA53="●",[2]回答表!B465,""))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IF([2]回答表!X53="●",[2]回答表!B440,"")</f>
        <v/>
      </c>
      <c r="AO272" s="262"/>
      <c r="AP272" s="262"/>
      <c r="AQ272" s="262"/>
      <c r="AR272" s="262"/>
      <c r="AS272" s="262"/>
      <c r="AT272" s="262"/>
      <c r="AU272" s="262"/>
      <c r="AV272" s="262"/>
      <c r="AW272" s="262"/>
      <c r="AX272" s="262"/>
      <c r="AY272" s="262"/>
      <c r="AZ272" s="262"/>
      <c r="BA272" s="262"/>
      <c r="BB272" s="263"/>
      <c r="BC272" s="120"/>
      <c r="BD272" s="109"/>
      <c r="BE272" s="109"/>
      <c r="BF272" s="138" t="str">
        <f>IF([2]回答表!X53="●",[2]回答表!B446,IF([2]回答表!AA53="●",[2]回答表!B471,""))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IF([2]回答表!X53="●",[2]回答表!E446,IF([2]回答表!AA53="●",[2]回答表!E471,""))</f>
        <v/>
      </c>
      <c r="BG275" s="151"/>
      <c r="BH275" s="151"/>
      <c r="BI275" s="151"/>
      <c r="BJ275" s="150" t="str">
        <f>IF([2]回答表!X53="●",[2]回答表!E447,IF([2]回答表!AA53="●",[2]回答表!E472,""))</f>
        <v/>
      </c>
      <c r="BK275" s="151"/>
      <c r="BL275" s="151"/>
      <c r="BM275" s="152"/>
      <c r="BN275" s="150" t="str">
        <f>IF([2]回答表!X53="●",[2]回答表!E448,IF([2]回答表!AA53="●",[2]回答表!E473,""))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IF([2]回答表!X53="●",[2]回答表!E455,IF([2]回答表!AA53="●",[2]回答表!E476,""))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IF([2]回答表!X53="●",[2]回答表!B457,IF([2]回答表!AA53="●",[2]回答表!B478,""))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IF([2]回答表!AD53="●","●","")</f>
        <v/>
      </c>
      <c r="O291" s="131"/>
      <c r="P291" s="131"/>
      <c r="Q291" s="132"/>
      <c r="R291" s="119"/>
      <c r="S291" s="119"/>
      <c r="T291" s="119"/>
      <c r="U291" s="133" t="str">
        <f>IF([2]回答表!AD53="●",[2]回答表!B486,"")</f>
        <v/>
      </c>
      <c r="V291" s="134"/>
      <c r="W291" s="134"/>
      <c r="X291" s="134"/>
      <c r="Y291" s="134"/>
      <c r="Z291" s="134"/>
      <c r="AA291" s="134"/>
      <c r="AB291" s="134"/>
      <c r="AC291" s="134"/>
      <c r="AD291" s="134"/>
      <c r="AE291" s="134"/>
      <c r="AF291" s="134"/>
      <c r="AG291" s="134"/>
      <c r="AH291" s="134"/>
      <c r="AI291" s="134"/>
      <c r="AJ291" s="135"/>
      <c r="AK291" s="249"/>
      <c r="AL291" s="249"/>
      <c r="AM291" s="133" t="str">
        <f>IF([2]回答表!AD53="●",[2]回答表!B492,"")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IF([2]回答表!X54="●","●","")</f>
        <v/>
      </c>
      <c r="O303" s="131"/>
      <c r="P303" s="131"/>
      <c r="Q303" s="132"/>
      <c r="R303" s="119"/>
      <c r="S303" s="119"/>
      <c r="T303" s="119"/>
      <c r="U303" s="133" t="str">
        <f>IF([2]回答表!X54="●",[2]回答表!B503,IF([2]回答表!AA54="●",[2]回答表!B526,""))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IF([2]回答表!X54="●",[2]回答表!BC510,IF([2]回答表!AA54="●",[2]回答表!BC533,""))</f>
        <v/>
      </c>
      <c r="AR303" s="271"/>
      <c r="AS303" s="271"/>
      <c r="AT303" s="271"/>
      <c r="AU303" s="272" t="s">
        <v>74</v>
      </c>
      <c r="AV303" s="273"/>
      <c r="AW303" s="273"/>
      <c r="AX303" s="274"/>
      <c r="AY303" s="271" t="str">
        <f>IF([2]回答表!X54="●",[2]回答表!BC515,IF([2]回答表!AA54="●",[2]回答表!BC538,""))</f>
        <v/>
      </c>
      <c r="AZ303" s="271"/>
      <c r="BA303" s="271"/>
      <c r="BB303" s="271"/>
      <c r="BC303" s="120"/>
      <c r="BD303" s="109"/>
      <c r="BE303" s="109"/>
      <c r="BF303" s="138" t="str">
        <f>IF([2]回答表!X54="●",[2]回答表!S509,IF([2]回答表!AA54="●",[2]回答表!S532,""))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IF([2]回答表!X54="●",[2]回答表!BC511,IF([2]回答表!AA54="●",[2]回答表!BC534,""))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IF([2]回答表!X54="●",[2]回答表!V509,IF([2]回答表!AA54="●",[2]回答表!V532,""))</f>
        <v/>
      </c>
      <c r="BG306" s="151"/>
      <c r="BH306" s="151"/>
      <c r="BI306" s="151"/>
      <c r="BJ306" s="150" t="str">
        <f>IF([2]回答表!X54="●",[2]回答表!V510,IF([2]回答表!AA54="●",[2]回答表!V533,""))</f>
        <v/>
      </c>
      <c r="BK306" s="151"/>
      <c r="BL306" s="151"/>
      <c r="BM306" s="152"/>
      <c r="BN306" s="150" t="str">
        <f>IF([2]回答表!X54="●",[2]回答表!V511,IF([2]回答表!AA54="●",[2]回答表!V534,""))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IF([2]回答表!X54="●",[2]回答表!BC512,IF([2]回答表!AA54="●",[2]回答表!BC535,""))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IF([2]回答表!X54="●",[2]回答表!BC516,IF([2]回答表!AA54="●",[2]回答表!BC539,""))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IF([2]回答表!X54="●",[2]回答表!BC513,IF([2]回答表!AA54="●",[2]回答表!BC536,""))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IF([2]回答表!X54="●",[2]回答表!BC514,IF([2]回答表!AA54="●",[2]回答表!BC537,""))</f>
        <v/>
      </c>
      <c r="AR311" s="271"/>
      <c r="AS311" s="271"/>
      <c r="AT311" s="271"/>
      <c r="AU311" s="222" t="s">
        <v>80</v>
      </c>
      <c r="AV311" s="223"/>
      <c r="AW311" s="223"/>
      <c r="AX311" s="224"/>
      <c r="AY311" s="281" t="str">
        <f>IF([2]回答表!X54="●",[2]回答表!BC517,IF([2]回答表!AA54="●",[2]回答表!BC540,""))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IF([2]回答表!X54="●",[2]回答表!E516,IF([2]回答表!AA54="●",[2]回答表!E538,""))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IF([2]回答表!X54="●",[2]回答表!B518,IF([2]回答表!AA54="●",[2]回答表!B540,""))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IF([2]回答表!AD54="●","●","")</f>
        <v/>
      </c>
      <c r="O322" s="131"/>
      <c r="P322" s="131"/>
      <c r="Q322" s="132"/>
      <c r="R322" s="119"/>
      <c r="S322" s="119"/>
      <c r="T322" s="119"/>
      <c r="U322" s="133" t="str">
        <f>IF([2]回答表!AD54="●",[2]回答表!B548,"")</f>
        <v/>
      </c>
      <c r="V322" s="134"/>
      <c r="W322" s="134"/>
      <c r="X322" s="134"/>
      <c r="Y322" s="134"/>
      <c r="Z322" s="134"/>
      <c r="AA322" s="134"/>
      <c r="AB322" s="134"/>
      <c r="AC322" s="134"/>
      <c r="AD322" s="134"/>
      <c r="AE322" s="134"/>
      <c r="AF322" s="134"/>
      <c r="AG322" s="134"/>
      <c r="AH322" s="134"/>
      <c r="AI322" s="134"/>
      <c r="AJ322" s="135"/>
      <c r="AK322" s="189"/>
      <c r="AL322" s="189"/>
      <c r="AM322" s="133" t="str">
        <f>IF([2]回答表!AD54="●",[2]回答表!B554,"")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IF([2]回答表!X55="●","●","")</f>
        <v/>
      </c>
      <c r="O333" s="131"/>
      <c r="P333" s="131"/>
      <c r="Q333" s="132"/>
      <c r="R333" s="119"/>
      <c r="S333" s="119"/>
      <c r="T333" s="119"/>
      <c r="U333" s="133" t="str">
        <f>IF([2]回答表!X55="●",[2]回答表!B565,IF([2]回答表!AA55="●",[2]回答表!B590,""))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IF([2]回答表!X55="●",[2]回答表!B575,IF([2]回答表!AA55="●",[2]回答表!B600,""))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IF([2]回答表!X55="●",[2]回答表!G571,IF([2]回答表!AA55="●",[2]回答表!G596,""))</f>
        <v/>
      </c>
      <c r="AN335" s="83"/>
      <c r="AO335" s="83"/>
      <c r="AP335" s="83"/>
      <c r="AQ335" s="83"/>
      <c r="AR335" s="83"/>
      <c r="AS335" s="83"/>
      <c r="AT335" s="153"/>
      <c r="AU335" s="82" t="str">
        <f>IF([2]回答表!X55="●",[2]回答表!G572,IF([2]回答表!AA55="●",[2]回答表!G597,""))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IF([2]回答表!X55="●",[2]回答表!E575,IF([2]回答表!AA55="●",[2]回答表!E600,""))</f>
        <v/>
      </c>
      <c r="BG336" s="151"/>
      <c r="BH336" s="151"/>
      <c r="BI336" s="151"/>
      <c r="BJ336" s="150" t="str">
        <f>IF([2]回答表!X55="●",[2]回答表!E576,IF([2]回答表!AA55="●",[2]回答表!E601,""))</f>
        <v/>
      </c>
      <c r="BK336" s="151"/>
      <c r="BL336" s="151"/>
      <c r="BM336" s="152"/>
      <c r="BN336" s="150" t="str">
        <f>IF([2]回答表!X55="●",[2]回答表!E577,IF([2]回答表!AA55="●",[2]回答表!E602,""))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IF([2]回答表!X55="●",[2]回答表!E580,IF([2]回答表!AA55="●",[2]回答表!E605,""))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IF([2]回答表!X55="●",[2]回答表!B582,IF([2]回答表!AA55="●",[2]回答表!B607,""))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IF([2]回答表!AD55="●","●","")</f>
        <v/>
      </c>
      <c r="O352" s="131"/>
      <c r="P352" s="131"/>
      <c r="Q352" s="132"/>
      <c r="R352" s="119"/>
      <c r="S352" s="119"/>
      <c r="T352" s="119"/>
      <c r="U352" s="133" t="str">
        <f>IF([2]回答表!AD55="●",[2]回答表!B615,"")</f>
        <v/>
      </c>
      <c r="V352" s="134"/>
      <c r="W352" s="134"/>
      <c r="X352" s="134"/>
      <c r="Y352" s="134"/>
      <c r="Z352" s="134"/>
      <c r="AA352" s="134"/>
      <c r="AB352" s="134"/>
      <c r="AC352" s="134"/>
      <c r="AD352" s="134"/>
      <c r="AE352" s="134"/>
      <c r="AF352" s="134"/>
      <c r="AG352" s="134"/>
      <c r="AH352" s="134"/>
      <c r="AI352" s="134"/>
      <c r="AJ352" s="135"/>
      <c r="AK352" s="136"/>
      <c r="AL352" s="136"/>
      <c r="AM352" s="133" t="str">
        <f>IF([2]回答表!AD55="●",[2]回答表!B621,"")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IF([2]回答表!R56="●",[2]回答表!B634,"")</f>
        <v>　当市水道事業は平成１７年３月に本荘、矢島、西目、鳥海の４地域の上水道を経営統合する形で創設され、平成１８年３月に由利地区簡易水道事業を譲り受けました。さらに、平成２９年３月には由利本荘市簡易水道事業の全部を譲り受ける事業統合をおこない現在に至っています。創設後は平成１７年度より黒字経営を続けており、現在累積欠損金はありません。
　今後はまず、給水人口が減少する中で料金改定を踏まえた料金収入の確保を行うとともに、施設・設備の廃止・統合を含めた効率的な施設の維持管理、その他経常費用の見直し等により経営の健全化を図っていきたいと考えております。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9" priority="2">
      <formula>$BB$25="○"</formula>
    </cfRule>
  </conditionalFormatting>
  <conditionalFormatting sqref="BD28:BD30">
    <cfRule type="expression" dxfId="28" priority="1">
      <formula>$BB$25="○"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51EC5-659A-4255-8DF6-D9121AC3DADC}">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IF(COUNTIF([3]回答表!K16,"*")&gt;0,[3]回答表!K16,"")</f>
        <v>由利本荘市</v>
      </c>
      <c r="D11" s="8"/>
      <c r="E11" s="8"/>
      <c r="F11" s="8"/>
      <c r="G11" s="8"/>
      <c r="H11" s="8"/>
      <c r="I11" s="8"/>
      <c r="J11" s="8"/>
      <c r="K11" s="8"/>
      <c r="L11" s="8"/>
      <c r="M11" s="8"/>
      <c r="N11" s="8"/>
      <c r="O11" s="8"/>
      <c r="P11" s="8"/>
      <c r="Q11" s="8"/>
      <c r="R11" s="8"/>
      <c r="S11" s="8"/>
      <c r="T11" s="8"/>
      <c r="U11" s="22" t="str">
        <f>IF(COUNTIF([3]回答表!F18,"*")&gt;0,[3]回答表!F18,"")</f>
        <v>観光施設事業</v>
      </c>
      <c r="V11" s="23"/>
      <c r="W11" s="23"/>
      <c r="X11" s="23"/>
      <c r="Y11" s="23"/>
      <c r="Z11" s="23"/>
      <c r="AA11" s="23"/>
      <c r="AB11" s="23"/>
      <c r="AC11" s="23"/>
      <c r="AD11" s="23"/>
      <c r="AE11" s="23"/>
      <c r="AF11" s="10"/>
      <c r="AG11" s="10"/>
      <c r="AH11" s="10"/>
      <c r="AI11" s="10"/>
      <c r="AJ11" s="10"/>
      <c r="AK11" s="10"/>
      <c r="AL11" s="10"/>
      <c r="AM11" s="10"/>
      <c r="AN11" s="11"/>
      <c r="AO11" s="24" t="str">
        <f>IF(COUNTIF([3]回答表!W18,"*")&gt;0,[3]回答表!W18,"")</f>
        <v>索道</v>
      </c>
      <c r="AP11" s="10"/>
      <c r="AQ11" s="10"/>
      <c r="AR11" s="10"/>
      <c r="AS11" s="10"/>
      <c r="AT11" s="10"/>
      <c r="AU11" s="10"/>
      <c r="AV11" s="10"/>
      <c r="AW11" s="10"/>
      <c r="AX11" s="10"/>
      <c r="AY11" s="10"/>
      <c r="AZ11" s="10"/>
      <c r="BA11" s="10"/>
      <c r="BB11" s="10"/>
      <c r="BC11" s="10"/>
      <c r="BD11" s="10"/>
      <c r="BE11" s="10"/>
      <c r="BF11" s="11"/>
      <c r="BG11" s="21" t="str">
        <f>IF(COUNTIF([3]回答表!F20,"*")&gt;0,[3]回答表!F20,"")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IF([3]回答表!R49="●","●","")</f>
        <v/>
      </c>
      <c r="E24" s="80"/>
      <c r="F24" s="80"/>
      <c r="G24" s="80"/>
      <c r="H24" s="80"/>
      <c r="I24" s="80"/>
      <c r="J24" s="81"/>
      <c r="K24" s="79" t="str">
        <f>IF([3]回答表!R50="●","●","")</f>
        <v/>
      </c>
      <c r="L24" s="80"/>
      <c r="M24" s="80"/>
      <c r="N24" s="80"/>
      <c r="O24" s="80"/>
      <c r="P24" s="80"/>
      <c r="Q24" s="81"/>
      <c r="R24" s="79" t="str">
        <f>IF([3]回答表!R51="●","●","")</f>
        <v/>
      </c>
      <c r="S24" s="80"/>
      <c r="T24" s="80"/>
      <c r="U24" s="80"/>
      <c r="V24" s="80"/>
      <c r="W24" s="80"/>
      <c r="X24" s="81"/>
      <c r="Y24" s="79" t="str">
        <f>IF([3]回答表!R52="●","●","")</f>
        <v/>
      </c>
      <c r="Z24" s="80"/>
      <c r="AA24" s="80"/>
      <c r="AB24" s="80"/>
      <c r="AC24" s="80"/>
      <c r="AD24" s="80"/>
      <c r="AE24" s="81"/>
      <c r="AF24" s="79" t="str">
        <f>IF([3]回答表!R53="●","●","")</f>
        <v/>
      </c>
      <c r="AG24" s="80"/>
      <c r="AH24" s="80"/>
      <c r="AI24" s="80"/>
      <c r="AJ24" s="80"/>
      <c r="AK24" s="80"/>
      <c r="AL24" s="81"/>
      <c r="AM24" s="79" t="str">
        <f>IF([3]回答表!R54="●","●","")</f>
        <v/>
      </c>
      <c r="AN24" s="80"/>
      <c r="AO24" s="80"/>
      <c r="AP24" s="80"/>
      <c r="AQ24" s="80"/>
      <c r="AR24" s="80"/>
      <c r="AS24" s="81"/>
      <c r="AT24" s="79" t="str">
        <f>IF([3]回答表!R55="●","●","")</f>
        <v/>
      </c>
      <c r="AU24" s="80"/>
      <c r="AV24" s="80"/>
      <c r="AW24" s="80"/>
      <c r="AX24" s="80"/>
      <c r="AY24" s="80"/>
      <c r="AZ24" s="81"/>
      <c r="BA24" s="68"/>
      <c r="BB24" s="82" t="str">
        <f>IF([3]回答表!R56="●","●","")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IF([3]回答表!X49="●","●","")</f>
        <v/>
      </c>
      <c r="O36" s="131"/>
      <c r="P36" s="131"/>
      <c r="Q36" s="132"/>
      <c r="R36" s="119"/>
      <c r="S36" s="119"/>
      <c r="T36" s="119"/>
      <c r="U36" s="133" t="str">
        <f>IF([3]回答表!X49="●",[3]回答表!B67,IF([3]回答表!AA49="●",[3]回答表!B95,""))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IF([3]回答表!X49="●",[3]回答表!S73,IF([3]回答表!AA49="●",[3]回答表!S101,""))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IF([3]回答表!X49="●",[3]回答表!G73,IF([3]回答表!AA49="●",[3]回答表!G101,""))</f>
        <v/>
      </c>
      <c r="AN38" s="83"/>
      <c r="AO38" s="83"/>
      <c r="AP38" s="83"/>
      <c r="AQ38" s="83"/>
      <c r="AR38" s="83"/>
      <c r="AS38" s="83"/>
      <c r="AT38" s="153"/>
      <c r="AU38" s="82" t="str">
        <f>IF([3]回答表!X49="●",[3]回答表!G74,IF([3]回答表!AA49="●",[3]回答表!G102,""))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IF([3]回答表!X49="●",[3]回答表!V73,IF([3]回答表!AA49="●",[3]回答表!V101,""))</f>
        <v/>
      </c>
      <c r="BG39" s="16"/>
      <c r="BH39" s="16"/>
      <c r="BI39" s="17"/>
      <c r="BJ39" s="150" t="str">
        <f>IF([3]回答表!X49="●",[3]回答表!V74,IF([3]回答表!AA49="●",[3]回答表!V102,""))</f>
        <v/>
      </c>
      <c r="BK39" s="16"/>
      <c r="BL39" s="16"/>
      <c r="BM39" s="17"/>
      <c r="BN39" s="150" t="str">
        <f>IF([3]回答表!X49="●",[3]回答表!V75,IF([3]回答表!AA49="●",[3]回答表!V103,""))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IF([3]回答表!X49="●",[3]回答表!O79,IF([3]回答表!AA49="●",[3]回答表!O107,""))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IF([3]回答表!X49="●",[3]回答表!O80,IF([3]回答表!AA49="●",[3]回答表!O108,""))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IF([3]回答表!X49="●",[3]回答表!O81,IF([3]回答表!AA49="●",[3]回答表!O109,""))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IF([3]回答表!X49="●",[3]回答表!O82,IF([3]回答表!AA49="●",[3]回答表!O110,""))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IF([3]回答表!X49="●",[3]回答表!AG79,IF([3]回答表!AA49="●",[3]回答表!AG107,""))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IF([3]回答表!X49="●",[3]回答表!AG80,IF([3]回答表!AA49="●",[3]回答表!AG108,""))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IF([3]回答表!X49="●",[3]回答表!E85,IF([3]回答表!AA49="●",[3]回答表!E113,""))</f>
        <v/>
      </c>
      <c r="V50" s="182"/>
      <c r="W50" s="182"/>
      <c r="X50" s="182"/>
      <c r="Y50" s="182"/>
      <c r="Z50" s="182"/>
      <c r="AA50" s="182"/>
      <c r="AB50" s="182"/>
      <c r="AC50" s="182"/>
      <c r="AD50" s="182"/>
      <c r="AE50" s="183" t="s">
        <v>33</v>
      </c>
      <c r="AF50" s="183"/>
      <c r="AG50" s="183"/>
      <c r="AH50" s="183"/>
      <c r="AI50" s="183"/>
      <c r="AJ50" s="184"/>
      <c r="AK50" s="136"/>
      <c r="AL50" s="136"/>
      <c r="AM50" s="133" t="str">
        <f>IF([3]回答表!X49="●",[3]回答表!B87,IF([3]回答表!AA49="●",[3]回答表!B115,""))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IF([3]回答表!AD49="●","●","")</f>
        <v/>
      </c>
      <c r="O57" s="131"/>
      <c r="P57" s="131"/>
      <c r="Q57" s="132"/>
      <c r="R57" s="119"/>
      <c r="S57" s="119"/>
      <c r="T57" s="119"/>
      <c r="U57" s="133" t="str">
        <f>IF([3]回答表!AD49="●",[3]回答表!B123,"")</f>
        <v/>
      </c>
      <c r="V57" s="134"/>
      <c r="W57" s="134"/>
      <c r="X57" s="134"/>
      <c r="Y57" s="134"/>
      <c r="Z57" s="134"/>
      <c r="AA57" s="134"/>
      <c r="AB57" s="134"/>
      <c r="AC57" s="134"/>
      <c r="AD57" s="134"/>
      <c r="AE57" s="134"/>
      <c r="AF57" s="134"/>
      <c r="AG57" s="134"/>
      <c r="AH57" s="134"/>
      <c r="AI57" s="134"/>
      <c r="AJ57" s="135"/>
      <c r="AK57" s="189"/>
      <c r="AL57" s="189"/>
      <c r="AM57" s="133" t="str">
        <f>IF([3]回答表!AD49="●",[3]回答表!B128,"")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IF([3]回答表!X50="●","●","")</f>
        <v/>
      </c>
      <c r="O68" s="131"/>
      <c r="P68" s="131"/>
      <c r="Q68" s="132"/>
      <c r="R68" s="119"/>
      <c r="S68" s="119"/>
      <c r="T68" s="119"/>
      <c r="U68" s="133" t="str">
        <f>IF([3]回答表!X50="●",[3]回答表!B138,IF([3]回答表!AA50="●",[3]回答表!B159,""))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IF([3]回答表!X50="●",[3]回答表!S144,IF([3]回答表!AA50="●",[3]回答表!S165,""))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IF([3]回答表!X50="●",[3]回答表!J144,IF([3]回答表!AA50="●",[3]回答表!J165,""))</f>
        <v/>
      </c>
      <c r="AN71" s="83"/>
      <c r="AO71" s="83"/>
      <c r="AP71" s="83"/>
      <c r="AQ71" s="83"/>
      <c r="AR71" s="83"/>
      <c r="AS71" s="83"/>
      <c r="AT71" s="153"/>
      <c r="AU71" s="82" t="str">
        <f>IF([3]回答表!X50="●",[3]回答表!J145,IF([3]回答表!AA50="●",[3]回答表!J166,""))</f>
        <v/>
      </c>
      <c r="AV71" s="83"/>
      <c r="AW71" s="83"/>
      <c r="AX71" s="83"/>
      <c r="AY71" s="83"/>
      <c r="AZ71" s="83"/>
      <c r="BA71" s="83"/>
      <c r="BB71" s="153"/>
      <c r="BC71" s="120"/>
      <c r="BD71" s="109"/>
      <c r="BE71" s="109"/>
      <c r="BF71" s="150" t="str">
        <f>IF([3]回答表!X50="●",[3]回答表!V144,IF([3]回答表!AA50="●",[3]回答表!V165,""))</f>
        <v/>
      </c>
      <c r="BG71" s="151"/>
      <c r="BH71" s="151"/>
      <c r="BI71" s="151"/>
      <c r="BJ71" s="150" t="str">
        <f>IF([3]回答表!X50="●",[3]回答表!V145,IF([3]回答表!AA50="●",[3]回答表!V166,""))</f>
        <v/>
      </c>
      <c r="BK71" s="151"/>
      <c r="BL71" s="151"/>
      <c r="BM71" s="151"/>
      <c r="BN71" s="150" t="str">
        <f>IF([3]回答表!X50="●",[3]回答表!V146,IF([3]回答表!AA50="●",[3]回答表!V167,""))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IF([3]回答表!X50="●",[3]回答表!E149,IF([3]回答表!AA50="●",[3]回答表!E170,""))</f>
        <v/>
      </c>
      <c r="V80" s="182"/>
      <c r="W80" s="182"/>
      <c r="X80" s="182"/>
      <c r="Y80" s="182"/>
      <c r="Z80" s="182"/>
      <c r="AA80" s="182"/>
      <c r="AB80" s="182"/>
      <c r="AC80" s="182"/>
      <c r="AD80" s="182"/>
      <c r="AE80" s="183" t="s">
        <v>33</v>
      </c>
      <c r="AF80" s="183"/>
      <c r="AG80" s="183"/>
      <c r="AH80" s="183"/>
      <c r="AI80" s="183"/>
      <c r="AJ80" s="184"/>
      <c r="AK80" s="136"/>
      <c r="AL80" s="136"/>
      <c r="AM80" s="133" t="str">
        <f>IF([3]回答表!X50="●",[3]回答表!B151,IF([3]回答表!AA50="●",[3]回答表!B172,""))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IF([3]回答表!AD50="●","●","")</f>
        <v/>
      </c>
      <c r="O87" s="131"/>
      <c r="P87" s="131"/>
      <c r="Q87" s="132"/>
      <c r="R87" s="119"/>
      <c r="S87" s="119"/>
      <c r="T87" s="119"/>
      <c r="U87" s="133" t="str">
        <f>IF([3]回答表!AD50="●",[3]回答表!B180,"")</f>
        <v/>
      </c>
      <c r="V87" s="134"/>
      <c r="W87" s="134"/>
      <c r="X87" s="134"/>
      <c r="Y87" s="134"/>
      <c r="Z87" s="134"/>
      <c r="AA87" s="134"/>
      <c r="AB87" s="134"/>
      <c r="AC87" s="134"/>
      <c r="AD87" s="134"/>
      <c r="AE87" s="134"/>
      <c r="AF87" s="134"/>
      <c r="AG87" s="134"/>
      <c r="AH87" s="134"/>
      <c r="AI87" s="134"/>
      <c r="AJ87" s="135"/>
      <c r="AK87" s="189"/>
      <c r="AL87" s="189"/>
      <c r="AM87" s="133" t="str">
        <f>IF([3]回答表!AD50="●",[3]回答表!B186,"")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IF([3]回答表!F18="水道事業",IF([3]回答表!X51="●","●",""),"")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IF([3]回答表!F18="水道事業",IF([3]回答表!X51="●",[3]回答表!B197,IF([3]回答表!AA51="●",[3]回答表!B275,"")),"")</f>
        <v/>
      </c>
      <c r="AN99" s="134"/>
      <c r="AO99" s="134"/>
      <c r="AP99" s="134"/>
      <c r="AQ99" s="134"/>
      <c r="AR99" s="134"/>
      <c r="AS99" s="134"/>
      <c r="AT99" s="134"/>
      <c r="AU99" s="134"/>
      <c r="AV99" s="134"/>
      <c r="AW99" s="134"/>
      <c r="AX99" s="134"/>
      <c r="AY99" s="134"/>
      <c r="AZ99" s="134"/>
      <c r="BA99" s="134"/>
      <c r="BB99" s="134"/>
      <c r="BC99" s="135"/>
      <c r="BD99" s="109"/>
      <c r="BE99" s="109"/>
      <c r="BF99" s="138" t="str">
        <f>IF([3]回答表!F18="水道事業",IF([3]回答表!X51="●",[3]回答表!B256,IF([3]回答表!AA51="●",[3]回答表!B335,"")),"")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IF([3]回答表!F18="水道事業",IF([3]回答表!X51="●",[3]回答表!J205,IF([3]回答表!AA51="●",[3]回答表!J283,"")),"")</f>
        <v/>
      </c>
      <c r="V101" s="83"/>
      <c r="W101" s="83"/>
      <c r="X101" s="83"/>
      <c r="Y101" s="83"/>
      <c r="Z101" s="83"/>
      <c r="AA101" s="83"/>
      <c r="AB101" s="153"/>
      <c r="AC101" s="82" t="str">
        <f>IF([3]回答表!F18="水道事業",IF([3]回答表!X51="●",[3]回答表!J210,IF([3]回答表!AA51="●",[3]回答表!J290,"")),"")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IF([3]回答表!F18="水道事業",IF([3]回答表!X51="●",[3]回答表!E256,IF([3]回答表!AA51="●",[3]回答表!E335,"")),"")</f>
        <v/>
      </c>
      <c r="BG102" s="151"/>
      <c r="BH102" s="151"/>
      <c r="BI102" s="151"/>
      <c r="BJ102" s="150" t="str">
        <f>IF([3]回答表!F18="水道事業",IF([3]回答表!X51="●",[3]回答表!E257,IF([3]回答表!AA51="●",[3]回答表!E336,"")),"")</f>
        <v/>
      </c>
      <c r="BK102" s="151"/>
      <c r="BL102" s="151"/>
      <c r="BM102" s="151"/>
      <c r="BN102" s="150" t="str">
        <f>IF([3]回答表!F18="水道事業",IF([3]回答表!X51="●",[3]回答表!E258,IF([3]回答表!AA51="●",[3]回答表!E337,"")),"")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IF([3]回答表!F18="水道事業",IF([3]回答表!AA51="●","●",""),"")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IF([3]回答表!F18="水道事業",IF([3]回答表!X51="●",[3]回答表!J213,IF([3]回答表!AA51="●",[3]回答表!J293,"")),"")</f>
        <v/>
      </c>
      <c r="V106" s="83"/>
      <c r="W106" s="83"/>
      <c r="X106" s="83"/>
      <c r="Y106" s="83"/>
      <c r="Z106" s="83"/>
      <c r="AA106" s="83"/>
      <c r="AB106" s="153"/>
      <c r="AC106" s="82" t="str">
        <f>IF([3]回答表!F18="水道事業",IF([3]回答表!X51="●",[3]回答表!J217,IF([3]回答表!AA51="●",[3]回答表!J297,"")),"")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IF([3]回答表!F18="水道事業",IF([3]回答表!X51="●",[3]回答表!E265,IF([3]回答表!AA51="●",[3]回答表!E344,"")),"")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IF([3]回答表!F18="水道事業",IF([3]回答表!X51="●",[3]回答表!B267,IF([3]回答表!AA51="●",[3]回答表!B346,"")),"")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IF([3]回答表!F18="水道事業",IF([3]回答表!AD51="●","●",""),"")</f>
        <v/>
      </c>
      <c r="O118" s="131"/>
      <c r="P118" s="131"/>
      <c r="Q118" s="132"/>
      <c r="R118" s="119"/>
      <c r="S118" s="119"/>
      <c r="T118" s="119"/>
      <c r="U118" s="133" t="str">
        <f>IF([3]回答表!F18="水道事業",IF([3]回答表!AD51="●",[3]回答表!B354,""),"")</f>
        <v/>
      </c>
      <c r="V118" s="134"/>
      <c r="W118" s="134"/>
      <c r="X118" s="134"/>
      <c r="Y118" s="134"/>
      <c r="Z118" s="134"/>
      <c r="AA118" s="134"/>
      <c r="AB118" s="134"/>
      <c r="AC118" s="134"/>
      <c r="AD118" s="134"/>
      <c r="AE118" s="134"/>
      <c r="AF118" s="134"/>
      <c r="AG118" s="134"/>
      <c r="AH118" s="134"/>
      <c r="AI118" s="134"/>
      <c r="AJ118" s="135"/>
      <c r="AK118" s="189"/>
      <c r="AL118" s="189"/>
      <c r="AM118" s="133" t="str">
        <f>IF([3]回答表!F18="水道事業",IF([3]回答表!AD51="●",[3]回答表!B360,""),"")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IF([3]回答表!F18="簡易水道事業",IF([3]回答表!X51="●",[3]回答表!B197,IF([3]回答表!AA51="●",[3]回答表!B275,"")),"")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IF([3]回答表!F18="簡易水道事業",IF([3]回答表!X51="●",[3]回答表!B256,IF([3]回答表!AA51="●",[3]回答表!B335,"")),"")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IF([3]回答表!F18="簡易水道事業",IF([3]回答表!X51="●","●",""),"")</f>
        <v/>
      </c>
      <c r="O132" s="131"/>
      <c r="P132" s="131"/>
      <c r="Q132" s="132"/>
      <c r="R132" s="119"/>
      <c r="S132" s="119"/>
      <c r="T132" s="119"/>
      <c r="U132" s="82" t="str">
        <f>IF([3]回答表!F18="簡易水道事業",IF([3]回答表!X51="●",[3]回答表!S224,IF([3]回答表!AA51="●",[3]回答表!S304,"")),"")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IF([3]回答表!F18="簡易水道事業",IF([3]回答表!X51="●",[3]回答表!E256,IF([3]回答表!AA51="●",[3]回答表!E335,"")),"")</f>
        <v/>
      </c>
      <c r="BG133" s="151"/>
      <c r="BH133" s="151"/>
      <c r="BI133" s="151"/>
      <c r="BJ133" s="150" t="str">
        <f>IF([3]回答表!F18="簡易水道事業",IF([3]回答表!X51="●",[3]回答表!E257,IF([3]回答表!AA51="●",[3]回答表!E336,"")),"")</f>
        <v/>
      </c>
      <c r="BK133" s="151"/>
      <c r="BL133" s="151"/>
      <c r="BM133" s="151"/>
      <c r="BN133" s="150" t="str">
        <f>IF([3]回答表!F18="簡易水道事業",IF([3]回答表!X51="●",[3]回答表!E258,IF([3]回答表!AA51="●",[3]回答表!E337,"")),"")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IF([3]回答表!F18="簡易水道事業",IF([3]回答表!X51="●",[3]回答表!S225,IF([3]回答表!AA51="●",[3]回答表!S305,"")),"")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IF([3]回答表!F18="簡易水道事業",IF([3]回答表!AA51="●","●",""),"")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IF([3]回答表!F18="簡易水道事業",IF([3]回答表!X51="●",[3]回答表!S226,IF([3]回答表!AA51="●",[3]回答表!S306,"")),"")</f>
        <v/>
      </c>
      <c r="V142" s="83"/>
      <c r="W142" s="83"/>
      <c r="X142" s="83"/>
      <c r="Y142" s="83"/>
      <c r="Z142" s="83"/>
      <c r="AA142" s="83"/>
      <c r="AB142" s="83"/>
      <c r="AC142" s="83"/>
      <c r="AD142" s="83"/>
      <c r="AE142" s="83"/>
      <c r="AF142" s="83"/>
      <c r="AG142" s="83"/>
      <c r="AH142" s="83"/>
      <c r="AI142" s="83"/>
      <c r="AJ142" s="153"/>
      <c r="AK142" s="68"/>
      <c r="AL142" s="68"/>
      <c r="AM142" s="231" t="str">
        <f>IF([3]回答表!F18="簡易水道事業",IF([3]回答表!X51="●",[3]回答表!Y228,IF([3]回答表!AA51="●",[3]回答表!Y308,"")),"")</f>
        <v/>
      </c>
      <c r="AN142" s="231"/>
      <c r="AO142" s="231"/>
      <c r="AP142" s="231"/>
      <c r="AQ142" s="231"/>
      <c r="AR142" s="231"/>
      <c r="AS142" s="231" t="str">
        <f>IF([3]回答表!F18="簡易水道事業",IF([3]回答表!X51="●",[3]回答表!Y229,IF([3]回答表!AA51="●",[3]回答表!Y309,"")),"")</f>
        <v/>
      </c>
      <c r="AT142" s="231"/>
      <c r="AU142" s="231"/>
      <c r="AV142" s="231"/>
      <c r="AW142" s="231"/>
      <c r="AX142" s="231"/>
      <c r="AY142" s="231" t="str">
        <f>IF([3]回答表!F18="簡易水道事業",IF([3]回答表!X51="●",[3]回答表!Y230,IF([3]回答表!AA51="●",[3]回答表!Y310,"")),"")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IF([3]回答表!F18="簡易水道事業",IF([3]回答表!X51="●",[3]回答表!E265,IF([3]回答表!AA51="●",[3]回答表!E344,"")),"")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IF([3]回答表!F18="簡易水道事業",IF([3]回答表!X51="●",[3]回答表!B267,IF([3]回答表!AA51="●",[3]回答表!B346,"")),"")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IF([3]回答表!F18="簡易水道事業",IF([3]回答表!AD51="●","●",""),"")</f>
        <v/>
      </c>
      <c r="O154" s="131"/>
      <c r="P154" s="131"/>
      <c r="Q154" s="132"/>
      <c r="R154" s="119"/>
      <c r="S154" s="119"/>
      <c r="T154" s="119"/>
      <c r="U154" s="133" t="str">
        <f>IF([3]回答表!F18="簡易水道事業",IF([3]回答表!AD51="●",[3]回答表!B354,""),"")</f>
        <v/>
      </c>
      <c r="V154" s="134"/>
      <c r="W154" s="134"/>
      <c r="X154" s="134"/>
      <c r="Y154" s="134"/>
      <c r="Z154" s="134"/>
      <c r="AA154" s="134"/>
      <c r="AB154" s="134"/>
      <c r="AC154" s="134"/>
      <c r="AD154" s="134"/>
      <c r="AE154" s="134"/>
      <c r="AF154" s="134"/>
      <c r="AG154" s="134"/>
      <c r="AH154" s="134"/>
      <c r="AI154" s="134"/>
      <c r="AJ154" s="135"/>
      <c r="AK154" s="189"/>
      <c r="AL154" s="189"/>
      <c r="AM154" s="133" t="str">
        <f>IF([3]回答表!F18="簡易水道事業",IF([3]回答表!AD51="●",[3]回答表!B360,""),"")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IF([3]回答表!F18="下水道事業",IF([3]回答表!X51="●","●",""),"")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IF([3]回答表!F18="下水道事業",IF([3]回答表!X51="●",[3]回答表!B197,IF([3]回答表!AA51="●",[3]回答表!B275,"")),"")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IF([3]回答表!F18="下水道事業",IF([3]回答表!X51="●",[3]回答表!B256,IF([3]回答表!AA51="●",[3]回答表!B335,"")),"")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IF([3]回答表!F18="下水道事業",IF([3]回答表!X51="●",[3]回答表!N234,IF([3]回答表!AA51="●",[3]回答表!N314,"")),"")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IF([3]回答表!F18="下水道事業",IF([3]回答表!X51="●",[3]回答表!E256,IF([3]回答表!AA51="●",[3]回答表!E335,"")),"")</f>
        <v/>
      </c>
      <c r="BG169" s="151"/>
      <c r="BH169" s="151"/>
      <c r="BI169" s="151"/>
      <c r="BJ169" s="150" t="str">
        <f>IF([3]回答表!F18="下水道事業",IF([3]回答表!X51="●",[3]回答表!E257,IF([3]回答表!AA51="●",[3]回答表!E336,"")),"")</f>
        <v/>
      </c>
      <c r="BK169" s="151"/>
      <c r="BL169" s="151"/>
      <c r="BM169" s="151"/>
      <c r="BN169" s="150" t="str">
        <f>IF([3]回答表!F18="下水道事業",IF([3]回答表!X51="●",[3]回答表!E258,IF([3]回答表!AA51="●",[3]回答表!E337,"")),"")</f>
        <v/>
      </c>
      <c r="BO169" s="151"/>
      <c r="BP169" s="151"/>
      <c r="BQ169" s="152"/>
      <c r="BR169" s="112"/>
      <c r="BX169" s="234" t="str">
        <f>IF([3]回答表!AQ21="下水道事業",IF([3]回答表!BI54="○",[3]回答表!AM200,IF([3]回答表!BL54="○",[3]回答表!AM278,"")),"")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IF([3]回答表!F18="下水道事業",IF([3]回答表!X51="●",[3]回答表!Y236,IF([3]回答表!AA51="●",[3]回答表!Y316,"")),"")</f>
        <v/>
      </c>
      <c r="V174" s="83"/>
      <c r="W174" s="83"/>
      <c r="X174" s="83"/>
      <c r="Y174" s="83"/>
      <c r="Z174" s="83"/>
      <c r="AA174" s="83"/>
      <c r="AB174" s="153"/>
      <c r="AC174" s="82" t="str">
        <f>IF([3]回答表!F18="下水道事業",IF([3]回答表!X51="●",[3]回答表!Y237,IF([3]回答表!AA51="●",[3]回答表!Y317,"")),"")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IF([3]回答表!F18="下水道事業",IF([3]回答表!X51="●",[3]回答表!Y239,IF([3]回答表!AA51="●",[3]回答表!Y319,"")),"")</f>
        <v/>
      </c>
      <c r="V180" s="83"/>
      <c r="W180" s="83"/>
      <c r="X180" s="83"/>
      <c r="Y180" s="83"/>
      <c r="Z180" s="83"/>
      <c r="AA180" s="83"/>
      <c r="AB180" s="153"/>
      <c r="AC180" s="82" t="str">
        <f>IF([3]回答表!F18="下水道事業",IF([3]回答表!X51="●",[3]回答表!Y240,IF([3]回答表!AA51="●",[3]回答表!Y320,"")),"")</f>
        <v/>
      </c>
      <c r="AD180" s="83"/>
      <c r="AE180" s="83"/>
      <c r="AF180" s="83"/>
      <c r="AG180" s="83"/>
      <c r="AH180" s="83"/>
      <c r="AI180" s="83"/>
      <c r="AJ180" s="153"/>
      <c r="AK180" s="82" t="str">
        <f>IF([3]回答表!F18="下水道事業",IF([3]回答表!X51="●",[3]回答表!Y241,IF([3]回答表!AA51="●",[3]回答表!Y321,"")),"")</f>
        <v/>
      </c>
      <c r="AL180" s="83"/>
      <c r="AM180" s="83"/>
      <c r="AN180" s="83"/>
      <c r="AO180" s="83"/>
      <c r="AP180" s="83"/>
      <c r="AQ180" s="83"/>
      <c r="AR180" s="153"/>
      <c r="AS180" s="82" t="str">
        <f>IF([3]回答表!F18="下水道事業",IF([3]回答表!X51="●",[3]回答表!Y242,IF([3]回答表!AA51="●",[3]回答表!Y322,"")),"")</f>
        <v/>
      </c>
      <c r="AT180" s="83"/>
      <c r="AU180" s="83"/>
      <c r="AV180" s="83"/>
      <c r="AW180" s="83"/>
      <c r="AX180" s="83"/>
      <c r="AY180" s="83"/>
      <c r="AZ180" s="153"/>
      <c r="BA180" s="82" t="str">
        <f>IF([3]回答表!F18="下水道事業",IF([3]回答表!X51="●",[3]回答表!Y243,IF([3]回答表!AA51="●",[3]回答表!Y323,"")),"")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IF([3]回答表!F18="下水道事業",IF([3]回答表!AA51="●","●",""),"")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IF([3]回答表!F18="下水道事業",IF([3]回答表!X51="●",[3]回答表!N248,IF([3]回答表!AA51="●",[3]回答表!N328,"")),"")</f>
        <v/>
      </c>
      <c r="V186" s="83"/>
      <c r="W186" s="83"/>
      <c r="X186" s="83"/>
      <c r="Y186" s="83"/>
      <c r="Z186" s="83"/>
      <c r="AA186" s="83"/>
      <c r="AB186" s="153"/>
      <c r="AC186" s="82" t="str">
        <f>IF([3]回答表!F18="下水道事業",IF([3]回答表!X51="●",[3]回答表!N249,IF([3]回答表!AA51="●",[3]回答表!N329,"")),"")</f>
        <v/>
      </c>
      <c r="AD186" s="83"/>
      <c r="AE186" s="83"/>
      <c r="AF186" s="83"/>
      <c r="AG186" s="83"/>
      <c r="AH186" s="83"/>
      <c r="AI186" s="83"/>
      <c r="AJ186" s="153"/>
      <c r="AK186" s="82" t="str">
        <f>IF([3]回答表!F18="下水道事業",IF([3]回答表!X51="●",[3]回答表!N250,IF([3]回答表!AA51="●",[3]回答表!N330,"")),"")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IF([3]回答表!F18="下水道事業",IF([3]回答表!X51="●",[3]回答表!E265,IF([3]回答表!AA51="●",[3]回答表!E344,"")),"")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IF([3]回答表!F18="下水道事業",IF([3]回答表!X51="●",[3]回答表!B267,IF([3]回答表!AA51="●",[3]回答表!B346,"")),"")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IF([3]回答表!F18="下水道事業",IF([3]回答表!AD51="●","●",""),"")</f>
        <v/>
      </c>
      <c r="O198" s="131"/>
      <c r="P198" s="131"/>
      <c r="Q198" s="132"/>
      <c r="R198" s="119"/>
      <c r="S198" s="119"/>
      <c r="T198" s="119"/>
      <c r="U198" s="133" t="str">
        <f>IF([3]回答表!F18="下水道事業",IF([3]回答表!AD51="●",[3]回答表!B354,""),"")</f>
        <v/>
      </c>
      <c r="V198" s="134"/>
      <c r="W198" s="134"/>
      <c r="X198" s="134"/>
      <c r="Y198" s="134"/>
      <c r="Z198" s="134"/>
      <c r="AA198" s="134"/>
      <c r="AB198" s="134"/>
      <c r="AC198" s="134"/>
      <c r="AD198" s="134"/>
      <c r="AE198" s="134"/>
      <c r="AF198" s="134"/>
      <c r="AG198" s="134"/>
      <c r="AH198" s="134"/>
      <c r="AI198" s="134"/>
      <c r="AJ198" s="135"/>
      <c r="AK198" s="189"/>
      <c r="AL198" s="189"/>
      <c r="AM198" s="133" t="str">
        <f>IF([3]回答表!F18="下水道事業",IF([3]回答表!AD51="●",[3]回答表!B360,""),"")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IF([3]回答表!BD18="●",IF([3]回答表!X51="●","●",""),"")</f>
        <v/>
      </c>
      <c r="O210" s="131"/>
      <c r="P210" s="131"/>
      <c r="Q210" s="132"/>
      <c r="R210" s="119"/>
      <c r="S210" s="119"/>
      <c r="T210" s="119"/>
      <c r="U210" s="133" t="str">
        <f>IF([3]回答表!BD18="●",IF([3]回答表!X51="●",[3]回答表!B197,IF([3]回答表!AA51="●",[3]回答表!B275,"")),"")</f>
        <v/>
      </c>
      <c r="V210" s="134"/>
      <c r="W210" s="134"/>
      <c r="X210" s="134"/>
      <c r="Y210" s="134"/>
      <c r="Z210" s="134"/>
      <c r="AA210" s="134"/>
      <c r="AB210" s="134"/>
      <c r="AC210" s="134"/>
      <c r="AD210" s="134"/>
      <c r="AE210" s="134"/>
      <c r="AF210" s="134"/>
      <c r="AG210" s="134"/>
      <c r="AH210" s="134"/>
      <c r="AI210" s="134"/>
      <c r="AJ210" s="135"/>
      <c r="AK210" s="136"/>
      <c r="AL210" s="136"/>
      <c r="AM210" s="138" t="str">
        <f>IF([3]回答表!BD18="●",IF([3]回答表!X51="●",[3]回答表!B256,IF([3]回答表!AA51="●",[3]回答表!B335,"")),"")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IF([3]回答表!BD18="●",IF([3]回答表!X51="●",[3]回答表!E256,IF([3]回答表!AA51="●",[3]回答表!E335,"")),"")</f>
        <v/>
      </c>
      <c r="AN213" s="151"/>
      <c r="AO213" s="151"/>
      <c r="AP213" s="151"/>
      <c r="AQ213" s="150" t="str">
        <f>IF([3]回答表!BD18="●",IF([3]回答表!X51="●",[3]回答表!E257,IF([3]回答表!AA51="●",[3]回答表!E336,"")),"")</f>
        <v/>
      </c>
      <c r="AR213" s="151"/>
      <c r="AS213" s="151"/>
      <c r="AT213" s="151"/>
      <c r="AU213" s="150" t="str">
        <f>IF([3]回答表!BD18="●",IF([3]回答表!X51="●",[3]回答表!E258,IF([3]回答表!AA51="●",[3]回答表!E337,"")),"")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IF([3]回答表!BD18="●",IF([3]回答表!AA51="●","●",""),"")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IF([3]回答表!BD18="●",IF([3]回答表!X51="●",[3]回答表!E265,IF([3]回答表!AA51="●",[3]回答表!E344,"")),"")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IF([3]回答表!BD18="●",IF([3]回答表!X51="●",[3]回答表!B267,IF([3]回答表!AA51="●",[3]回答表!B346,"")),"")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IF([3]回答表!BD18="●",IF([3]回答表!AD51="●","●",""),"")</f>
        <v/>
      </c>
      <c r="O229" s="131"/>
      <c r="P229" s="131"/>
      <c r="Q229" s="132"/>
      <c r="R229" s="119"/>
      <c r="S229" s="119"/>
      <c r="T229" s="119"/>
      <c r="U229" s="133" t="str">
        <f>IF([3]回答表!BD18="●",IF([3]回答表!AD51="●",[3]回答表!B354,""),"")</f>
        <v/>
      </c>
      <c r="V229" s="134"/>
      <c r="W229" s="134"/>
      <c r="X229" s="134"/>
      <c r="Y229" s="134"/>
      <c r="Z229" s="134"/>
      <c r="AA229" s="134"/>
      <c r="AB229" s="134"/>
      <c r="AC229" s="134"/>
      <c r="AD229" s="134"/>
      <c r="AE229" s="134"/>
      <c r="AF229" s="134"/>
      <c r="AG229" s="134"/>
      <c r="AH229" s="134"/>
      <c r="AI229" s="134"/>
      <c r="AJ229" s="135"/>
      <c r="AK229" s="249"/>
      <c r="AL229" s="249"/>
      <c r="AM229" s="133" t="str">
        <f>IF([3]回答表!BD18="●",IF([3]回答表!AD51="●",[3]回答表!B360,""),"")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IF([3]回答表!X52="●","●","")</f>
        <v/>
      </c>
      <c r="O241" s="131"/>
      <c r="P241" s="131"/>
      <c r="Q241" s="132"/>
      <c r="R241" s="119"/>
      <c r="S241" s="119"/>
      <c r="T241" s="119"/>
      <c r="U241" s="133" t="str">
        <f>IF([3]回答表!X52="●",[3]回答表!B371,IF([3]回答表!AA52="●",[3]回答表!B396,""))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IF([3]回答表!X52="●",[3]回答表!U377,IF([3]回答表!AA52="●",[3]回答表!U402,""))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IF([3]回答表!X52="●",[3]回答表!G377,IF([3]回答表!AA52="●",[3]回答表!G402,""))</f>
        <v/>
      </c>
      <c r="AN244" s="83"/>
      <c r="AO244" s="83"/>
      <c r="AP244" s="83"/>
      <c r="AQ244" s="83"/>
      <c r="AR244" s="83"/>
      <c r="AS244" s="83"/>
      <c r="AT244" s="153"/>
      <c r="AU244" s="82" t="str">
        <f>IF([3]回答表!X52="●",[3]回答表!G378,IF([3]回答表!AA52="●",[3]回答表!G403,""))</f>
        <v/>
      </c>
      <c r="AV244" s="83"/>
      <c r="AW244" s="83"/>
      <c r="AX244" s="83"/>
      <c r="AY244" s="83"/>
      <c r="AZ244" s="83"/>
      <c r="BA244" s="83"/>
      <c r="BB244" s="153"/>
      <c r="BC244" s="120"/>
      <c r="BD244" s="109"/>
      <c r="BE244" s="109"/>
      <c r="BF244" s="150" t="str">
        <f>IF([3]回答表!X52="●",[3]回答表!X377,IF([3]回答表!AA52="●",[3]回答表!X402,""))</f>
        <v/>
      </c>
      <c r="BG244" s="151"/>
      <c r="BH244" s="151"/>
      <c r="BI244" s="151"/>
      <c r="BJ244" s="150" t="str">
        <f>IF([3]回答表!X52="●",[3]回答表!X378,IF([3]回答表!AA52="●",[3]回答表!X403,""))</f>
        <v/>
      </c>
      <c r="BK244" s="151"/>
      <c r="BL244" s="151"/>
      <c r="BM244" s="152"/>
      <c r="BN244" s="150" t="str">
        <f>IF([3]回答表!X52="●",[3]回答表!X379,IF([3]回答表!AA52="●",[3]回答表!X404,""))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IF([3]回答表!X52="●",[3]回答表!E386,IF([3]回答表!AA52="●",[3]回答表!E407,""))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IF([3]回答表!X52="●",[3]回答表!B388,IF([3]回答表!AA52="●",[3]回答表!B409,""))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IF([3]回答表!AD52="●","●","")</f>
        <v/>
      </c>
      <c r="O260" s="131"/>
      <c r="P260" s="131"/>
      <c r="Q260" s="132"/>
      <c r="R260" s="119"/>
      <c r="S260" s="119"/>
      <c r="T260" s="119"/>
      <c r="U260" s="133" t="str">
        <f>IF([3]回答表!AD52="●",[3]回答表!B417,"")</f>
        <v/>
      </c>
      <c r="V260" s="134"/>
      <c r="W260" s="134"/>
      <c r="X260" s="134"/>
      <c r="Y260" s="134"/>
      <c r="Z260" s="134"/>
      <c r="AA260" s="134"/>
      <c r="AB260" s="134"/>
      <c r="AC260" s="134"/>
      <c r="AD260" s="134"/>
      <c r="AE260" s="134"/>
      <c r="AF260" s="134"/>
      <c r="AG260" s="134"/>
      <c r="AH260" s="134"/>
      <c r="AI260" s="134"/>
      <c r="AJ260" s="135"/>
      <c r="AK260" s="249"/>
      <c r="AL260" s="249"/>
      <c r="AM260" s="133" t="str">
        <f>IF([3]回答表!AD52="●",[3]回答表!B423,"")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IF([3]回答表!X53="●","●","")</f>
        <v/>
      </c>
      <c r="O272" s="131"/>
      <c r="P272" s="131"/>
      <c r="Q272" s="132"/>
      <c r="R272" s="119"/>
      <c r="S272" s="119"/>
      <c r="T272" s="119"/>
      <c r="U272" s="133" t="str">
        <f>IF([3]回答表!X53="●",[3]回答表!B434,IF([3]回答表!AA53="●",[3]回答表!B465,""))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IF([3]回答表!X53="●",[3]回答表!B440,"")</f>
        <v/>
      </c>
      <c r="AO272" s="262"/>
      <c r="AP272" s="262"/>
      <c r="AQ272" s="262"/>
      <c r="AR272" s="262"/>
      <c r="AS272" s="262"/>
      <c r="AT272" s="262"/>
      <c r="AU272" s="262"/>
      <c r="AV272" s="262"/>
      <c r="AW272" s="262"/>
      <c r="AX272" s="262"/>
      <c r="AY272" s="262"/>
      <c r="AZ272" s="262"/>
      <c r="BA272" s="262"/>
      <c r="BB272" s="263"/>
      <c r="BC272" s="120"/>
      <c r="BD272" s="109"/>
      <c r="BE272" s="109"/>
      <c r="BF272" s="138" t="str">
        <f>IF([3]回答表!X53="●",[3]回答表!B446,IF([3]回答表!AA53="●",[3]回答表!B471,""))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IF([3]回答表!X53="●",[3]回答表!E446,IF([3]回答表!AA53="●",[3]回答表!E471,""))</f>
        <v/>
      </c>
      <c r="BG275" s="151"/>
      <c r="BH275" s="151"/>
      <c r="BI275" s="151"/>
      <c r="BJ275" s="150" t="str">
        <f>IF([3]回答表!X53="●",[3]回答表!E447,IF([3]回答表!AA53="●",[3]回答表!E472,""))</f>
        <v/>
      </c>
      <c r="BK275" s="151"/>
      <c r="BL275" s="151"/>
      <c r="BM275" s="152"/>
      <c r="BN275" s="150" t="str">
        <f>IF([3]回答表!X53="●",[3]回答表!E448,IF([3]回答表!AA53="●",[3]回答表!E473,""))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IF([3]回答表!X53="●",[3]回答表!E455,IF([3]回答表!AA53="●",[3]回答表!E476,""))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IF([3]回答表!X53="●",[3]回答表!B457,IF([3]回答表!AA53="●",[3]回答表!B478,""))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IF([3]回答表!AD53="●","●","")</f>
        <v/>
      </c>
      <c r="O291" s="131"/>
      <c r="P291" s="131"/>
      <c r="Q291" s="132"/>
      <c r="R291" s="119"/>
      <c r="S291" s="119"/>
      <c r="T291" s="119"/>
      <c r="U291" s="133" t="str">
        <f>IF([3]回答表!AD53="●",[3]回答表!B486,"")</f>
        <v/>
      </c>
      <c r="V291" s="134"/>
      <c r="W291" s="134"/>
      <c r="X291" s="134"/>
      <c r="Y291" s="134"/>
      <c r="Z291" s="134"/>
      <c r="AA291" s="134"/>
      <c r="AB291" s="134"/>
      <c r="AC291" s="134"/>
      <c r="AD291" s="134"/>
      <c r="AE291" s="134"/>
      <c r="AF291" s="134"/>
      <c r="AG291" s="134"/>
      <c r="AH291" s="134"/>
      <c r="AI291" s="134"/>
      <c r="AJ291" s="135"/>
      <c r="AK291" s="249"/>
      <c r="AL291" s="249"/>
      <c r="AM291" s="133" t="str">
        <f>IF([3]回答表!AD53="●",[3]回答表!B492,"")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IF([3]回答表!X54="●","●","")</f>
        <v/>
      </c>
      <c r="O303" s="131"/>
      <c r="P303" s="131"/>
      <c r="Q303" s="132"/>
      <c r="R303" s="119"/>
      <c r="S303" s="119"/>
      <c r="T303" s="119"/>
      <c r="U303" s="133" t="str">
        <f>IF([3]回答表!X54="●",[3]回答表!B503,IF([3]回答表!AA54="●",[3]回答表!B526,""))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IF([3]回答表!X54="●",[3]回答表!BC510,IF([3]回答表!AA54="●",[3]回答表!BC533,""))</f>
        <v/>
      </c>
      <c r="AR303" s="271"/>
      <c r="AS303" s="271"/>
      <c r="AT303" s="271"/>
      <c r="AU303" s="272" t="s">
        <v>74</v>
      </c>
      <c r="AV303" s="273"/>
      <c r="AW303" s="273"/>
      <c r="AX303" s="274"/>
      <c r="AY303" s="271" t="str">
        <f>IF([3]回答表!X54="●",[3]回答表!BC515,IF([3]回答表!AA54="●",[3]回答表!BC538,""))</f>
        <v/>
      </c>
      <c r="AZ303" s="271"/>
      <c r="BA303" s="271"/>
      <c r="BB303" s="271"/>
      <c r="BC303" s="120"/>
      <c r="BD303" s="109"/>
      <c r="BE303" s="109"/>
      <c r="BF303" s="138" t="str">
        <f>IF([3]回答表!X54="●",[3]回答表!S509,IF([3]回答表!AA54="●",[3]回答表!S532,""))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IF([3]回答表!X54="●",[3]回答表!BC511,IF([3]回答表!AA54="●",[3]回答表!BC534,""))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IF([3]回答表!X54="●",[3]回答表!V509,IF([3]回答表!AA54="●",[3]回答表!V532,""))</f>
        <v/>
      </c>
      <c r="BG306" s="151"/>
      <c r="BH306" s="151"/>
      <c r="BI306" s="151"/>
      <c r="BJ306" s="150" t="str">
        <f>IF([3]回答表!X54="●",[3]回答表!V510,IF([3]回答表!AA54="●",[3]回答表!V533,""))</f>
        <v/>
      </c>
      <c r="BK306" s="151"/>
      <c r="BL306" s="151"/>
      <c r="BM306" s="152"/>
      <c r="BN306" s="150" t="str">
        <f>IF([3]回答表!X54="●",[3]回答表!V511,IF([3]回答表!AA54="●",[3]回答表!V534,""))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IF([3]回答表!X54="●",[3]回答表!BC512,IF([3]回答表!AA54="●",[3]回答表!BC535,""))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IF([3]回答表!X54="●",[3]回答表!BC516,IF([3]回答表!AA54="●",[3]回答表!BC539,""))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IF([3]回答表!X54="●",[3]回答表!BC513,IF([3]回答表!AA54="●",[3]回答表!BC536,""))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IF([3]回答表!X54="●",[3]回答表!BC514,IF([3]回答表!AA54="●",[3]回答表!BC537,""))</f>
        <v/>
      </c>
      <c r="AR311" s="271"/>
      <c r="AS311" s="271"/>
      <c r="AT311" s="271"/>
      <c r="AU311" s="222" t="s">
        <v>80</v>
      </c>
      <c r="AV311" s="223"/>
      <c r="AW311" s="223"/>
      <c r="AX311" s="224"/>
      <c r="AY311" s="281" t="str">
        <f>IF([3]回答表!X54="●",[3]回答表!BC517,IF([3]回答表!AA54="●",[3]回答表!BC540,""))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IF([3]回答表!X54="●",[3]回答表!E516,IF([3]回答表!AA54="●",[3]回答表!E538,""))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IF([3]回答表!X54="●",[3]回答表!B518,IF([3]回答表!AA54="●",[3]回答表!B540,""))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IF([3]回答表!AD54="●","●","")</f>
        <v/>
      </c>
      <c r="O322" s="131"/>
      <c r="P322" s="131"/>
      <c r="Q322" s="132"/>
      <c r="R322" s="119"/>
      <c r="S322" s="119"/>
      <c r="T322" s="119"/>
      <c r="U322" s="133" t="str">
        <f>IF([3]回答表!AD54="●",[3]回答表!B548,"")</f>
        <v/>
      </c>
      <c r="V322" s="134"/>
      <c r="W322" s="134"/>
      <c r="X322" s="134"/>
      <c r="Y322" s="134"/>
      <c r="Z322" s="134"/>
      <c r="AA322" s="134"/>
      <c r="AB322" s="134"/>
      <c r="AC322" s="134"/>
      <c r="AD322" s="134"/>
      <c r="AE322" s="134"/>
      <c r="AF322" s="134"/>
      <c r="AG322" s="134"/>
      <c r="AH322" s="134"/>
      <c r="AI322" s="134"/>
      <c r="AJ322" s="135"/>
      <c r="AK322" s="189"/>
      <c r="AL322" s="189"/>
      <c r="AM322" s="133" t="str">
        <f>IF([3]回答表!AD54="●",[3]回答表!B554,"")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IF([3]回答表!X55="●","●","")</f>
        <v/>
      </c>
      <c r="O333" s="131"/>
      <c r="P333" s="131"/>
      <c r="Q333" s="132"/>
      <c r="R333" s="119"/>
      <c r="S333" s="119"/>
      <c r="T333" s="119"/>
      <c r="U333" s="133" t="str">
        <f>IF([3]回答表!X55="●",[3]回答表!B565,IF([3]回答表!AA55="●",[3]回答表!B590,""))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IF([3]回答表!X55="●",[3]回答表!B575,IF([3]回答表!AA55="●",[3]回答表!B600,""))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IF([3]回答表!X55="●",[3]回答表!G571,IF([3]回答表!AA55="●",[3]回答表!G596,""))</f>
        <v/>
      </c>
      <c r="AN335" s="83"/>
      <c r="AO335" s="83"/>
      <c r="AP335" s="83"/>
      <c r="AQ335" s="83"/>
      <c r="AR335" s="83"/>
      <c r="AS335" s="83"/>
      <c r="AT335" s="153"/>
      <c r="AU335" s="82" t="str">
        <f>IF([3]回答表!X55="●",[3]回答表!G572,IF([3]回答表!AA55="●",[3]回答表!G597,""))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IF([3]回答表!X55="●",[3]回答表!E575,IF([3]回答表!AA55="●",[3]回答表!E600,""))</f>
        <v/>
      </c>
      <c r="BG336" s="151"/>
      <c r="BH336" s="151"/>
      <c r="BI336" s="151"/>
      <c r="BJ336" s="150" t="str">
        <f>IF([3]回答表!X55="●",[3]回答表!E576,IF([3]回答表!AA55="●",[3]回答表!E601,""))</f>
        <v/>
      </c>
      <c r="BK336" s="151"/>
      <c r="BL336" s="151"/>
      <c r="BM336" s="152"/>
      <c r="BN336" s="150" t="str">
        <f>IF([3]回答表!X55="●",[3]回答表!E577,IF([3]回答表!AA55="●",[3]回答表!E602,""))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IF([3]回答表!X55="●",[3]回答表!E580,IF([3]回答表!AA55="●",[3]回答表!E605,""))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IF([3]回答表!X55="●",[3]回答表!B582,IF([3]回答表!AA55="●",[3]回答表!B607,""))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IF([3]回答表!AD55="●","●","")</f>
        <v/>
      </c>
      <c r="O352" s="131"/>
      <c r="P352" s="131"/>
      <c r="Q352" s="132"/>
      <c r="R352" s="119"/>
      <c r="S352" s="119"/>
      <c r="T352" s="119"/>
      <c r="U352" s="133" t="str">
        <f>IF([3]回答表!AD55="●",[3]回答表!B615,"")</f>
        <v/>
      </c>
      <c r="V352" s="134"/>
      <c r="W352" s="134"/>
      <c r="X352" s="134"/>
      <c r="Y352" s="134"/>
      <c r="Z352" s="134"/>
      <c r="AA352" s="134"/>
      <c r="AB352" s="134"/>
      <c r="AC352" s="134"/>
      <c r="AD352" s="134"/>
      <c r="AE352" s="134"/>
      <c r="AF352" s="134"/>
      <c r="AG352" s="134"/>
      <c r="AH352" s="134"/>
      <c r="AI352" s="134"/>
      <c r="AJ352" s="135"/>
      <c r="AK352" s="136"/>
      <c r="AL352" s="136"/>
      <c r="AM352" s="133" t="str">
        <f>IF([3]回答表!AD55="●",[3]回答表!B621,"")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IF([3]回答表!R56="●",[3]回答表!B634,"")</f>
        <v xml:space="preserve">  市ではスキー場運営について、令和２年度からの指定管理者制度への移行を目指し、令和元年度中に公募を行ったが応募がなかった。このため、説明会に参加された事業者に対し、応募できなかった理由等について聞き取りを行ったところ、「季節営業故に従業員や有資格者など人材確保が困難であることや、天候に著しく左右される事業であることなどを考慮し、事業展開は難しいと判断した。」との内容であった。その後、公募要件の見直しによる再公募を検討したものの、経費が膨れあがり、市としては財政的なメリットが皆無になることが判明したため、再公募を断念し今後も直営で継続することと判断したものである。（現在のスキー場運営は、安全統括管理者を市職員が兼務し、その他従業員を会計年度任用職員とするなど、最少の経費で運営しているため。）
  なお、スキー場を取り巻く環境は、県内人口の減少や少子高齢化による来場者数の減少のほか、設備の更新・改修費用の捻出など、非常に厳しいものがあるが、本市唯一の本格スキー場としてその役割は大きいため、当面は住民ニーズの把握や事業効果の検証を通し、適切な設備投資と効率的な運営を念頭に直営で経営していくものであ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7" priority="2">
      <formula>$BB$25="○"</formula>
    </cfRule>
  </conditionalFormatting>
  <conditionalFormatting sqref="BD28:BD30">
    <cfRule type="expression" dxfId="26" priority="1">
      <formula>$BB$25="○"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4868C-E4C5-4742-B042-9F1742ACC78F}">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IF(COUNTIF([4]回答表!K16,"*")&gt;0,[4]回答表!K16,"")</f>
        <v>由利本荘市</v>
      </c>
      <c r="D11" s="8"/>
      <c r="E11" s="8"/>
      <c r="F11" s="8"/>
      <c r="G11" s="8"/>
      <c r="H11" s="8"/>
      <c r="I11" s="8"/>
      <c r="J11" s="8"/>
      <c r="K11" s="8"/>
      <c r="L11" s="8"/>
      <c r="M11" s="8"/>
      <c r="N11" s="8"/>
      <c r="O11" s="8"/>
      <c r="P11" s="8"/>
      <c r="Q11" s="8"/>
      <c r="R11" s="8"/>
      <c r="S11" s="8"/>
      <c r="T11" s="8"/>
      <c r="U11" s="22" t="str">
        <f>IF(COUNTIF([4]回答表!F18,"*")&gt;0,[4]回答表!F18,"")</f>
        <v>簡易水道事業</v>
      </c>
      <c r="V11" s="23"/>
      <c r="W11" s="23"/>
      <c r="X11" s="23"/>
      <c r="Y11" s="23"/>
      <c r="Z11" s="23"/>
      <c r="AA11" s="23"/>
      <c r="AB11" s="23"/>
      <c r="AC11" s="23"/>
      <c r="AD11" s="23"/>
      <c r="AE11" s="23"/>
      <c r="AF11" s="10"/>
      <c r="AG11" s="10"/>
      <c r="AH11" s="10"/>
      <c r="AI11" s="10"/>
      <c r="AJ11" s="10"/>
      <c r="AK11" s="10"/>
      <c r="AL11" s="10"/>
      <c r="AM11" s="10"/>
      <c r="AN11" s="11"/>
      <c r="AO11" s="24" t="str">
        <f>IF(COUNTIF([4]回答表!W18,"*")&gt;0,[4]回答表!W18,"")</f>
        <v>―</v>
      </c>
      <c r="AP11" s="10"/>
      <c r="AQ11" s="10"/>
      <c r="AR11" s="10"/>
      <c r="AS11" s="10"/>
      <c r="AT11" s="10"/>
      <c r="AU11" s="10"/>
      <c r="AV11" s="10"/>
      <c r="AW11" s="10"/>
      <c r="AX11" s="10"/>
      <c r="AY11" s="10"/>
      <c r="AZ11" s="10"/>
      <c r="BA11" s="10"/>
      <c r="BB11" s="10"/>
      <c r="BC11" s="10"/>
      <c r="BD11" s="10"/>
      <c r="BE11" s="10"/>
      <c r="BF11" s="11"/>
      <c r="BG11" s="21" t="str">
        <f>IF(COUNTIF([4]回答表!F20,"*")&gt;0,[4]回答表!F20,"")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IF([4]回答表!R49="●","●","")</f>
        <v>●</v>
      </c>
      <c r="E24" s="80"/>
      <c r="F24" s="80"/>
      <c r="G24" s="80"/>
      <c r="H24" s="80"/>
      <c r="I24" s="80"/>
      <c r="J24" s="81"/>
      <c r="K24" s="79" t="str">
        <f>IF([4]回答表!R50="●","●","")</f>
        <v/>
      </c>
      <c r="L24" s="80"/>
      <c r="M24" s="80"/>
      <c r="N24" s="80"/>
      <c r="O24" s="80"/>
      <c r="P24" s="80"/>
      <c r="Q24" s="81"/>
      <c r="R24" s="79" t="str">
        <f>IF([4]回答表!R51="●","●","")</f>
        <v/>
      </c>
      <c r="S24" s="80"/>
      <c r="T24" s="80"/>
      <c r="U24" s="80"/>
      <c r="V24" s="80"/>
      <c r="W24" s="80"/>
      <c r="X24" s="81"/>
      <c r="Y24" s="79" t="str">
        <f>IF([4]回答表!R52="●","●","")</f>
        <v/>
      </c>
      <c r="Z24" s="80"/>
      <c r="AA24" s="80"/>
      <c r="AB24" s="80"/>
      <c r="AC24" s="80"/>
      <c r="AD24" s="80"/>
      <c r="AE24" s="81"/>
      <c r="AF24" s="79" t="str">
        <f>IF([4]回答表!R53="●","●","")</f>
        <v/>
      </c>
      <c r="AG24" s="80"/>
      <c r="AH24" s="80"/>
      <c r="AI24" s="80"/>
      <c r="AJ24" s="80"/>
      <c r="AK24" s="80"/>
      <c r="AL24" s="81"/>
      <c r="AM24" s="79" t="str">
        <f>IF([4]回答表!R54="●","●","")</f>
        <v/>
      </c>
      <c r="AN24" s="80"/>
      <c r="AO24" s="80"/>
      <c r="AP24" s="80"/>
      <c r="AQ24" s="80"/>
      <c r="AR24" s="80"/>
      <c r="AS24" s="81"/>
      <c r="AT24" s="79" t="str">
        <f>IF([4]回答表!R55="●","●","")</f>
        <v/>
      </c>
      <c r="AU24" s="80"/>
      <c r="AV24" s="80"/>
      <c r="AW24" s="80"/>
      <c r="AX24" s="80"/>
      <c r="AY24" s="80"/>
      <c r="AZ24" s="81"/>
      <c r="BA24" s="68"/>
      <c r="BB24" s="82" t="str">
        <f>IF([4]回答表!R56="●","●","")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IF([4]回答表!X49="●","●","")</f>
        <v>●</v>
      </c>
      <c r="O36" s="131"/>
      <c r="P36" s="131"/>
      <c r="Q36" s="132"/>
      <c r="R36" s="119"/>
      <c r="S36" s="119"/>
      <c r="T36" s="119"/>
      <c r="U36" s="133" t="str">
        <f>IF([4]回答表!X49="●",[4]回答表!B67,IF([4]回答表!AA49="●",[4]回答表!B95,""))</f>
        <v>　平成２９年３月に由利本荘市上水道事業への事業統合をおこないました。
　これにより、経営成績（毎年度の利益・損失等フロー情報）・財政状態（資産・負債等ストック情報）の的確な把握が可能となりました。</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IF([4]回答表!X49="●",[4]回答表!S73,IF([4]回答表!AA49="●",[4]回答表!S101,""))</f>
        <v>平成</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IF([4]回答表!X49="●",[4]回答表!G73,IF([4]回答表!AA49="●",[4]回答表!G101,""))</f>
        <v>●</v>
      </c>
      <c r="AN38" s="83"/>
      <c r="AO38" s="83"/>
      <c r="AP38" s="83"/>
      <c r="AQ38" s="83"/>
      <c r="AR38" s="83"/>
      <c r="AS38" s="83"/>
      <c r="AT38" s="153"/>
      <c r="AU38" s="82" t="str">
        <f>IF([4]回答表!X49="●",[4]回答表!G74,IF([4]回答表!AA49="●",[4]回答表!G102,""))</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IF([4]回答表!X49="●",[4]回答表!V73,IF([4]回答表!AA49="●",[4]回答表!V101,""))</f>
        <v>29</v>
      </c>
      <c r="BG39" s="16"/>
      <c r="BH39" s="16"/>
      <c r="BI39" s="17"/>
      <c r="BJ39" s="150">
        <f>IF([4]回答表!X49="●",[4]回答表!V74,IF([4]回答表!AA49="●",[4]回答表!V102,""))</f>
        <v>3</v>
      </c>
      <c r="BK39" s="16"/>
      <c r="BL39" s="16"/>
      <c r="BM39" s="17"/>
      <c r="BN39" s="150">
        <f>IF([4]回答表!X49="●",[4]回答表!V75,IF([4]回答表!AA49="●",[4]回答表!V103,""))</f>
        <v>31</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IF([4]回答表!X49="●",[4]回答表!O79,IF([4]回答表!AA49="●",[4]回答表!O107,""))</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IF([4]回答表!X49="●",[4]回答表!O80,IF([4]回答表!AA49="●",[4]回答表!O108,""))</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IF([4]回答表!AA49="●","●","")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IF([4]回答表!X49="●",[4]回答表!O81,IF([4]回答表!AA49="●",[4]回答表!O109,""))</f>
        <v xml:space="preserve">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IF([4]回答表!X49="●",[4]回答表!O82,IF([4]回答表!AA49="●",[4]回答表!O110,""))</f>
        <v xml:space="preserve">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IF([4]回答表!X49="●",[4]回答表!AG79,IF([4]回答表!AA49="●",[4]回答表!AG107,""))</f>
        <v>●</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IF([4]回答表!X49="●",[4]回答表!AG80,IF([4]回答表!AA49="●",[4]回答表!AG108,""))</f>
        <v xml:space="preserve">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f>IF([4]回答表!X49="●",[4]回答表!E85,IF([4]回答表!AA49="●",[4]回答表!E113,""))</f>
        <v>0</v>
      </c>
      <c r="V50" s="182"/>
      <c r="W50" s="182"/>
      <c r="X50" s="182"/>
      <c r="Y50" s="182"/>
      <c r="Z50" s="182"/>
      <c r="AA50" s="182"/>
      <c r="AB50" s="182"/>
      <c r="AC50" s="182"/>
      <c r="AD50" s="182"/>
      <c r="AE50" s="183" t="s">
        <v>33</v>
      </c>
      <c r="AF50" s="183"/>
      <c r="AG50" s="183"/>
      <c r="AH50" s="183"/>
      <c r="AI50" s="183"/>
      <c r="AJ50" s="184"/>
      <c r="AK50" s="136"/>
      <c r="AL50" s="136"/>
      <c r="AM50" s="133">
        <f>IF([4]回答表!X49="●",[4]回答表!B87,IF([4]回答表!AA49="●",[4]回答表!B115,""))</f>
        <v>0</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IF([4]回答表!AD49="●","●","")</f>
        <v/>
      </c>
      <c r="O57" s="131"/>
      <c r="P57" s="131"/>
      <c r="Q57" s="132"/>
      <c r="R57" s="119"/>
      <c r="S57" s="119"/>
      <c r="T57" s="119"/>
      <c r="U57" s="133" t="str">
        <f>IF([4]回答表!AD49="●",[4]回答表!B123,"")</f>
        <v/>
      </c>
      <c r="V57" s="134"/>
      <c r="W57" s="134"/>
      <c r="X57" s="134"/>
      <c r="Y57" s="134"/>
      <c r="Z57" s="134"/>
      <c r="AA57" s="134"/>
      <c r="AB57" s="134"/>
      <c r="AC57" s="134"/>
      <c r="AD57" s="134"/>
      <c r="AE57" s="134"/>
      <c r="AF57" s="134"/>
      <c r="AG57" s="134"/>
      <c r="AH57" s="134"/>
      <c r="AI57" s="134"/>
      <c r="AJ57" s="135"/>
      <c r="AK57" s="189"/>
      <c r="AL57" s="189"/>
      <c r="AM57" s="133" t="str">
        <f>IF([4]回答表!AD49="●",[4]回答表!B128,"")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IF([4]回答表!X50="●","●","")</f>
        <v/>
      </c>
      <c r="O68" s="131"/>
      <c r="P68" s="131"/>
      <c r="Q68" s="132"/>
      <c r="R68" s="119"/>
      <c r="S68" s="119"/>
      <c r="T68" s="119"/>
      <c r="U68" s="133" t="str">
        <f>IF([4]回答表!X50="●",[4]回答表!B138,IF([4]回答表!AA50="●",[4]回答表!B159,""))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IF([4]回答表!X50="●",[4]回答表!S144,IF([4]回答表!AA50="●",[4]回答表!S165,""))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IF([4]回答表!X50="●",[4]回答表!J144,IF([4]回答表!AA50="●",[4]回答表!J165,""))</f>
        <v/>
      </c>
      <c r="AN71" s="83"/>
      <c r="AO71" s="83"/>
      <c r="AP71" s="83"/>
      <c r="AQ71" s="83"/>
      <c r="AR71" s="83"/>
      <c r="AS71" s="83"/>
      <c r="AT71" s="153"/>
      <c r="AU71" s="82" t="str">
        <f>IF([4]回答表!X50="●",[4]回答表!J145,IF([4]回答表!AA50="●",[4]回答表!J166,""))</f>
        <v/>
      </c>
      <c r="AV71" s="83"/>
      <c r="AW71" s="83"/>
      <c r="AX71" s="83"/>
      <c r="AY71" s="83"/>
      <c r="AZ71" s="83"/>
      <c r="BA71" s="83"/>
      <c r="BB71" s="153"/>
      <c r="BC71" s="120"/>
      <c r="BD71" s="109"/>
      <c r="BE71" s="109"/>
      <c r="BF71" s="150" t="str">
        <f>IF([4]回答表!X50="●",[4]回答表!V144,IF([4]回答表!AA50="●",[4]回答表!V165,""))</f>
        <v/>
      </c>
      <c r="BG71" s="151"/>
      <c r="BH71" s="151"/>
      <c r="BI71" s="151"/>
      <c r="BJ71" s="150" t="str">
        <f>IF([4]回答表!X50="●",[4]回答表!V145,IF([4]回答表!AA50="●",[4]回答表!V166,""))</f>
        <v/>
      </c>
      <c r="BK71" s="151"/>
      <c r="BL71" s="151"/>
      <c r="BM71" s="151"/>
      <c r="BN71" s="150" t="str">
        <f>IF([4]回答表!X50="●",[4]回答表!V146,IF([4]回答表!AA50="●",[4]回答表!V167,""))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IF([4]回答表!AA50="●","●","")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IF([4]回答表!X50="●",[4]回答表!E149,IF([4]回答表!AA50="●",[4]回答表!E170,""))</f>
        <v/>
      </c>
      <c r="V80" s="182"/>
      <c r="W80" s="182"/>
      <c r="X80" s="182"/>
      <c r="Y80" s="182"/>
      <c r="Z80" s="182"/>
      <c r="AA80" s="182"/>
      <c r="AB80" s="182"/>
      <c r="AC80" s="182"/>
      <c r="AD80" s="182"/>
      <c r="AE80" s="183" t="s">
        <v>33</v>
      </c>
      <c r="AF80" s="183"/>
      <c r="AG80" s="183"/>
      <c r="AH80" s="183"/>
      <c r="AI80" s="183"/>
      <c r="AJ80" s="184"/>
      <c r="AK80" s="136"/>
      <c r="AL80" s="136"/>
      <c r="AM80" s="133" t="str">
        <f>IF([4]回答表!X50="●",[4]回答表!B151,IF([4]回答表!AA50="●",[4]回答表!B172,""))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IF([4]回答表!AD50="●","●","")</f>
        <v/>
      </c>
      <c r="O87" s="131"/>
      <c r="P87" s="131"/>
      <c r="Q87" s="132"/>
      <c r="R87" s="119"/>
      <c r="S87" s="119"/>
      <c r="T87" s="119"/>
      <c r="U87" s="133" t="str">
        <f>IF([4]回答表!AD50="●",[4]回答表!B180,"")</f>
        <v/>
      </c>
      <c r="V87" s="134"/>
      <c r="W87" s="134"/>
      <c r="X87" s="134"/>
      <c r="Y87" s="134"/>
      <c r="Z87" s="134"/>
      <c r="AA87" s="134"/>
      <c r="AB87" s="134"/>
      <c r="AC87" s="134"/>
      <c r="AD87" s="134"/>
      <c r="AE87" s="134"/>
      <c r="AF87" s="134"/>
      <c r="AG87" s="134"/>
      <c r="AH87" s="134"/>
      <c r="AI87" s="134"/>
      <c r="AJ87" s="135"/>
      <c r="AK87" s="189"/>
      <c r="AL87" s="189"/>
      <c r="AM87" s="133" t="str">
        <f>IF([4]回答表!AD50="●",[4]回答表!B186,"")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IF([4]回答表!F18="水道事業",IF([4]回答表!X51="●","●",""),"")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IF([4]回答表!F18="水道事業",IF([4]回答表!X51="●",[4]回答表!B197,IF([4]回答表!AA51="●",[4]回答表!B275,"")),"")</f>
        <v/>
      </c>
      <c r="AN99" s="134"/>
      <c r="AO99" s="134"/>
      <c r="AP99" s="134"/>
      <c r="AQ99" s="134"/>
      <c r="AR99" s="134"/>
      <c r="AS99" s="134"/>
      <c r="AT99" s="134"/>
      <c r="AU99" s="134"/>
      <c r="AV99" s="134"/>
      <c r="AW99" s="134"/>
      <c r="AX99" s="134"/>
      <c r="AY99" s="134"/>
      <c r="AZ99" s="134"/>
      <c r="BA99" s="134"/>
      <c r="BB99" s="134"/>
      <c r="BC99" s="135"/>
      <c r="BD99" s="109"/>
      <c r="BE99" s="109"/>
      <c r="BF99" s="138" t="str">
        <f>IF([4]回答表!F18="水道事業",IF([4]回答表!X51="●",[4]回答表!B256,IF([4]回答表!AA51="●",[4]回答表!B335,"")),"")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IF([4]回答表!F18="水道事業",IF([4]回答表!X51="●",[4]回答表!J205,IF([4]回答表!AA51="●",[4]回答表!J283,"")),"")</f>
        <v/>
      </c>
      <c r="V101" s="83"/>
      <c r="W101" s="83"/>
      <c r="X101" s="83"/>
      <c r="Y101" s="83"/>
      <c r="Z101" s="83"/>
      <c r="AA101" s="83"/>
      <c r="AB101" s="153"/>
      <c r="AC101" s="82" t="str">
        <f>IF([4]回答表!F18="水道事業",IF([4]回答表!X51="●",[4]回答表!J210,IF([4]回答表!AA51="●",[4]回答表!J290,"")),"")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IF([4]回答表!F18="水道事業",IF([4]回答表!X51="●",[4]回答表!E256,IF([4]回答表!AA51="●",[4]回答表!E335,"")),"")</f>
        <v/>
      </c>
      <c r="BG102" s="151"/>
      <c r="BH102" s="151"/>
      <c r="BI102" s="151"/>
      <c r="BJ102" s="150" t="str">
        <f>IF([4]回答表!F18="水道事業",IF([4]回答表!X51="●",[4]回答表!E257,IF([4]回答表!AA51="●",[4]回答表!E336,"")),"")</f>
        <v/>
      </c>
      <c r="BK102" s="151"/>
      <c r="BL102" s="151"/>
      <c r="BM102" s="151"/>
      <c r="BN102" s="150" t="str">
        <f>IF([4]回答表!F18="水道事業",IF([4]回答表!X51="●",[4]回答表!E258,IF([4]回答表!AA51="●",[4]回答表!E337,"")),"")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IF([4]回答表!F18="水道事業",IF([4]回答表!AA51="●","●",""),"")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IF([4]回答表!F18="水道事業",IF([4]回答表!X51="●",[4]回答表!J213,IF([4]回答表!AA51="●",[4]回答表!J293,"")),"")</f>
        <v/>
      </c>
      <c r="V106" s="83"/>
      <c r="W106" s="83"/>
      <c r="X106" s="83"/>
      <c r="Y106" s="83"/>
      <c r="Z106" s="83"/>
      <c r="AA106" s="83"/>
      <c r="AB106" s="153"/>
      <c r="AC106" s="82" t="str">
        <f>IF([4]回答表!F18="水道事業",IF([4]回答表!X51="●",[4]回答表!J217,IF([4]回答表!AA51="●",[4]回答表!J297,"")),"")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IF([4]回答表!F18="水道事業",IF([4]回答表!X51="●",[4]回答表!E265,IF([4]回答表!AA51="●",[4]回答表!E344,"")),"")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IF([4]回答表!F18="水道事業",IF([4]回答表!X51="●",[4]回答表!B267,IF([4]回答表!AA51="●",[4]回答表!B346,"")),"")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IF([4]回答表!F18="水道事業",IF([4]回答表!AD51="●","●",""),"")</f>
        <v/>
      </c>
      <c r="O118" s="131"/>
      <c r="P118" s="131"/>
      <c r="Q118" s="132"/>
      <c r="R118" s="119"/>
      <c r="S118" s="119"/>
      <c r="T118" s="119"/>
      <c r="U118" s="133" t="str">
        <f>IF([4]回答表!F18="水道事業",IF([4]回答表!AD51="●",[4]回答表!B354,""),"")</f>
        <v/>
      </c>
      <c r="V118" s="134"/>
      <c r="W118" s="134"/>
      <c r="X118" s="134"/>
      <c r="Y118" s="134"/>
      <c r="Z118" s="134"/>
      <c r="AA118" s="134"/>
      <c r="AB118" s="134"/>
      <c r="AC118" s="134"/>
      <c r="AD118" s="134"/>
      <c r="AE118" s="134"/>
      <c r="AF118" s="134"/>
      <c r="AG118" s="134"/>
      <c r="AH118" s="134"/>
      <c r="AI118" s="134"/>
      <c r="AJ118" s="135"/>
      <c r="AK118" s="189"/>
      <c r="AL118" s="189"/>
      <c r="AM118" s="133" t="str">
        <f>IF([4]回答表!F18="水道事業",IF([4]回答表!AD51="●",[4]回答表!B360,""),"")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IF([4]回答表!F18="簡易水道事業",IF([4]回答表!X51="●",[4]回答表!B197,IF([4]回答表!AA51="●",[4]回答表!B275,"")),"")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IF([4]回答表!F18="簡易水道事業",IF([4]回答表!X51="●",[4]回答表!B256,IF([4]回答表!AA51="●",[4]回答表!B335,"")),"")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IF([4]回答表!F18="簡易水道事業",IF([4]回答表!X51="●","●",""),"")</f>
        <v/>
      </c>
      <c r="O132" s="131"/>
      <c r="P132" s="131"/>
      <c r="Q132" s="132"/>
      <c r="R132" s="119"/>
      <c r="S132" s="119"/>
      <c r="T132" s="119"/>
      <c r="U132" s="82" t="str">
        <f>IF([4]回答表!F18="簡易水道事業",IF([4]回答表!X51="●",[4]回答表!S224,IF([4]回答表!AA51="●",[4]回答表!S304,"")),"")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IF([4]回答表!F18="簡易水道事業",IF([4]回答表!X51="●",[4]回答表!E256,IF([4]回答表!AA51="●",[4]回答表!E335,"")),"")</f>
        <v/>
      </c>
      <c r="BG133" s="151"/>
      <c r="BH133" s="151"/>
      <c r="BI133" s="151"/>
      <c r="BJ133" s="150" t="str">
        <f>IF([4]回答表!F18="簡易水道事業",IF([4]回答表!X51="●",[4]回答表!E257,IF([4]回答表!AA51="●",[4]回答表!E336,"")),"")</f>
        <v/>
      </c>
      <c r="BK133" s="151"/>
      <c r="BL133" s="151"/>
      <c r="BM133" s="151"/>
      <c r="BN133" s="150" t="str">
        <f>IF([4]回答表!F18="簡易水道事業",IF([4]回答表!X51="●",[4]回答表!E258,IF([4]回答表!AA51="●",[4]回答表!E337,"")),"")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IF([4]回答表!F18="簡易水道事業",IF([4]回答表!X51="●",[4]回答表!S225,IF([4]回答表!AA51="●",[4]回答表!S305,"")),"")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IF([4]回答表!F18="簡易水道事業",IF([4]回答表!AA51="●","●",""),"")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IF([4]回答表!F18="簡易水道事業",IF([4]回答表!X51="●",[4]回答表!S226,IF([4]回答表!AA51="●",[4]回答表!S306,"")),"")</f>
        <v/>
      </c>
      <c r="V142" s="83"/>
      <c r="W142" s="83"/>
      <c r="X142" s="83"/>
      <c r="Y142" s="83"/>
      <c r="Z142" s="83"/>
      <c r="AA142" s="83"/>
      <c r="AB142" s="83"/>
      <c r="AC142" s="83"/>
      <c r="AD142" s="83"/>
      <c r="AE142" s="83"/>
      <c r="AF142" s="83"/>
      <c r="AG142" s="83"/>
      <c r="AH142" s="83"/>
      <c r="AI142" s="83"/>
      <c r="AJ142" s="153"/>
      <c r="AK142" s="68"/>
      <c r="AL142" s="68"/>
      <c r="AM142" s="231" t="str">
        <f>IF([4]回答表!F18="簡易水道事業",IF([4]回答表!X51="●",[4]回答表!Y228,IF([4]回答表!AA51="●",[4]回答表!Y308,"")),"")</f>
        <v/>
      </c>
      <c r="AN142" s="231"/>
      <c r="AO142" s="231"/>
      <c r="AP142" s="231"/>
      <c r="AQ142" s="231"/>
      <c r="AR142" s="231"/>
      <c r="AS142" s="231" t="str">
        <f>IF([4]回答表!F18="簡易水道事業",IF([4]回答表!X51="●",[4]回答表!Y229,IF([4]回答表!AA51="●",[4]回答表!Y309,"")),"")</f>
        <v/>
      </c>
      <c r="AT142" s="231"/>
      <c r="AU142" s="231"/>
      <c r="AV142" s="231"/>
      <c r="AW142" s="231"/>
      <c r="AX142" s="231"/>
      <c r="AY142" s="231" t="str">
        <f>IF([4]回答表!F18="簡易水道事業",IF([4]回答表!X51="●",[4]回答表!Y230,IF([4]回答表!AA51="●",[4]回答表!Y310,"")),"")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IF([4]回答表!F18="簡易水道事業",IF([4]回答表!X51="●",[4]回答表!E265,IF([4]回答表!AA51="●",[4]回答表!E344,"")),"")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IF([4]回答表!F18="簡易水道事業",IF([4]回答表!X51="●",[4]回答表!B267,IF([4]回答表!AA51="●",[4]回答表!B346,"")),"")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IF([4]回答表!F18="簡易水道事業",IF([4]回答表!AD51="●","●",""),"")</f>
        <v/>
      </c>
      <c r="O154" s="131"/>
      <c r="P154" s="131"/>
      <c r="Q154" s="132"/>
      <c r="R154" s="119"/>
      <c r="S154" s="119"/>
      <c r="T154" s="119"/>
      <c r="U154" s="133" t="str">
        <f>IF([4]回答表!F18="簡易水道事業",IF([4]回答表!AD51="●",[4]回答表!B354,""),"")</f>
        <v/>
      </c>
      <c r="V154" s="134"/>
      <c r="W154" s="134"/>
      <c r="X154" s="134"/>
      <c r="Y154" s="134"/>
      <c r="Z154" s="134"/>
      <c r="AA154" s="134"/>
      <c r="AB154" s="134"/>
      <c r="AC154" s="134"/>
      <c r="AD154" s="134"/>
      <c r="AE154" s="134"/>
      <c r="AF154" s="134"/>
      <c r="AG154" s="134"/>
      <c r="AH154" s="134"/>
      <c r="AI154" s="134"/>
      <c r="AJ154" s="135"/>
      <c r="AK154" s="189"/>
      <c r="AL154" s="189"/>
      <c r="AM154" s="133" t="str">
        <f>IF([4]回答表!F18="簡易水道事業",IF([4]回答表!AD51="●",[4]回答表!B360,""),"")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IF([4]回答表!F18="下水道事業",IF([4]回答表!X51="●","●",""),"")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IF([4]回答表!F18="下水道事業",IF([4]回答表!X51="●",[4]回答表!B197,IF([4]回答表!AA51="●",[4]回答表!B275,"")),"")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IF([4]回答表!F18="下水道事業",IF([4]回答表!X51="●",[4]回答表!B256,IF([4]回答表!AA51="●",[4]回答表!B335,"")),"")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IF([4]回答表!F18="下水道事業",IF([4]回答表!X51="●",[4]回答表!N234,IF([4]回答表!AA51="●",[4]回答表!N314,"")),"")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IF([4]回答表!F18="下水道事業",IF([4]回答表!X51="●",[4]回答表!E256,IF([4]回答表!AA51="●",[4]回答表!E335,"")),"")</f>
        <v/>
      </c>
      <c r="BG169" s="151"/>
      <c r="BH169" s="151"/>
      <c r="BI169" s="151"/>
      <c r="BJ169" s="150" t="str">
        <f>IF([4]回答表!F18="下水道事業",IF([4]回答表!X51="●",[4]回答表!E257,IF([4]回答表!AA51="●",[4]回答表!E336,"")),"")</f>
        <v/>
      </c>
      <c r="BK169" s="151"/>
      <c r="BL169" s="151"/>
      <c r="BM169" s="151"/>
      <c r="BN169" s="150" t="str">
        <f>IF([4]回答表!F18="下水道事業",IF([4]回答表!X51="●",[4]回答表!E258,IF([4]回答表!AA51="●",[4]回答表!E337,"")),"")</f>
        <v/>
      </c>
      <c r="BO169" s="151"/>
      <c r="BP169" s="151"/>
      <c r="BQ169" s="152"/>
      <c r="BR169" s="112"/>
      <c r="BX169" s="234" t="str">
        <f>IF([4]回答表!AQ21="下水道事業",IF([4]回答表!BI54="○",[4]回答表!AM200,IF([4]回答表!BL54="○",[4]回答表!AM278,"")),"")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IF([4]回答表!F18="下水道事業",IF([4]回答表!X51="●",[4]回答表!Y236,IF([4]回答表!AA51="●",[4]回答表!Y316,"")),"")</f>
        <v/>
      </c>
      <c r="V174" s="83"/>
      <c r="W174" s="83"/>
      <c r="X174" s="83"/>
      <c r="Y174" s="83"/>
      <c r="Z174" s="83"/>
      <c r="AA174" s="83"/>
      <c r="AB174" s="153"/>
      <c r="AC174" s="82" t="str">
        <f>IF([4]回答表!F18="下水道事業",IF([4]回答表!X51="●",[4]回答表!Y237,IF([4]回答表!AA51="●",[4]回答表!Y317,"")),"")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IF([4]回答表!F18="下水道事業",IF([4]回答表!X51="●",[4]回答表!Y239,IF([4]回答表!AA51="●",[4]回答表!Y319,"")),"")</f>
        <v/>
      </c>
      <c r="V180" s="83"/>
      <c r="W180" s="83"/>
      <c r="X180" s="83"/>
      <c r="Y180" s="83"/>
      <c r="Z180" s="83"/>
      <c r="AA180" s="83"/>
      <c r="AB180" s="153"/>
      <c r="AC180" s="82" t="str">
        <f>IF([4]回答表!F18="下水道事業",IF([4]回答表!X51="●",[4]回答表!Y240,IF([4]回答表!AA51="●",[4]回答表!Y320,"")),"")</f>
        <v/>
      </c>
      <c r="AD180" s="83"/>
      <c r="AE180" s="83"/>
      <c r="AF180" s="83"/>
      <c r="AG180" s="83"/>
      <c r="AH180" s="83"/>
      <c r="AI180" s="83"/>
      <c r="AJ180" s="153"/>
      <c r="AK180" s="82" t="str">
        <f>IF([4]回答表!F18="下水道事業",IF([4]回答表!X51="●",[4]回答表!Y241,IF([4]回答表!AA51="●",[4]回答表!Y321,"")),"")</f>
        <v/>
      </c>
      <c r="AL180" s="83"/>
      <c r="AM180" s="83"/>
      <c r="AN180" s="83"/>
      <c r="AO180" s="83"/>
      <c r="AP180" s="83"/>
      <c r="AQ180" s="83"/>
      <c r="AR180" s="153"/>
      <c r="AS180" s="82" t="str">
        <f>IF([4]回答表!F18="下水道事業",IF([4]回答表!X51="●",[4]回答表!Y242,IF([4]回答表!AA51="●",[4]回答表!Y322,"")),"")</f>
        <v/>
      </c>
      <c r="AT180" s="83"/>
      <c r="AU180" s="83"/>
      <c r="AV180" s="83"/>
      <c r="AW180" s="83"/>
      <c r="AX180" s="83"/>
      <c r="AY180" s="83"/>
      <c r="AZ180" s="153"/>
      <c r="BA180" s="82" t="str">
        <f>IF([4]回答表!F18="下水道事業",IF([4]回答表!X51="●",[4]回答表!Y243,IF([4]回答表!AA51="●",[4]回答表!Y323,"")),"")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IF([4]回答表!F18="下水道事業",IF([4]回答表!AA51="●","●",""),"")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IF([4]回答表!F18="下水道事業",IF([4]回答表!X51="●",[4]回答表!N248,IF([4]回答表!AA51="●",[4]回答表!N328,"")),"")</f>
        <v/>
      </c>
      <c r="V186" s="83"/>
      <c r="W186" s="83"/>
      <c r="X186" s="83"/>
      <c r="Y186" s="83"/>
      <c r="Z186" s="83"/>
      <c r="AA186" s="83"/>
      <c r="AB186" s="153"/>
      <c r="AC186" s="82" t="str">
        <f>IF([4]回答表!F18="下水道事業",IF([4]回答表!X51="●",[4]回答表!N249,IF([4]回答表!AA51="●",[4]回答表!N329,"")),"")</f>
        <v/>
      </c>
      <c r="AD186" s="83"/>
      <c r="AE186" s="83"/>
      <c r="AF186" s="83"/>
      <c r="AG186" s="83"/>
      <c r="AH186" s="83"/>
      <c r="AI186" s="83"/>
      <c r="AJ186" s="153"/>
      <c r="AK186" s="82" t="str">
        <f>IF([4]回答表!F18="下水道事業",IF([4]回答表!X51="●",[4]回答表!N250,IF([4]回答表!AA51="●",[4]回答表!N330,"")),"")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IF([4]回答表!F18="下水道事業",IF([4]回答表!X51="●",[4]回答表!E265,IF([4]回答表!AA51="●",[4]回答表!E344,"")),"")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IF([4]回答表!F18="下水道事業",IF([4]回答表!X51="●",[4]回答表!B267,IF([4]回答表!AA51="●",[4]回答表!B346,"")),"")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IF([4]回答表!F18="下水道事業",IF([4]回答表!AD51="●","●",""),"")</f>
        <v/>
      </c>
      <c r="O198" s="131"/>
      <c r="P198" s="131"/>
      <c r="Q198" s="132"/>
      <c r="R198" s="119"/>
      <c r="S198" s="119"/>
      <c r="T198" s="119"/>
      <c r="U198" s="133" t="str">
        <f>IF([4]回答表!F18="下水道事業",IF([4]回答表!AD51="●",[4]回答表!B354,""),"")</f>
        <v/>
      </c>
      <c r="V198" s="134"/>
      <c r="W198" s="134"/>
      <c r="X198" s="134"/>
      <c r="Y198" s="134"/>
      <c r="Z198" s="134"/>
      <c r="AA198" s="134"/>
      <c r="AB198" s="134"/>
      <c r="AC198" s="134"/>
      <c r="AD198" s="134"/>
      <c r="AE198" s="134"/>
      <c r="AF198" s="134"/>
      <c r="AG198" s="134"/>
      <c r="AH198" s="134"/>
      <c r="AI198" s="134"/>
      <c r="AJ198" s="135"/>
      <c r="AK198" s="189"/>
      <c r="AL198" s="189"/>
      <c r="AM198" s="133" t="str">
        <f>IF([4]回答表!F18="下水道事業",IF([4]回答表!AD51="●",[4]回答表!B360,""),"")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IF([4]回答表!BD18="●",IF([4]回答表!X51="●","●",""),"")</f>
        <v/>
      </c>
      <c r="O210" s="131"/>
      <c r="P210" s="131"/>
      <c r="Q210" s="132"/>
      <c r="R210" s="119"/>
      <c r="S210" s="119"/>
      <c r="T210" s="119"/>
      <c r="U210" s="133" t="str">
        <f>IF([4]回答表!BD18="●",IF([4]回答表!X51="●",[4]回答表!B197,IF([4]回答表!AA51="●",[4]回答表!B275,"")),"")</f>
        <v/>
      </c>
      <c r="V210" s="134"/>
      <c r="W210" s="134"/>
      <c r="X210" s="134"/>
      <c r="Y210" s="134"/>
      <c r="Z210" s="134"/>
      <c r="AA210" s="134"/>
      <c r="AB210" s="134"/>
      <c r="AC210" s="134"/>
      <c r="AD210" s="134"/>
      <c r="AE210" s="134"/>
      <c r="AF210" s="134"/>
      <c r="AG210" s="134"/>
      <c r="AH210" s="134"/>
      <c r="AI210" s="134"/>
      <c r="AJ210" s="135"/>
      <c r="AK210" s="136"/>
      <c r="AL210" s="136"/>
      <c r="AM210" s="138" t="str">
        <f>IF([4]回答表!BD18="●",IF([4]回答表!X51="●",[4]回答表!B256,IF([4]回答表!AA51="●",[4]回答表!B335,"")),"")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IF([4]回答表!BD18="●",IF([4]回答表!X51="●",[4]回答表!E256,IF([4]回答表!AA51="●",[4]回答表!E335,"")),"")</f>
        <v/>
      </c>
      <c r="AN213" s="151"/>
      <c r="AO213" s="151"/>
      <c r="AP213" s="151"/>
      <c r="AQ213" s="150" t="str">
        <f>IF([4]回答表!BD18="●",IF([4]回答表!X51="●",[4]回答表!E257,IF([4]回答表!AA51="●",[4]回答表!E336,"")),"")</f>
        <v/>
      </c>
      <c r="AR213" s="151"/>
      <c r="AS213" s="151"/>
      <c r="AT213" s="151"/>
      <c r="AU213" s="150" t="str">
        <f>IF([4]回答表!BD18="●",IF([4]回答表!X51="●",[4]回答表!E258,IF([4]回答表!AA51="●",[4]回答表!E337,"")),"")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IF([4]回答表!BD18="●",IF([4]回答表!AA51="●","●",""),"")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IF([4]回答表!BD18="●",IF([4]回答表!X51="●",[4]回答表!E265,IF([4]回答表!AA51="●",[4]回答表!E344,"")),"")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IF([4]回答表!BD18="●",IF([4]回答表!X51="●",[4]回答表!B267,IF([4]回答表!AA51="●",[4]回答表!B346,"")),"")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IF([4]回答表!BD18="●",IF([4]回答表!AD51="●","●",""),"")</f>
        <v/>
      </c>
      <c r="O229" s="131"/>
      <c r="P229" s="131"/>
      <c r="Q229" s="132"/>
      <c r="R229" s="119"/>
      <c r="S229" s="119"/>
      <c r="T229" s="119"/>
      <c r="U229" s="133" t="str">
        <f>IF([4]回答表!BD18="●",IF([4]回答表!AD51="●",[4]回答表!B354,""),"")</f>
        <v/>
      </c>
      <c r="V229" s="134"/>
      <c r="W229" s="134"/>
      <c r="X229" s="134"/>
      <c r="Y229" s="134"/>
      <c r="Z229" s="134"/>
      <c r="AA229" s="134"/>
      <c r="AB229" s="134"/>
      <c r="AC229" s="134"/>
      <c r="AD229" s="134"/>
      <c r="AE229" s="134"/>
      <c r="AF229" s="134"/>
      <c r="AG229" s="134"/>
      <c r="AH229" s="134"/>
      <c r="AI229" s="134"/>
      <c r="AJ229" s="135"/>
      <c r="AK229" s="249"/>
      <c r="AL229" s="249"/>
      <c r="AM229" s="133" t="str">
        <f>IF([4]回答表!BD18="●",IF([4]回答表!AD51="●",[4]回答表!B360,""),"")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IF([4]回答表!X52="●","●","")</f>
        <v/>
      </c>
      <c r="O241" s="131"/>
      <c r="P241" s="131"/>
      <c r="Q241" s="132"/>
      <c r="R241" s="119"/>
      <c r="S241" s="119"/>
      <c r="T241" s="119"/>
      <c r="U241" s="133" t="str">
        <f>IF([4]回答表!X52="●",[4]回答表!B371,IF([4]回答表!AA52="●",[4]回答表!B396,""))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IF([4]回答表!X52="●",[4]回答表!U377,IF([4]回答表!AA52="●",[4]回答表!U402,""))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IF([4]回答表!X52="●",[4]回答表!G377,IF([4]回答表!AA52="●",[4]回答表!G402,""))</f>
        <v/>
      </c>
      <c r="AN244" s="83"/>
      <c r="AO244" s="83"/>
      <c r="AP244" s="83"/>
      <c r="AQ244" s="83"/>
      <c r="AR244" s="83"/>
      <c r="AS244" s="83"/>
      <c r="AT244" s="153"/>
      <c r="AU244" s="82" t="str">
        <f>IF([4]回答表!X52="●",[4]回答表!G378,IF([4]回答表!AA52="●",[4]回答表!G403,""))</f>
        <v/>
      </c>
      <c r="AV244" s="83"/>
      <c r="AW244" s="83"/>
      <c r="AX244" s="83"/>
      <c r="AY244" s="83"/>
      <c r="AZ244" s="83"/>
      <c r="BA244" s="83"/>
      <c r="BB244" s="153"/>
      <c r="BC244" s="120"/>
      <c r="BD244" s="109"/>
      <c r="BE244" s="109"/>
      <c r="BF244" s="150" t="str">
        <f>IF([4]回答表!X52="●",[4]回答表!X377,IF([4]回答表!AA52="●",[4]回答表!X402,""))</f>
        <v/>
      </c>
      <c r="BG244" s="151"/>
      <c r="BH244" s="151"/>
      <c r="BI244" s="151"/>
      <c r="BJ244" s="150" t="str">
        <f>IF([4]回答表!X52="●",[4]回答表!X378,IF([4]回答表!AA52="●",[4]回答表!X403,""))</f>
        <v/>
      </c>
      <c r="BK244" s="151"/>
      <c r="BL244" s="151"/>
      <c r="BM244" s="152"/>
      <c r="BN244" s="150" t="str">
        <f>IF([4]回答表!X52="●",[4]回答表!X379,IF([4]回答表!AA52="●",[4]回答表!X404,""))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IF([4]回答表!AA52="●","●","")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IF([4]回答表!X52="●",[4]回答表!E386,IF([4]回答表!AA52="●",[4]回答表!E407,""))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IF([4]回答表!X52="●",[4]回答表!B388,IF([4]回答表!AA52="●",[4]回答表!B409,""))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IF([4]回答表!AD52="●","●","")</f>
        <v/>
      </c>
      <c r="O260" s="131"/>
      <c r="P260" s="131"/>
      <c r="Q260" s="132"/>
      <c r="R260" s="119"/>
      <c r="S260" s="119"/>
      <c r="T260" s="119"/>
      <c r="U260" s="133" t="str">
        <f>IF([4]回答表!AD52="●",[4]回答表!B417,"")</f>
        <v/>
      </c>
      <c r="V260" s="134"/>
      <c r="W260" s="134"/>
      <c r="X260" s="134"/>
      <c r="Y260" s="134"/>
      <c r="Z260" s="134"/>
      <c r="AA260" s="134"/>
      <c r="AB260" s="134"/>
      <c r="AC260" s="134"/>
      <c r="AD260" s="134"/>
      <c r="AE260" s="134"/>
      <c r="AF260" s="134"/>
      <c r="AG260" s="134"/>
      <c r="AH260" s="134"/>
      <c r="AI260" s="134"/>
      <c r="AJ260" s="135"/>
      <c r="AK260" s="249"/>
      <c r="AL260" s="249"/>
      <c r="AM260" s="133" t="str">
        <f>IF([4]回答表!AD52="●",[4]回答表!B423,"")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IF([4]回答表!X53="●","●","")</f>
        <v/>
      </c>
      <c r="O272" s="131"/>
      <c r="P272" s="131"/>
      <c r="Q272" s="132"/>
      <c r="R272" s="119"/>
      <c r="S272" s="119"/>
      <c r="T272" s="119"/>
      <c r="U272" s="133" t="str">
        <f>IF([4]回答表!X53="●",[4]回答表!B434,IF([4]回答表!AA53="●",[4]回答表!B465,""))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IF([4]回答表!X53="●",[4]回答表!B440,"")</f>
        <v/>
      </c>
      <c r="AO272" s="262"/>
      <c r="AP272" s="262"/>
      <c r="AQ272" s="262"/>
      <c r="AR272" s="262"/>
      <c r="AS272" s="262"/>
      <c r="AT272" s="262"/>
      <c r="AU272" s="262"/>
      <c r="AV272" s="262"/>
      <c r="AW272" s="262"/>
      <c r="AX272" s="262"/>
      <c r="AY272" s="262"/>
      <c r="AZ272" s="262"/>
      <c r="BA272" s="262"/>
      <c r="BB272" s="263"/>
      <c r="BC272" s="120"/>
      <c r="BD272" s="109"/>
      <c r="BE272" s="109"/>
      <c r="BF272" s="138" t="str">
        <f>IF([4]回答表!X53="●",[4]回答表!B446,IF([4]回答表!AA53="●",[4]回答表!B471,""))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IF([4]回答表!X53="●",[4]回答表!E446,IF([4]回答表!AA53="●",[4]回答表!E471,""))</f>
        <v/>
      </c>
      <c r="BG275" s="151"/>
      <c r="BH275" s="151"/>
      <c r="BI275" s="151"/>
      <c r="BJ275" s="150" t="str">
        <f>IF([4]回答表!X53="●",[4]回答表!E447,IF([4]回答表!AA53="●",[4]回答表!E472,""))</f>
        <v/>
      </c>
      <c r="BK275" s="151"/>
      <c r="BL275" s="151"/>
      <c r="BM275" s="152"/>
      <c r="BN275" s="150" t="str">
        <f>IF([4]回答表!X53="●",[4]回答表!E448,IF([4]回答表!AA53="●",[4]回答表!E473,""))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IF([4]回答表!AA53="●","●","")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IF([4]回答表!X53="●",[4]回答表!E455,IF([4]回答表!AA53="●",[4]回答表!E476,""))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IF([4]回答表!X53="●",[4]回答表!B457,IF([4]回答表!AA53="●",[4]回答表!B478,""))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IF([4]回答表!AD53="●","●","")</f>
        <v/>
      </c>
      <c r="O291" s="131"/>
      <c r="P291" s="131"/>
      <c r="Q291" s="132"/>
      <c r="R291" s="119"/>
      <c r="S291" s="119"/>
      <c r="T291" s="119"/>
      <c r="U291" s="133" t="str">
        <f>IF([4]回答表!AD53="●",[4]回答表!B486,"")</f>
        <v/>
      </c>
      <c r="V291" s="134"/>
      <c r="W291" s="134"/>
      <c r="X291" s="134"/>
      <c r="Y291" s="134"/>
      <c r="Z291" s="134"/>
      <c r="AA291" s="134"/>
      <c r="AB291" s="134"/>
      <c r="AC291" s="134"/>
      <c r="AD291" s="134"/>
      <c r="AE291" s="134"/>
      <c r="AF291" s="134"/>
      <c r="AG291" s="134"/>
      <c r="AH291" s="134"/>
      <c r="AI291" s="134"/>
      <c r="AJ291" s="135"/>
      <c r="AK291" s="249"/>
      <c r="AL291" s="249"/>
      <c r="AM291" s="133" t="str">
        <f>IF([4]回答表!AD53="●",[4]回答表!B492,"")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IF([4]回答表!X54="●","●","")</f>
        <v/>
      </c>
      <c r="O303" s="131"/>
      <c r="P303" s="131"/>
      <c r="Q303" s="132"/>
      <c r="R303" s="119"/>
      <c r="S303" s="119"/>
      <c r="T303" s="119"/>
      <c r="U303" s="133" t="str">
        <f>IF([4]回答表!X54="●",[4]回答表!B503,IF([4]回答表!AA54="●",[4]回答表!B526,""))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IF([4]回答表!X54="●",[4]回答表!BC510,IF([4]回答表!AA54="●",[4]回答表!BC533,""))</f>
        <v/>
      </c>
      <c r="AR303" s="271"/>
      <c r="AS303" s="271"/>
      <c r="AT303" s="271"/>
      <c r="AU303" s="272" t="s">
        <v>74</v>
      </c>
      <c r="AV303" s="273"/>
      <c r="AW303" s="273"/>
      <c r="AX303" s="274"/>
      <c r="AY303" s="271" t="str">
        <f>IF([4]回答表!X54="●",[4]回答表!BC515,IF([4]回答表!AA54="●",[4]回答表!BC538,""))</f>
        <v/>
      </c>
      <c r="AZ303" s="271"/>
      <c r="BA303" s="271"/>
      <c r="BB303" s="271"/>
      <c r="BC303" s="120"/>
      <c r="BD303" s="109"/>
      <c r="BE303" s="109"/>
      <c r="BF303" s="138" t="str">
        <f>IF([4]回答表!X54="●",[4]回答表!S509,IF([4]回答表!AA54="●",[4]回答表!S532,""))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IF([4]回答表!X54="●",[4]回答表!BC511,IF([4]回答表!AA54="●",[4]回答表!BC534,""))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IF([4]回答表!X54="●",[4]回答表!V509,IF([4]回答表!AA54="●",[4]回答表!V532,""))</f>
        <v/>
      </c>
      <c r="BG306" s="151"/>
      <c r="BH306" s="151"/>
      <c r="BI306" s="151"/>
      <c r="BJ306" s="150" t="str">
        <f>IF([4]回答表!X54="●",[4]回答表!V510,IF([4]回答表!AA54="●",[4]回答表!V533,""))</f>
        <v/>
      </c>
      <c r="BK306" s="151"/>
      <c r="BL306" s="151"/>
      <c r="BM306" s="152"/>
      <c r="BN306" s="150" t="str">
        <f>IF([4]回答表!X54="●",[4]回答表!V511,IF([4]回答表!AA54="●",[4]回答表!V534,""))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IF([4]回答表!X54="●",[4]回答表!BC512,IF([4]回答表!AA54="●",[4]回答表!BC535,""))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IF([4]回答表!X54="●",[4]回答表!BC516,IF([4]回答表!AA54="●",[4]回答表!BC539,""))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IF([4]回答表!AA54="●","●","")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IF([4]回答表!X54="●",[4]回答表!BC513,IF([4]回答表!AA54="●",[4]回答表!BC536,""))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IF([4]回答表!X54="●",[4]回答表!BC514,IF([4]回答表!AA54="●",[4]回答表!BC537,""))</f>
        <v/>
      </c>
      <c r="AR311" s="271"/>
      <c r="AS311" s="271"/>
      <c r="AT311" s="271"/>
      <c r="AU311" s="222" t="s">
        <v>80</v>
      </c>
      <c r="AV311" s="223"/>
      <c r="AW311" s="223"/>
      <c r="AX311" s="224"/>
      <c r="AY311" s="281" t="str">
        <f>IF([4]回答表!X54="●",[4]回答表!BC517,IF([4]回答表!AA54="●",[4]回答表!BC540,""))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IF([4]回答表!X54="●",[4]回答表!E516,IF([4]回答表!AA54="●",[4]回答表!E538,""))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IF([4]回答表!X54="●",[4]回答表!B518,IF([4]回答表!AA54="●",[4]回答表!B540,""))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IF([4]回答表!AD54="●","●","")</f>
        <v/>
      </c>
      <c r="O322" s="131"/>
      <c r="P322" s="131"/>
      <c r="Q322" s="132"/>
      <c r="R322" s="119"/>
      <c r="S322" s="119"/>
      <c r="T322" s="119"/>
      <c r="U322" s="133" t="str">
        <f>IF([4]回答表!AD54="●",[4]回答表!B548,"")</f>
        <v/>
      </c>
      <c r="V322" s="134"/>
      <c r="W322" s="134"/>
      <c r="X322" s="134"/>
      <c r="Y322" s="134"/>
      <c r="Z322" s="134"/>
      <c r="AA322" s="134"/>
      <c r="AB322" s="134"/>
      <c r="AC322" s="134"/>
      <c r="AD322" s="134"/>
      <c r="AE322" s="134"/>
      <c r="AF322" s="134"/>
      <c r="AG322" s="134"/>
      <c r="AH322" s="134"/>
      <c r="AI322" s="134"/>
      <c r="AJ322" s="135"/>
      <c r="AK322" s="189"/>
      <c r="AL322" s="189"/>
      <c r="AM322" s="133" t="str">
        <f>IF([4]回答表!AD54="●",[4]回答表!B554,"")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IF([4]回答表!X55="●","●","")</f>
        <v/>
      </c>
      <c r="O333" s="131"/>
      <c r="P333" s="131"/>
      <c r="Q333" s="132"/>
      <c r="R333" s="119"/>
      <c r="S333" s="119"/>
      <c r="T333" s="119"/>
      <c r="U333" s="133" t="str">
        <f>IF([4]回答表!X55="●",[4]回答表!B565,IF([4]回答表!AA55="●",[4]回答表!B590,""))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IF([4]回答表!X55="●",[4]回答表!B575,IF([4]回答表!AA55="●",[4]回答表!B600,""))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IF([4]回答表!X55="●",[4]回答表!G571,IF([4]回答表!AA55="●",[4]回答表!G596,""))</f>
        <v/>
      </c>
      <c r="AN335" s="83"/>
      <c r="AO335" s="83"/>
      <c r="AP335" s="83"/>
      <c r="AQ335" s="83"/>
      <c r="AR335" s="83"/>
      <c r="AS335" s="83"/>
      <c r="AT335" s="153"/>
      <c r="AU335" s="82" t="str">
        <f>IF([4]回答表!X55="●",[4]回答表!G572,IF([4]回答表!AA55="●",[4]回答表!G597,""))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IF([4]回答表!X55="●",[4]回答表!E575,IF([4]回答表!AA55="●",[4]回答表!E600,""))</f>
        <v/>
      </c>
      <c r="BG336" s="151"/>
      <c r="BH336" s="151"/>
      <c r="BI336" s="151"/>
      <c r="BJ336" s="150" t="str">
        <f>IF([4]回答表!X55="●",[4]回答表!E576,IF([4]回答表!AA55="●",[4]回答表!E601,""))</f>
        <v/>
      </c>
      <c r="BK336" s="151"/>
      <c r="BL336" s="151"/>
      <c r="BM336" s="152"/>
      <c r="BN336" s="150" t="str">
        <f>IF([4]回答表!X55="●",[4]回答表!E577,IF([4]回答表!AA55="●",[4]回答表!E602,""))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IF([4]回答表!AA55="●","●","")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IF([4]回答表!X55="●",[4]回答表!E580,IF([4]回答表!AA55="●",[4]回答表!E605,""))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IF([4]回答表!X55="●",[4]回答表!B582,IF([4]回答表!AA55="●",[4]回答表!B607,""))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IF([4]回答表!AD55="●","●","")</f>
        <v/>
      </c>
      <c r="O352" s="131"/>
      <c r="P352" s="131"/>
      <c r="Q352" s="132"/>
      <c r="R352" s="119"/>
      <c r="S352" s="119"/>
      <c r="T352" s="119"/>
      <c r="U352" s="133" t="str">
        <f>IF([4]回答表!AD55="●",[4]回答表!B615,"")</f>
        <v/>
      </c>
      <c r="V352" s="134"/>
      <c r="W352" s="134"/>
      <c r="X352" s="134"/>
      <c r="Y352" s="134"/>
      <c r="Z352" s="134"/>
      <c r="AA352" s="134"/>
      <c r="AB352" s="134"/>
      <c r="AC352" s="134"/>
      <c r="AD352" s="134"/>
      <c r="AE352" s="134"/>
      <c r="AF352" s="134"/>
      <c r="AG352" s="134"/>
      <c r="AH352" s="134"/>
      <c r="AI352" s="134"/>
      <c r="AJ352" s="135"/>
      <c r="AK352" s="136"/>
      <c r="AL352" s="136"/>
      <c r="AM352" s="133" t="str">
        <f>IF([4]回答表!AD55="●",[4]回答表!B621,"")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IF([4]回答表!R56="●",[4]回答表!B634,"")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10576-5301-4DC3-AE2D-71299C80BEE4}">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IF(COUNTIF([5]回答表!K16,"*")&gt;0,[5]回答表!K16,"")</f>
        <v>由利本荘市</v>
      </c>
      <c r="D11" s="8"/>
      <c r="E11" s="8"/>
      <c r="F11" s="8"/>
      <c r="G11" s="8"/>
      <c r="H11" s="8"/>
      <c r="I11" s="8"/>
      <c r="J11" s="8"/>
      <c r="K11" s="8"/>
      <c r="L11" s="8"/>
      <c r="M11" s="8"/>
      <c r="N11" s="8"/>
      <c r="O11" s="8"/>
      <c r="P11" s="8"/>
      <c r="Q11" s="8"/>
      <c r="R11" s="8"/>
      <c r="S11" s="8"/>
      <c r="T11" s="8"/>
      <c r="U11" s="22" t="str">
        <f>IF(COUNTIF([5]回答表!F18,"*")&gt;0,[5]回答表!F18,"")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IF(COUNTIF([5]回答表!W18,"*")&gt;0,[5]回答表!W18,"")</f>
        <v>老人短期入所施設</v>
      </c>
      <c r="AP11" s="10"/>
      <c r="AQ11" s="10"/>
      <c r="AR11" s="10"/>
      <c r="AS11" s="10"/>
      <c r="AT11" s="10"/>
      <c r="AU11" s="10"/>
      <c r="AV11" s="10"/>
      <c r="AW11" s="10"/>
      <c r="AX11" s="10"/>
      <c r="AY11" s="10"/>
      <c r="AZ11" s="10"/>
      <c r="BA11" s="10"/>
      <c r="BB11" s="10"/>
      <c r="BC11" s="10"/>
      <c r="BD11" s="10"/>
      <c r="BE11" s="10"/>
      <c r="BF11" s="11"/>
      <c r="BG11" s="21" t="str">
        <f>IF(COUNTIF([5]回答表!F20,"*")&gt;0,[5]回答表!F20,"")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IF([5]回答表!R49="●","●","")</f>
        <v/>
      </c>
      <c r="E24" s="80"/>
      <c r="F24" s="80"/>
      <c r="G24" s="80"/>
      <c r="H24" s="80"/>
      <c r="I24" s="80"/>
      <c r="J24" s="81"/>
      <c r="K24" s="79" t="str">
        <f>IF([5]回答表!R50="●","●","")</f>
        <v/>
      </c>
      <c r="L24" s="80"/>
      <c r="M24" s="80"/>
      <c r="N24" s="80"/>
      <c r="O24" s="80"/>
      <c r="P24" s="80"/>
      <c r="Q24" s="81"/>
      <c r="R24" s="79" t="str">
        <f>IF([5]回答表!R51="●","●","")</f>
        <v/>
      </c>
      <c r="S24" s="80"/>
      <c r="T24" s="80"/>
      <c r="U24" s="80"/>
      <c r="V24" s="80"/>
      <c r="W24" s="80"/>
      <c r="X24" s="81"/>
      <c r="Y24" s="79" t="str">
        <f>IF([5]回答表!R52="●","●","")</f>
        <v>●</v>
      </c>
      <c r="Z24" s="80"/>
      <c r="AA24" s="80"/>
      <c r="AB24" s="80"/>
      <c r="AC24" s="80"/>
      <c r="AD24" s="80"/>
      <c r="AE24" s="81"/>
      <c r="AF24" s="79" t="str">
        <f>IF([5]回答表!R53="●","●","")</f>
        <v/>
      </c>
      <c r="AG24" s="80"/>
      <c r="AH24" s="80"/>
      <c r="AI24" s="80"/>
      <c r="AJ24" s="80"/>
      <c r="AK24" s="80"/>
      <c r="AL24" s="81"/>
      <c r="AM24" s="79" t="str">
        <f>IF([5]回答表!R54="●","●","")</f>
        <v/>
      </c>
      <c r="AN24" s="80"/>
      <c r="AO24" s="80"/>
      <c r="AP24" s="80"/>
      <c r="AQ24" s="80"/>
      <c r="AR24" s="80"/>
      <c r="AS24" s="81"/>
      <c r="AT24" s="79" t="str">
        <f>IF([5]回答表!R55="●","●","")</f>
        <v/>
      </c>
      <c r="AU24" s="80"/>
      <c r="AV24" s="80"/>
      <c r="AW24" s="80"/>
      <c r="AX24" s="80"/>
      <c r="AY24" s="80"/>
      <c r="AZ24" s="81"/>
      <c r="BA24" s="68"/>
      <c r="BB24" s="82" t="str">
        <f>IF([5]回答表!R56="●","●","")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IF([5]回答表!X49="●","●","")</f>
        <v/>
      </c>
      <c r="O36" s="131"/>
      <c r="P36" s="131"/>
      <c r="Q36" s="132"/>
      <c r="R36" s="119"/>
      <c r="S36" s="119"/>
      <c r="T36" s="119"/>
      <c r="U36" s="133" t="str">
        <f>IF([5]回答表!X49="●",[5]回答表!B67,IF([5]回答表!AA49="●",[5]回答表!B95,""))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IF([5]回答表!X49="●",[5]回答表!S73,IF([5]回答表!AA49="●",[5]回答表!S101,""))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IF([5]回答表!X49="●",[5]回答表!G73,IF([5]回答表!AA49="●",[5]回答表!G101,""))</f>
        <v/>
      </c>
      <c r="AN38" s="83"/>
      <c r="AO38" s="83"/>
      <c r="AP38" s="83"/>
      <c r="AQ38" s="83"/>
      <c r="AR38" s="83"/>
      <c r="AS38" s="83"/>
      <c r="AT38" s="153"/>
      <c r="AU38" s="82" t="str">
        <f>IF([5]回答表!X49="●",[5]回答表!G74,IF([5]回答表!AA49="●",[5]回答表!G102,""))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IF([5]回答表!X49="●",[5]回答表!V73,IF([5]回答表!AA49="●",[5]回答表!V101,""))</f>
        <v/>
      </c>
      <c r="BG39" s="16"/>
      <c r="BH39" s="16"/>
      <c r="BI39" s="17"/>
      <c r="BJ39" s="150" t="str">
        <f>IF([5]回答表!X49="●",[5]回答表!V74,IF([5]回答表!AA49="●",[5]回答表!V102,""))</f>
        <v/>
      </c>
      <c r="BK39" s="16"/>
      <c r="BL39" s="16"/>
      <c r="BM39" s="17"/>
      <c r="BN39" s="150" t="str">
        <f>IF([5]回答表!X49="●",[5]回答表!V75,IF([5]回答表!AA49="●",[5]回答表!V103,""))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IF([5]回答表!X49="●",[5]回答表!O79,IF([5]回答表!AA49="●",[5]回答表!O107,""))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IF([5]回答表!X49="●",[5]回答表!O80,IF([5]回答表!AA49="●",[5]回答表!O108,""))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IF([5]回答表!AA49="●","●","")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IF([5]回答表!X49="●",[5]回答表!O81,IF([5]回答表!AA49="●",[5]回答表!O109,""))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IF([5]回答表!X49="●",[5]回答表!O82,IF([5]回答表!AA49="●",[5]回答表!O110,""))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IF([5]回答表!X49="●",[5]回答表!AG79,IF([5]回答表!AA49="●",[5]回答表!AG107,""))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IF([5]回答表!X49="●",[5]回答表!AG80,IF([5]回答表!AA49="●",[5]回答表!AG108,""))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IF([5]回答表!X49="●",[5]回答表!E85,IF([5]回答表!AA49="●",[5]回答表!E113,""))</f>
        <v/>
      </c>
      <c r="V50" s="182"/>
      <c r="W50" s="182"/>
      <c r="X50" s="182"/>
      <c r="Y50" s="182"/>
      <c r="Z50" s="182"/>
      <c r="AA50" s="182"/>
      <c r="AB50" s="182"/>
      <c r="AC50" s="182"/>
      <c r="AD50" s="182"/>
      <c r="AE50" s="183" t="s">
        <v>33</v>
      </c>
      <c r="AF50" s="183"/>
      <c r="AG50" s="183"/>
      <c r="AH50" s="183"/>
      <c r="AI50" s="183"/>
      <c r="AJ50" s="184"/>
      <c r="AK50" s="136"/>
      <c r="AL50" s="136"/>
      <c r="AM50" s="133" t="str">
        <f>IF([5]回答表!X49="●",[5]回答表!B87,IF([5]回答表!AA49="●",[5]回答表!B115,""))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IF([5]回答表!AD49="●","●","")</f>
        <v/>
      </c>
      <c r="O57" s="131"/>
      <c r="P57" s="131"/>
      <c r="Q57" s="132"/>
      <c r="R57" s="119"/>
      <c r="S57" s="119"/>
      <c r="T57" s="119"/>
      <c r="U57" s="133" t="str">
        <f>IF([5]回答表!AD49="●",[5]回答表!B123,"")</f>
        <v/>
      </c>
      <c r="V57" s="134"/>
      <c r="W57" s="134"/>
      <c r="X57" s="134"/>
      <c r="Y57" s="134"/>
      <c r="Z57" s="134"/>
      <c r="AA57" s="134"/>
      <c r="AB57" s="134"/>
      <c r="AC57" s="134"/>
      <c r="AD57" s="134"/>
      <c r="AE57" s="134"/>
      <c r="AF57" s="134"/>
      <c r="AG57" s="134"/>
      <c r="AH57" s="134"/>
      <c r="AI57" s="134"/>
      <c r="AJ57" s="135"/>
      <c r="AK57" s="189"/>
      <c r="AL57" s="189"/>
      <c r="AM57" s="133" t="str">
        <f>IF([5]回答表!AD49="●",[5]回答表!B128,"")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IF([5]回答表!X50="●","●","")</f>
        <v/>
      </c>
      <c r="O68" s="131"/>
      <c r="P68" s="131"/>
      <c r="Q68" s="132"/>
      <c r="R68" s="119"/>
      <c r="S68" s="119"/>
      <c r="T68" s="119"/>
      <c r="U68" s="133" t="str">
        <f>IF([5]回答表!X50="●",[5]回答表!B138,IF([5]回答表!AA50="●",[5]回答表!B159,""))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IF([5]回答表!X50="●",[5]回答表!S144,IF([5]回答表!AA50="●",[5]回答表!S165,""))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IF([5]回答表!X50="●",[5]回答表!J144,IF([5]回答表!AA50="●",[5]回答表!J165,""))</f>
        <v/>
      </c>
      <c r="AN71" s="83"/>
      <c r="AO71" s="83"/>
      <c r="AP71" s="83"/>
      <c r="AQ71" s="83"/>
      <c r="AR71" s="83"/>
      <c r="AS71" s="83"/>
      <c r="AT71" s="153"/>
      <c r="AU71" s="82" t="str">
        <f>IF([5]回答表!X50="●",[5]回答表!J145,IF([5]回答表!AA50="●",[5]回答表!J166,""))</f>
        <v/>
      </c>
      <c r="AV71" s="83"/>
      <c r="AW71" s="83"/>
      <c r="AX71" s="83"/>
      <c r="AY71" s="83"/>
      <c r="AZ71" s="83"/>
      <c r="BA71" s="83"/>
      <c r="BB71" s="153"/>
      <c r="BC71" s="120"/>
      <c r="BD71" s="109"/>
      <c r="BE71" s="109"/>
      <c r="BF71" s="150" t="str">
        <f>IF([5]回答表!X50="●",[5]回答表!V144,IF([5]回答表!AA50="●",[5]回答表!V165,""))</f>
        <v/>
      </c>
      <c r="BG71" s="151"/>
      <c r="BH71" s="151"/>
      <c r="BI71" s="151"/>
      <c r="BJ71" s="150" t="str">
        <f>IF([5]回答表!X50="●",[5]回答表!V145,IF([5]回答表!AA50="●",[5]回答表!V166,""))</f>
        <v/>
      </c>
      <c r="BK71" s="151"/>
      <c r="BL71" s="151"/>
      <c r="BM71" s="151"/>
      <c r="BN71" s="150" t="str">
        <f>IF([5]回答表!X50="●",[5]回答表!V146,IF([5]回答表!AA50="●",[5]回答表!V167,""))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IF([5]回答表!AA50="●","●","")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IF([5]回答表!X50="●",[5]回答表!E149,IF([5]回答表!AA50="●",[5]回答表!E170,""))</f>
        <v/>
      </c>
      <c r="V80" s="182"/>
      <c r="W80" s="182"/>
      <c r="X80" s="182"/>
      <c r="Y80" s="182"/>
      <c r="Z80" s="182"/>
      <c r="AA80" s="182"/>
      <c r="AB80" s="182"/>
      <c r="AC80" s="182"/>
      <c r="AD80" s="182"/>
      <c r="AE80" s="183" t="s">
        <v>33</v>
      </c>
      <c r="AF80" s="183"/>
      <c r="AG80" s="183"/>
      <c r="AH80" s="183"/>
      <c r="AI80" s="183"/>
      <c r="AJ80" s="184"/>
      <c r="AK80" s="136"/>
      <c r="AL80" s="136"/>
      <c r="AM80" s="133" t="str">
        <f>IF([5]回答表!X50="●",[5]回答表!B151,IF([5]回答表!AA50="●",[5]回答表!B172,""))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IF([5]回答表!AD50="●","●","")</f>
        <v/>
      </c>
      <c r="O87" s="131"/>
      <c r="P87" s="131"/>
      <c r="Q87" s="132"/>
      <c r="R87" s="119"/>
      <c r="S87" s="119"/>
      <c r="T87" s="119"/>
      <c r="U87" s="133" t="str">
        <f>IF([5]回答表!AD50="●",[5]回答表!B180,"")</f>
        <v/>
      </c>
      <c r="V87" s="134"/>
      <c r="W87" s="134"/>
      <c r="X87" s="134"/>
      <c r="Y87" s="134"/>
      <c r="Z87" s="134"/>
      <c r="AA87" s="134"/>
      <c r="AB87" s="134"/>
      <c r="AC87" s="134"/>
      <c r="AD87" s="134"/>
      <c r="AE87" s="134"/>
      <c r="AF87" s="134"/>
      <c r="AG87" s="134"/>
      <c r="AH87" s="134"/>
      <c r="AI87" s="134"/>
      <c r="AJ87" s="135"/>
      <c r="AK87" s="189"/>
      <c r="AL87" s="189"/>
      <c r="AM87" s="133" t="str">
        <f>IF([5]回答表!AD50="●",[5]回答表!B186,"")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IF([5]回答表!F18="水道事業",IF([5]回答表!X51="●","●",""),"")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IF([5]回答表!F18="水道事業",IF([5]回答表!X51="●",[5]回答表!B197,IF([5]回答表!AA51="●",[5]回答表!B275,"")),"")</f>
        <v/>
      </c>
      <c r="AN99" s="134"/>
      <c r="AO99" s="134"/>
      <c r="AP99" s="134"/>
      <c r="AQ99" s="134"/>
      <c r="AR99" s="134"/>
      <c r="AS99" s="134"/>
      <c r="AT99" s="134"/>
      <c r="AU99" s="134"/>
      <c r="AV99" s="134"/>
      <c r="AW99" s="134"/>
      <c r="AX99" s="134"/>
      <c r="AY99" s="134"/>
      <c r="AZ99" s="134"/>
      <c r="BA99" s="134"/>
      <c r="BB99" s="134"/>
      <c r="BC99" s="135"/>
      <c r="BD99" s="109"/>
      <c r="BE99" s="109"/>
      <c r="BF99" s="138" t="str">
        <f>IF([5]回答表!F18="水道事業",IF([5]回答表!X51="●",[5]回答表!B256,IF([5]回答表!AA51="●",[5]回答表!B335,"")),"")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IF([5]回答表!F18="水道事業",IF([5]回答表!X51="●",[5]回答表!J205,IF([5]回答表!AA51="●",[5]回答表!J283,"")),"")</f>
        <v/>
      </c>
      <c r="V101" s="83"/>
      <c r="W101" s="83"/>
      <c r="X101" s="83"/>
      <c r="Y101" s="83"/>
      <c r="Z101" s="83"/>
      <c r="AA101" s="83"/>
      <c r="AB101" s="153"/>
      <c r="AC101" s="82" t="str">
        <f>IF([5]回答表!F18="水道事業",IF([5]回答表!X51="●",[5]回答表!J210,IF([5]回答表!AA51="●",[5]回答表!J290,"")),"")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IF([5]回答表!F18="水道事業",IF([5]回答表!X51="●",[5]回答表!E256,IF([5]回答表!AA51="●",[5]回答表!E335,"")),"")</f>
        <v/>
      </c>
      <c r="BG102" s="151"/>
      <c r="BH102" s="151"/>
      <c r="BI102" s="151"/>
      <c r="BJ102" s="150" t="str">
        <f>IF([5]回答表!F18="水道事業",IF([5]回答表!X51="●",[5]回答表!E257,IF([5]回答表!AA51="●",[5]回答表!E336,"")),"")</f>
        <v/>
      </c>
      <c r="BK102" s="151"/>
      <c r="BL102" s="151"/>
      <c r="BM102" s="151"/>
      <c r="BN102" s="150" t="str">
        <f>IF([5]回答表!F18="水道事業",IF([5]回答表!X51="●",[5]回答表!E258,IF([5]回答表!AA51="●",[5]回答表!E337,"")),"")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IF([5]回答表!F18="水道事業",IF([5]回答表!AA51="●","●",""),"")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IF([5]回答表!F18="水道事業",IF([5]回答表!X51="●",[5]回答表!J213,IF([5]回答表!AA51="●",[5]回答表!J293,"")),"")</f>
        <v/>
      </c>
      <c r="V106" s="83"/>
      <c r="W106" s="83"/>
      <c r="X106" s="83"/>
      <c r="Y106" s="83"/>
      <c r="Z106" s="83"/>
      <c r="AA106" s="83"/>
      <c r="AB106" s="153"/>
      <c r="AC106" s="82" t="str">
        <f>IF([5]回答表!F18="水道事業",IF([5]回答表!X51="●",[5]回答表!J217,IF([5]回答表!AA51="●",[5]回答表!J297,"")),"")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IF([5]回答表!F18="水道事業",IF([5]回答表!X51="●",[5]回答表!E265,IF([5]回答表!AA51="●",[5]回答表!E344,"")),"")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IF([5]回答表!F18="水道事業",IF([5]回答表!X51="●",[5]回答表!B267,IF([5]回答表!AA51="●",[5]回答表!B346,"")),"")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IF([5]回答表!F18="水道事業",IF([5]回答表!AD51="●","●",""),"")</f>
        <v/>
      </c>
      <c r="O118" s="131"/>
      <c r="P118" s="131"/>
      <c r="Q118" s="132"/>
      <c r="R118" s="119"/>
      <c r="S118" s="119"/>
      <c r="T118" s="119"/>
      <c r="U118" s="133" t="str">
        <f>IF([5]回答表!F18="水道事業",IF([5]回答表!AD51="●",[5]回答表!B354,""),"")</f>
        <v/>
      </c>
      <c r="V118" s="134"/>
      <c r="W118" s="134"/>
      <c r="X118" s="134"/>
      <c r="Y118" s="134"/>
      <c r="Z118" s="134"/>
      <c r="AA118" s="134"/>
      <c r="AB118" s="134"/>
      <c r="AC118" s="134"/>
      <c r="AD118" s="134"/>
      <c r="AE118" s="134"/>
      <c r="AF118" s="134"/>
      <c r="AG118" s="134"/>
      <c r="AH118" s="134"/>
      <c r="AI118" s="134"/>
      <c r="AJ118" s="135"/>
      <c r="AK118" s="189"/>
      <c r="AL118" s="189"/>
      <c r="AM118" s="133" t="str">
        <f>IF([5]回答表!F18="水道事業",IF([5]回答表!AD51="●",[5]回答表!B360,""),"")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IF([5]回答表!F18="簡易水道事業",IF([5]回答表!X51="●",[5]回答表!B197,IF([5]回答表!AA51="●",[5]回答表!B275,"")),"")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IF([5]回答表!F18="簡易水道事業",IF([5]回答表!X51="●",[5]回答表!B256,IF([5]回答表!AA51="●",[5]回答表!B335,"")),"")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IF([5]回答表!F18="簡易水道事業",IF([5]回答表!X51="●","●",""),"")</f>
        <v/>
      </c>
      <c r="O132" s="131"/>
      <c r="P132" s="131"/>
      <c r="Q132" s="132"/>
      <c r="R132" s="119"/>
      <c r="S132" s="119"/>
      <c r="T132" s="119"/>
      <c r="U132" s="82" t="str">
        <f>IF([5]回答表!F18="簡易水道事業",IF([5]回答表!X51="●",[5]回答表!S224,IF([5]回答表!AA51="●",[5]回答表!S304,"")),"")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IF([5]回答表!F18="簡易水道事業",IF([5]回答表!X51="●",[5]回答表!E256,IF([5]回答表!AA51="●",[5]回答表!E335,"")),"")</f>
        <v/>
      </c>
      <c r="BG133" s="151"/>
      <c r="BH133" s="151"/>
      <c r="BI133" s="151"/>
      <c r="BJ133" s="150" t="str">
        <f>IF([5]回答表!F18="簡易水道事業",IF([5]回答表!X51="●",[5]回答表!E257,IF([5]回答表!AA51="●",[5]回答表!E336,"")),"")</f>
        <v/>
      </c>
      <c r="BK133" s="151"/>
      <c r="BL133" s="151"/>
      <c r="BM133" s="151"/>
      <c r="BN133" s="150" t="str">
        <f>IF([5]回答表!F18="簡易水道事業",IF([5]回答表!X51="●",[5]回答表!E258,IF([5]回答表!AA51="●",[5]回答表!E337,"")),"")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IF([5]回答表!F18="簡易水道事業",IF([5]回答表!X51="●",[5]回答表!S225,IF([5]回答表!AA51="●",[5]回答表!S305,"")),"")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IF([5]回答表!F18="簡易水道事業",IF([5]回答表!AA51="●","●",""),"")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IF([5]回答表!F18="簡易水道事業",IF([5]回答表!X51="●",[5]回答表!S226,IF([5]回答表!AA51="●",[5]回答表!S306,"")),"")</f>
        <v/>
      </c>
      <c r="V142" s="83"/>
      <c r="W142" s="83"/>
      <c r="X142" s="83"/>
      <c r="Y142" s="83"/>
      <c r="Z142" s="83"/>
      <c r="AA142" s="83"/>
      <c r="AB142" s="83"/>
      <c r="AC142" s="83"/>
      <c r="AD142" s="83"/>
      <c r="AE142" s="83"/>
      <c r="AF142" s="83"/>
      <c r="AG142" s="83"/>
      <c r="AH142" s="83"/>
      <c r="AI142" s="83"/>
      <c r="AJ142" s="153"/>
      <c r="AK142" s="68"/>
      <c r="AL142" s="68"/>
      <c r="AM142" s="231" t="str">
        <f>IF([5]回答表!F18="簡易水道事業",IF([5]回答表!X51="●",[5]回答表!Y228,IF([5]回答表!AA51="●",[5]回答表!Y308,"")),"")</f>
        <v/>
      </c>
      <c r="AN142" s="231"/>
      <c r="AO142" s="231"/>
      <c r="AP142" s="231"/>
      <c r="AQ142" s="231"/>
      <c r="AR142" s="231"/>
      <c r="AS142" s="231" t="str">
        <f>IF([5]回答表!F18="簡易水道事業",IF([5]回答表!X51="●",[5]回答表!Y229,IF([5]回答表!AA51="●",[5]回答表!Y309,"")),"")</f>
        <v/>
      </c>
      <c r="AT142" s="231"/>
      <c r="AU142" s="231"/>
      <c r="AV142" s="231"/>
      <c r="AW142" s="231"/>
      <c r="AX142" s="231"/>
      <c r="AY142" s="231" t="str">
        <f>IF([5]回答表!F18="簡易水道事業",IF([5]回答表!X51="●",[5]回答表!Y230,IF([5]回答表!AA51="●",[5]回答表!Y310,"")),"")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IF([5]回答表!F18="簡易水道事業",IF([5]回答表!X51="●",[5]回答表!E265,IF([5]回答表!AA51="●",[5]回答表!E344,"")),"")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IF([5]回答表!F18="簡易水道事業",IF([5]回答表!X51="●",[5]回答表!B267,IF([5]回答表!AA51="●",[5]回答表!B346,"")),"")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IF([5]回答表!F18="簡易水道事業",IF([5]回答表!AD51="●","●",""),"")</f>
        <v/>
      </c>
      <c r="O154" s="131"/>
      <c r="P154" s="131"/>
      <c r="Q154" s="132"/>
      <c r="R154" s="119"/>
      <c r="S154" s="119"/>
      <c r="T154" s="119"/>
      <c r="U154" s="133" t="str">
        <f>IF([5]回答表!F18="簡易水道事業",IF([5]回答表!AD51="●",[5]回答表!B354,""),"")</f>
        <v/>
      </c>
      <c r="V154" s="134"/>
      <c r="W154" s="134"/>
      <c r="X154" s="134"/>
      <c r="Y154" s="134"/>
      <c r="Z154" s="134"/>
      <c r="AA154" s="134"/>
      <c r="AB154" s="134"/>
      <c r="AC154" s="134"/>
      <c r="AD154" s="134"/>
      <c r="AE154" s="134"/>
      <c r="AF154" s="134"/>
      <c r="AG154" s="134"/>
      <c r="AH154" s="134"/>
      <c r="AI154" s="134"/>
      <c r="AJ154" s="135"/>
      <c r="AK154" s="189"/>
      <c r="AL154" s="189"/>
      <c r="AM154" s="133" t="str">
        <f>IF([5]回答表!F18="簡易水道事業",IF([5]回答表!AD51="●",[5]回答表!B360,""),"")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IF([5]回答表!F18="下水道事業",IF([5]回答表!X51="●","●",""),"")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IF([5]回答表!F18="下水道事業",IF([5]回答表!X51="●",[5]回答表!B197,IF([5]回答表!AA51="●",[5]回答表!B275,"")),"")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IF([5]回答表!F18="下水道事業",IF([5]回答表!X51="●",[5]回答表!B256,IF([5]回答表!AA51="●",[5]回答表!B335,"")),"")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IF([5]回答表!F18="下水道事業",IF([5]回答表!X51="●",[5]回答表!N234,IF([5]回答表!AA51="●",[5]回答表!N314,"")),"")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IF([5]回答表!F18="下水道事業",IF([5]回答表!X51="●",[5]回答表!E256,IF([5]回答表!AA51="●",[5]回答表!E335,"")),"")</f>
        <v/>
      </c>
      <c r="BG169" s="151"/>
      <c r="BH169" s="151"/>
      <c r="BI169" s="151"/>
      <c r="BJ169" s="150" t="str">
        <f>IF([5]回答表!F18="下水道事業",IF([5]回答表!X51="●",[5]回答表!E257,IF([5]回答表!AA51="●",[5]回答表!E336,"")),"")</f>
        <v/>
      </c>
      <c r="BK169" s="151"/>
      <c r="BL169" s="151"/>
      <c r="BM169" s="151"/>
      <c r="BN169" s="150" t="str">
        <f>IF([5]回答表!F18="下水道事業",IF([5]回答表!X51="●",[5]回答表!E258,IF([5]回答表!AA51="●",[5]回答表!E337,"")),"")</f>
        <v/>
      </c>
      <c r="BO169" s="151"/>
      <c r="BP169" s="151"/>
      <c r="BQ169" s="152"/>
      <c r="BR169" s="112"/>
      <c r="BX169" s="234" t="str">
        <f>IF([5]回答表!AQ21="下水道事業",IF([5]回答表!BI54="○",[5]回答表!AM200,IF([5]回答表!BL54="○",[5]回答表!AM278,"")),"")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IF([5]回答表!F18="下水道事業",IF([5]回答表!X51="●",[5]回答表!Y236,IF([5]回答表!AA51="●",[5]回答表!Y316,"")),"")</f>
        <v/>
      </c>
      <c r="V174" s="83"/>
      <c r="W174" s="83"/>
      <c r="X174" s="83"/>
      <c r="Y174" s="83"/>
      <c r="Z174" s="83"/>
      <c r="AA174" s="83"/>
      <c r="AB174" s="153"/>
      <c r="AC174" s="82" t="str">
        <f>IF([5]回答表!F18="下水道事業",IF([5]回答表!X51="●",[5]回答表!Y237,IF([5]回答表!AA51="●",[5]回答表!Y317,"")),"")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IF([5]回答表!F18="下水道事業",IF([5]回答表!X51="●",[5]回答表!Y239,IF([5]回答表!AA51="●",[5]回答表!Y319,"")),"")</f>
        <v/>
      </c>
      <c r="V180" s="83"/>
      <c r="W180" s="83"/>
      <c r="X180" s="83"/>
      <c r="Y180" s="83"/>
      <c r="Z180" s="83"/>
      <c r="AA180" s="83"/>
      <c r="AB180" s="153"/>
      <c r="AC180" s="82" t="str">
        <f>IF([5]回答表!F18="下水道事業",IF([5]回答表!X51="●",[5]回答表!Y240,IF([5]回答表!AA51="●",[5]回答表!Y320,"")),"")</f>
        <v/>
      </c>
      <c r="AD180" s="83"/>
      <c r="AE180" s="83"/>
      <c r="AF180" s="83"/>
      <c r="AG180" s="83"/>
      <c r="AH180" s="83"/>
      <c r="AI180" s="83"/>
      <c r="AJ180" s="153"/>
      <c r="AK180" s="82" t="str">
        <f>IF([5]回答表!F18="下水道事業",IF([5]回答表!X51="●",[5]回答表!Y241,IF([5]回答表!AA51="●",[5]回答表!Y321,"")),"")</f>
        <v/>
      </c>
      <c r="AL180" s="83"/>
      <c r="AM180" s="83"/>
      <c r="AN180" s="83"/>
      <c r="AO180" s="83"/>
      <c r="AP180" s="83"/>
      <c r="AQ180" s="83"/>
      <c r="AR180" s="153"/>
      <c r="AS180" s="82" t="str">
        <f>IF([5]回答表!F18="下水道事業",IF([5]回答表!X51="●",[5]回答表!Y242,IF([5]回答表!AA51="●",[5]回答表!Y322,"")),"")</f>
        <v/>
      </c>
      <c r="AT180" s="83"/>
      <c r="AU180" s="83"/>
      <c r="AV180" s="83"/>
      <c r="AW180" s="83"/>
      <c r="AX180" s="83"/>
      <c r="AY180" s="83"/>
      <c r="AZ180" s="153"/>
      <c r="BA180" s="82" t="str">
        <f>IF([5]回答表!F18="下水道事業",IF([5]回答表!X51="●",[5]回答表!Y243,IF([5]回答表!AA51="●",[5]回答表!Y323,"")),"")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IF([5]回答表!F18="下水道事業",IF([5]回答表!AA51="●","●",""),"")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IF([5]回答表!F18="下水道事業",IF([5]回答表!X51="●",[5]回答表!N248,IF([5]回答表!AA51="●",[5]回答表!N328,"")),"")</f>
        <v/>
      </c>
      <c r="V186" s="83"/>
      <c r="W186" s="83"/>
      <c r="X186" s="83"/>
      <c r="Y186" s="83"/>
      <c r="Z186" s="83"/>
      <c r="AA186" s="83"/>
      <c r="AB186" s="153"/>
      <c r="AC186" s="82" t="str">
        <f>IF([5]回答表!F18="下水道事業",IF([5]回答表!X51="●",[5]回答表!N249,IF([5]回答表!AA51="●",[5]回答表!N329,"")),"")</f>
        <v/>
      </c>
      <c r="AD186" s="83"/>
      <c r="AE186" s="83"/>
      <c r="AF186" s="83"/>
      <c r="AG186" s="83"/>
      <c r="AH186" s="83"/>
      <c r="AI186" s="83"/>
      <c r="AJ186" s="153"/>
      <c r="AK186" s="82" t="str">
        <f>IF([5]回答表!F18="下水道事業",IF([5]回答表!X51="●",[5]回答表!N250,IF([5]回答表!AA51="●",[5]回答表!N330,"")),"")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IF([5]回答表!F18="下水道事業",IF([5]回答表!X51="●",[5]回答表!E265,IF([5]回答表!AA51="●",[5]回答表!E344,"")),"")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IF([5]回答表!F18="下水道事業",IF([5]回答表!X51="●",[5]回答表!B267,IF([5]回答表!AA51="●",[5]回答表!B346,"")),"")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IF([5]回答表!F18="下水道事業",IF([5]回答表!AD51="●","●",""),"")</f>
        <v/>
      </c>
      <c r="O198" s="131"/>
      <c r="P198" s="131"/>
      <c r="Q198" s="132"/>
      <c r="R198" s="119"/>
      <c r="S198" s="119"/>
      <c r="T198" s="119"/>
      <c r="U198" s="133" t="str">
        <f>IF([5]回答表!F18="下水道事業",IF([5]回答表!AD51="●",[5]回答表!B354,""),"")</f>
        <v/>
      </c>
      <c r="V198" s="134"/>
      <c r="W198" s="134"/>
      <c r="X198" s="134"/>
      <c r="Y198" s="134"/>
      <c r="Z198" s="134"/>
      <c r="AA198" s="134"/>
      <c r="AB198" s="134"/>
      <c r="AC198" s="134"/>
      <c r="AD198" s="134"/>
      <c r="AE198" s="134"/>
      <c r="AF198" s="134"/>
      <c r="AG198" s="134"/>
      <c r="AH198" s="134"/>
      <c r="AI198" s="134"/>
      <c r="AJ198" s="135"/>
      <c r="AK198" s="189"/>
      <c r="AL198" s="189"/>
      <c r="AM198" s="133" t="str">
        <f>IF([5]回答表!F18="下水道事業",IF([5]回答表!AD51="●",[5]回答表!B360,""),"")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IF([5]回答表!BD18="●",IF([5]回答表!X51="●","●",""),"")</f>
        <v/>
      </c>
      <c r="O210" s="131"/>
      <c r="P210" s="131"/>
      <c r="Q210" s="132"/>
      <c r="R210" s="119"/>
      <c r="S210" s="119"/>
      <c r="T210" s="119"/>
      <c r="U210" s="133" t="str">
        <f>IF([5]回答表!BD18="●",IF([5]回答表!X51="●",[5]回答表!B197,IF([5]回答表!AA51="●",[5]回答表!B275,"")),"")</f>
        <v/>
      </c>
      <c r="V210" s="134"/>
      <c r="W210" s="134"/>
      <c r="X210" s="134"/>
      <c r="Y210" s="134"/>
      <c r="Z210" s="134"/>
      <c r="AA210" s="134"/>
      <c r="AB210" s="134"/>
      <c r="AC210" s="134"/>
      <c r="AD210" s="134"/>
      <c r="AE210" s="134"/>
      <c r="AF210" s="134"/>
      <c r="AG210" s="134"/>
      <c r="AH210" s="134"/>
      <c r="AI210" s="134"/>
      <c r="AJ210" s="135"/>
      <c r="AK210" s="136"/>
      <c r="AL210" s="136"/>
      <c r="AM210" s="138" t="str">
        <f>IF([5]回答表!BD18="●",IF([5]回答表!X51="●",[5]回答表!B256,IF([5]回答表!AA51="●",[5]回答表!B335,"")),"")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IF([5]回答表!BD18="●",IF([5]回答表!X51="●",[5]回答表!E256,IF([5]回答表!AA51="●",[5]回答表!E335,"")),"")</f>
        <v/>
      </c>
      <c r="AN213" s="151"/>
      <c r="AO213" s="151"/>
      <c r="AP213" s="151"/>
      <c r="AQ213" s="150" t="str">
        <f>IF([5]回答表!BD18="●",IF([5]回答表!X51="●",[5]回答表!E257,IF([5]回答表!AA51="●",[5]回答表!E336,"")),"")</f>
        <v/>
      </c>
      <c r="AR213" s="151"/>
      <c r="AS213" s="151"/>
      <c r="AT213" s="151"/>
      <c r="AU213" s="150" t="str">
        <f>IF([5]回答表!BD18="●",IF([5]回答表!X51="●",[5]回答表!E258,IF([5]回答表!AA51="●",[5]回答表!E337,"")),"")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IF([5]回答表!BD18="●",IF([5]回答表!AA51="●","●",""),"")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IF([5]回答表!BD18="●",IF([5]回答表!X51="●",[5]回答表!E265,IF([5]回答表!AA51="●",[5]回答表!E344,"")),"")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IF([5]回答表!BD18="●",IF([5]回答表!X51="●",[5]回答表!B267,IF([5]回答表!AA51="●",[5]回答表!B346,"")),"")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IF([5]回答表!BD18="●",IF([5]回答表!AD51="●","●",""),"")</f>
        <v/>
      </c>
      <c r="O229" s="131"/>
      <c r="P229" s="131"/>
      <c r="Q229" s="132"/>
      <c r="R229" s="119"/>
      <c r="S229" s="119"/>
      <c r="T229" s="119"/>
      <c r="U229" s="133" t="str">
        <f>IF([5]回答表!BD18="●",IF([5]回答表!AD51="●",[5]回答表!B354,""),"")</f>
        <v/>
      </c>
      <c r="V229" s="134"/>
      <c r="W229" s="134"/>
      <c r="X229" s="134"/>
      <c r="Y229" s="134"/>
      <c r="Z229" s="134"/>
      <c r="AA229" s="134"/>
      <c r="AB229" s="134"/>
      <c r="AC229" s="134"/>
      <c r="AD229" s="134"/>
      <c r="AE229" s="134"/>
      <c r="AF229" s="134"/>
      <c r="AG229" s="134"/>
      <c r="AH229" s="134"/>
      <c r="AI229" s="134"/>
      <c r="AJ229" s="135"/>
      <c r="AK229" s="249"/>
      <c r="AL229" s="249"/>
      <c r="AM229" s="133" t="str">
        <f>IF([5]回答表!BD18="●",IF([5]回答表!AD51="●",[5]回答表!B360,""),"")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IF([5]回答表!X52="●","●","")</f>
        <v>●</v>
      </c>
      <c r="O241" s="131"/>
      <c r="P241" s="131"/>
      <c r="Q241" s="132"/>
      <c r="R241" s="119"/>
      <c r="S241" s="119"/>
      <c r="T241" s="119"/>
      <c r="U241" s="133" t="str">
        <f>IF([5]回答表!X52="●",[5]回答表!B371,IF([5]回答表!AA52="●",[5]回答表!B396,""))</f>
        <v>市組織のスリム化や財政基盤の確立と共に住民サービスを充実させることを目的とし、行政改革大綱を定めている。
特別養護老人ホーム「鳥寿苑」は、Ｈ28.4.1に指定管理を開始。（Ｈ37年度末まで10年間）
特別養護老人ホーム「東光苑」は、Ｈ29.4.1から指定管理を開始。（Ｈ37年度末まで9年間）</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f>IF([5]回答表!X52="●",[5]回答表!U377,IF([5]回答表!AA52="●",[5]回答表!U402,""))</f>
        <v>0</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IF([5]回答表!X52="●",[5]回答表!G377,IF([5]回答表!AA52="●",[5]回答表!G402,""))</f>
        <v xml:space="preserve"> </v>
      </c>
      <c r="AN244" s="83"/>
      <c r="AO244" s="83"/>
      <c r="AP244" s="83"/>
      <c r="AQ244" s="83"/>
      <c r="AR244" s="83"/>
      <c r="AS244" s="83"/>
      <c r="AT244" s="153"/>
      <c r="AU244" s="82" t="str">
        <f>IF([5]回答表!X52="●",[5]回答表!G378,IF([5]回答表!AA52="●",[5]回答表!G403,""))</f>
        <v>●</v>
      </c>
      <c r="AV244" s="83"/>
      <c r="AW244" s="83"/>
      <c r="AX244" s="83"/>
      <c r="AY244" s="83"/>
      <c r="AZ244" s="83"/>
      <c r="BA244" s="83"/>
      <c r="BB244" s="153"/>
      <c r="BC244" s="120"/>
      <c r="BD244" s="109"/>
      <c r="BE244" s="109"/>
      <c r="BF244" s="150">
        <f>IF([5]回答表!X52="●",[5]回答表!X377,IF([5]回答表!AA52="●",[5]回答表!X402,""))</f>
        <v>28</v>
      </c>
      <c r="BG244" s="151"/>
      <c r="BH244" s="151"/>
      <c r="BI244" s="151"/>
      <c r="BJ244" s="150">
        <f>IF([5]回答表!X52="●",[5]回答表!X378,IF([5]回答表!AA52="●",[5]回答表!X403,""))</f>
        <v>4</v>
      </c>
      <c r="BK244" s="151"/>
      <c r="BL244" s="151"/>
      <c r="BM244" s="152"/>
      <c r="BN244" s="150">
        <f>IF([5]回答表!X52="●",[5]回答表!X379,IF([5]回答表!AA52="●",[5]回答表!X404,""))</f>
        <v>1</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IF([5]回答表!AA52="●","●","")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f>IF([5]回答表!X52="●",[5]回答表!E386,IF([5]回答表!AA52="●",[5]回答表!E407,""))</f>
        <v>114</v>
      </c>
      <c r="V253" s="182"/>
      <c r="W253" s="182"/>
      <c r="X253" s="182"/>
      <c r="Y253" s="182"/>
      <c r="Z253" s="182"/>
      <c r="AA253" s="182"/>
      <c r="AB253" s="182"/>
      <c r="AC253" s="182"/>
      <c r="AD253" s="182"/>
      <c r="AE253" s="183" t="s">
        <v>33</v>
      </c>
      <c r="AF253" s="183"/>
      <c r="AG253" s="183"/>
      <c r="AH253" s="183"/>
      <c r="AI253" s="183"/>
      <c r="AJ253" s="184"/>
      <c r="AK253" s="136"/>
      <c r="AL253" s="136"/>
      <c r="AM253" s="133" t="str">
        <f>IF([5]回答表!X52="●",[5]回答表!B388,IF([5]回答表!AA52="●",[5]回答表!B409,""))</f>
        <v>・人件費　　　年▲100
・維持管理費　年▲14
　　計　　　　　年▲114</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IF([5]回答表!AD52="●","●","")</f>
        <v/>
      </c>
      <c r="O260" s="131"/>
      <c r="P260" s="131"/>
      <c r="Q260" s="132"/>
      <c r="R260" s="119"/>
      <c r="S260" s="119"/>
      <c r="T260" s="119"/>
      <c r="U260" s="133" t="str">
        <f>IF([5]回答表!AD52="●",[5]回答表!B417,"")</f>
        <v/>
      </c>
      <c r="V260" s="134"/>
      <c r="W260" s="134"/>
      <c r="X260" s="134"/>
      <c r="Y260" s="134"/>
      <c r="Z260" s="134"/>
      <c r="AA260" s="134"/>
      <c r="AB260" s="134"/>
      <c r="AC260" s="134"/>
      <c r="AD260" s="134"/>
      <c r="AE260" s="134"/>
      <c r="AF260" s="134"/>
      <c r="AG260" s="134"/>
      <c r="AH260" s="134"/>
      <c r="AI260" s="134"/>
      <c r="AJ260" s="135"/>
      <c r="AK260" s="249"/>
      <c r="AL260" s="249"/>
      <c r="AM260" s="133" t="str">
        <f>IF([5]回答表!AD52="●",[5]回答表!B423,"")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IF([5]回答表!X53="●","●","")</f>
        <v/>
      </c>
      <c r="O272" s="131"/>
      <c r="P272" s="131"/>
      <c r="Q272" s="132"/>
      <c r="R272" s="119"/>
      <c r="S272" s="119"/>
      <c r="T272" s="119"/>
      <c r="U272" s="133" t="str">
        <f>IF([5]回答表!X53="●",[5]回答表!B434,IF([5]回答表!AA53="●",[5]回答表!B465,""))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IF([5]回答表!X53="●",[5]回答表!B440,"")</f>
        <v/>
      </c>
      <c r="AO272" s="262"/>
      <c r="AP272" s="262"/>
      <c r="AQ272" s="262"/>
      <c r="AR272" s="262"/>
      <c r="AS272" s="262"/>
      <c r="AT272" s="262"/>
      <c r="AU272" s="262"/>
      <c r="AV272" s="262"/>
      <c r="AW272" s="262"/>
      <c r="AX272" s="262"/>
      <c r="AY272" s="262"/>
      <c r="AZ272" s="262"/>
      <c r="BA272" s="262"/>
      <c r="BB272" s="263"/>
      <c r="BC272" s="120"/>
      <c r="BD272" s="109"/>
      <c r="BE272" s="109"/>
      <c r="BF272" s="138" t="str">
        <f>IF([5]回答表!X53="●",[5]回答表!B446,IF([5]回答表!AA53="●",[5]回答表!B471,""))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IF([5]回答表!X53="●",[5]回答表!E446,IF([5]回答表!AA53="●",[5]回答表!E471,""))</f>
        <v/>
      </c>
      <c r="BG275" s="151"/>
      <c r="BH275" s="151"/>
      <c r="BI275" s="151"/>
      <c r="BJ275" s="150" t="str">
        <f>IF([5]回答表!X53="●",[5]回答表!E447,IF([5]回答表!AA53="●",[5]回答表!E472,""))</f>
        <v/>
      </c>
      <c r="BK275" s="151"/>
      <c r="BL275" s="151"/>
      <c r="BM275" s="152"/>
      <c r="BN275" s="150" t="str">
        <f>IF([5]回答表!X53="●",[5]回答表!E448,IF([5]回答表!AA53="●",[5]回答表!E473,""))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IF([5]回答表!AA53="●","●","")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IF([5]回答表!X53="●",[5]回答表!E455,IF([5]回答表!AA53="●",[5]回答表!E476,""))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IF([5]回答表!X53="●",[5]回答表!B457,IF([5]回答表!AA53="●",[5]回答表!B478,""))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IF([5]回答表!AD53="●","●","")</f>
        <v/>
      </c>
      <c r="O291" s="131"/>
      <c r="P291" s="131"/>
      <c r="Q291" s="132"/>
      <c r="R291" s="119"/>
      <c r="S291" s="119"/>
      <c r="T291" s="119"/>
      <c r="U291" s="133" t="str">
        <f>IF([5]回答表!AD53="●",[5]回答表!B486,"")</f>
        <v/>
      </c>
      <c r="V291" s="134"/>
      <c r="W291" s="134"/>
      <c r="X291" s="134"/>
      <c r="Y291" s="134"/>
      <c r="Z291" s="134"/>
      <c r="AA291" s="134"/>
      <c r="AB291" s="134"/>
      <c r="AC291" s="134"/>
      <c r="AD291" s="134"/>
      <c r="AE291" s="134"/>
      <c r="AF291" s="134"/>
      <c r="AG291" s="134"/>
      <c r="AH291" s="134"/>
      <c r="AI291" s="134"/>
      <c r="AJ291" s="135"/>
      <c r="AK291" s="249"/>
      <c r="AL291" s="249"/>
      <c r="AM291" s="133" t="str">
        <f>IF([5]回答表!AD53="●",[5]回答表!B492,"")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IF([5]回答表!X54="●","●","")</f>
        <v/>
      </c>
      <c r="O303" s="131"/>
      <c r="P303" s="131"/>
      <c r="Q303" s="132"/>
      <c r="R303" s="119"/>
      <c r="S303" s="119"/>
      <c r="T303" s="119"/>
      <c r="U303" s="133" t="str">
        <f>IF([5]回答表!X54="●",[5]回答表!B503,IF([5]回答表!AA54="●",[5]回答表!B526,""))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IF([5]回答表!X54="●",[5]回答表!BC510,IF([5]回答表!AA54="●",[5]回答表!BC533,""))</f>
        <v/>
      </c>
      <c r="AR303" s="271"/>
      <c r="AS303" s="271"/>
      <c r="AT303" s="271"/>
      <c r="AU303" s="272" t="s">
        <v>74</v>
      </c>
      <c r="AV303" s="273"/>
      <c r="AW303" s="273"/>
      <c r="AX303" s="274"/>
      <c r="AY303" s="271" t="str">
        <f>IF([5]回答表!X54="●",[5]回答表!BC515,IF([5]回答表!AA54="●",[5]回答表!BC538,""))</f>
        <v/>
      </c>
      <c r="AZ303" s="271"/>
      <c r="BA303" s="271"/>
      <c r="BB303" s="271"/>
      <c r="BC303" s="120"/>
      <c r="BD303" s="109"/>
      <c r="BE303" s="109"/>
      <c r="BF303" s="138" t="str">
        <f>IF([5]回答表!X54="●",[5]回答表!S509,IF([5]回答表!AA54="●",[5]回答表!S532,""))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IF([5]回答表!X54="●",[5]回答表!BC511,IF([5]回答表!AA54="●",[5]回答表!BC534,""))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IF([5]回答表!X54="●",[5]回答表!V509,IF([5]回答表!AA54="●",[5]回答表!V532,""))</f>
        <v/>
      </c>
      <c r="BG306" s="151"/>
      <c r="BH306" s="151"/>
      <c r="BI306" s="151"/>
      <c r="BJ306" s="150" t="str">
        <f>IF([5]回答表!X54="●",[5]回答表!V510,IF([5]回答表!AA54="●",[5]回答表!V533,""))</f>
        <v/>
      </c>
      <c r="BK306" s="151"/>
      <c r="BL306" s="151"/>
      <c r="BM306" s="152"/>
      <c r="BN306" s="150" t="str">
        <f>IF([5]回答表!X54="●",[5]回答表!V511,IF([5]回答表!AA54="●",[5]回答表!V534,""))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IF([5]回答表!X54="●",[5]回答表!BC512,IF([5]回答表!AA54="●",[5]回答表!BC535,""))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IF([5]回答表!X54="●",[5]回答表!BC516,IF([5]回答表!AA54="●",[5]回答表!BC539,""))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IF([5]回答表!AA54="●","●","")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IF([5]回答表!X54="●",[5]回答表!BC513,IF([5]回答表!AA54="●",[5]回答表!BC536,""))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IF([5]回答表!X54="●",[5]回答表!BC514,IF([5]回答表!AA54="●",[5]回答表!BC537,""))</f>
        <v/>
      </c>
      <c r="AR311" s="271"/>
      <c r="AS311" s="271"/>
      <c r="AT311" s="271"/>
      <c r="AU311" s="222" t="s">
        <v>80</v>
      </c>
      <c r="AV311" s="223"/>
      <c r="AW311" s="223"/>
      <c r="AX311" s="224"/>
      <c r="AY311" s="281" t="str">
        <f>IF([5]回答表!X54="●",[5]回答表!BC517,IF([5]回答表!AA54="●",[5]回答表!BC540,""))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IF([5]回答表!X54="●",[5]回答表!E516,IF([5]回答表!AA54="●",[5]回答表!E538,""))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IF([5]回答表!X54="●",[5]回答表!B518,IF([5]回答表!AA54="●",[5]回答表!B540,""))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IF([5]回答表!AD54="●","●","")</f>
        <v/>
      </c>
      <c r="O322" s="131"/>
      <c r="P322" s="131"/>
      <c r="Q322" s="132"/>
      <c r="R322" s="119"/>
      <c r="S322" s="119"/>
      <c r="T322" s="119"/>
      <c r="U322" s="133" t="str">
        <f>IF([5]回答表!AD54="●",[5]回答表!B548,"")</f>
        <v/>
      </c>
      <c r="V322" s="134"/>
      <c r="W322" s="134"/>
      <c r="X322" s="134"/>
      <c r="Y322" s="134"/>
      <c r="Z322" s="134"/>
      <c r="AA322" s="134"/>
      <c r="AB322" s="134"/>
      <c r="AC322" s="134"/>
      <c r="AD322" s="134"/>
      <c r="AE322" s="134"/>
      <c r="AF322" s="134"/>
      <c r="AG322" s="134"/>
      <c r="AH322" s="134"/>
      <c r="AI322" s="134"/>
      <c r="AJ322" s="135"/>
      <c r="AK322" s="189"/>
      <c r="AL322" s="189"/>
      <c r="AM322" s="133" t="str">
        <f>IF([5]回答表!AD54="●",[5]回答表!B554,"")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IF([5]回答表!X55="●","●","")</f>
        <v/>
      </c>
      <c r="O333" s="131"/>
      <c r="P333" s="131"/>
      <c r="Q333" s="132"/>
      <c r="R333" s="119"/>
      <c r="S333" s="119"/>
      <c r="T333" s="119"/>
      <c r="U333" s="133" t="str">
        <f>IF([5]回答表!X55="●",[5]回答表!B565,IF([5]回答表!AA55="●",[5]回答表!B590,""))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IF([5]回答表!X55="●",[5]回答表!B575,IF([5]回答表!AA55="●",[5]回答表!B600,""))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IF([5]回答表!X55="●",[5]回答表!G571,IF([5]回答表!AA55="●",[5]回答表!G596,""))</f>
        <v/>
      </c>
      <c r="AN335" s="83"/>
      <c r="AO335" s="83"/>
      <c r="AP335" s="83"/>
      <c r="AQ335" s="83"/>
      <c r="AR335" s="83"/>
      <c r="AS335" s="83"/>
      <c r="AT335" s="153"/>
      <c r="AU335" s="82" t="str">
        <f>IF([5]回答表!X55="●",[5]回答表!G572,IF([5]回答表!AA55="●",[5]回答表!G597,""))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IF([5]回答表!X55="●",[5]回答表!E575,IF([5]回答表!AA55="●",[5]回答表!E600,""))</f>
        <v/>
      </c>
      <c r="BG336" s="151"/>
      <c r="BH336" s="151"/>
      <c r="BI336" s="151"/>
      <c r="BJ336" s="150" t="str">
        <f>IF([5]回答表!X55="●",[5]回答表!E576,IF([5]回答表!AA55="●",[5]回答表!E601,""))</f>
        <v/>
      </c>
      <c r="BK336" s="151"/>
      <c r="BL336" s="151"/>
      <c r="BM336" s="152"/>
      <c r="BN336" s="150" t="str">
        <f>IF([5]回答表!X55="●",[5]回答表!E577,IF([5]回答表!AA55="●",[5]回答表!E602,""))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IF([5]回答表!AA55="●","●","")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IF([5]回答表!X55="●",[5]回答表!E580,IF([5]回答表!AA55="●",[5]回答表!E605,""))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IF([5]回答表!X55="●",[5]回答表!B582,IF([5]回答表!AA55="●",[5]回答表!B607,""))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IF([5]回答表!AD55="●","●","")</f>
        <v/>
      </c>
      <c r="O352" s="131"/>
      <c r="P352" s="131"/>
      <c r="Q352" s="132"/>
      <c r="R352" s="119"/>
      <c r="S352" s="119"/>
      <c r="T352" s="119"/>
      <c r="U352" s="133" t="str">
        <f>IF([5]回答表!AD55="●",[5]回答表!B615,"")</f>
        <v/>
      </c>
      <c r="V352" s="134"/>
      <c r="W352" s="134"/>
      <c r="X352" s="134"/>
      <c r="Y352" s="134"/>
      <c r="Z352" s="134"/>
      <c r="AA352" s="134"/>
      <c r="AB352" s="134"/>
      <c r="AC352" s="134"/>
      <c r="AD352" s="134"/>
      <c r="AE352" s="134"/>
      <c r="AF352" s="134"/>
      <c r="AG352" s="134"/>
      <c r="AH352" s="134"/>
      <c r="AI352" s="134"/>
      <c r="AJ352" s="135"/>
      <c r="AK352" s="136"/>
      <c r="AL352" s="136"/>
      <c r="AM352" s="133" t="str">
        <f>IF([5]回答表!AD55="●",[5]回答表!B621,"")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IF([5]回答表!R56="●",[5]回答表!B634,"")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2E492-2A5A-4FDA-A3B8-9A6747772A03}">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IF(COUNTIF([6]回答表!K16,"*")&gt;0,[6]回答表!K16,"")</f>
        <v>由利本荘市</v>
      </c>
      <c r="D11" s="8"/>
      <c r="E11" s="8"/>
      <c r="F11" s="8"/>
      <c r="G11" s="8"/>
      <c r="H11" s="8"/>
      <c r="I11" s="8"/>
      <c r="J11" s="8"/>
      <c r="K11" s="8"/>
      <c r="L11" s="8"/>
      <c r="M11" s="8"/>
      <c r="N11" s="8"/>
      <c r="O11" s="8"/>
      <c r="P11" s="8"/>
      <c r="Q11" s="8"/>
      <c r="R11" s="8"/>
      <c r="S11" s="8"/>
      <c r="T11" s="8"/>
      <c r="U11" s="22" t="str">
        <f>IF(COUNTIF([6]回答表!F18,"*")&gt;0,[6]回答表!F18,"")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IF(COUNTIF([6]回答表!W18,"*")&gt;0,[6]回答表!W18,"")</f>
        <v>老人デイサービスセンター</v>
      </c>
      <c r="AP11" s="10"/>
      <c r="AQ11" s="10"/>
      <c r="AR11" s="10"/>
      <c r="AS11" s="10"/>
      <c r="AT11" s="10"/>
      <c r="AU11" s="10"/>
      <c r="AV11" s="10"/>
      <c r="AW11" s="10"/>
      <c r="AX11" s="10"/>
      <c r="AY11" s="10"/>
      <c r="AZ11" s="10"/>
      <c r="BA11" s="10"/>
      <c r="BB11" s="10"/>
      <c r="BC11" s="10"/>
      <c r="BD11" s="10"/>
      <c r="BE11" s="10"/>
      <c r="BF11" s="11"/>
      <c r="BG11" s="21" t="str">
        <f>IF(COUNTIF([6]回答表!F20,"*")&gt;0,[6]回答表!F20,"")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IF([6]回答表!R49="●","●","")</f>
        <v/>
      </c>
      <c r="E24" s="80"/>
      <c r="F24" s="80"/>
      <c r="G24" s="80"/>
      <c r="H24" s="80"/>
      <c r="I24" s="80"/>
      <c r="J24" s="81"/>
      <c r="K24" s="79" t="str">
        <f>IF([6]回答表!R50="●","●","")</f>
        <v/>
      </c>
      <c r="L24" s="80"/>
      <c r="M24" s="80"/>
      <c r="N24" s="80"/>
      <c r="O24" s="80"/>
      <c r="P24" s="80"/>
      <c r="Q24" s="81"/>
      <c r="R24" s="79" t="str">
        <f>IF([6]回答表!R51="●","●","")</f>
        <v/>
      </c>
      <c r="S24" s="80"/>
      <c r="T24" s="80"/>
      <c r="U24" s="80"/>
      <c r="V24" s="80"/>
      <c r="W24" s="80"/>
      <c r="X24" s="81"/>
      <c r="Y24" s="79" t="str">
        <f>IF([6]回答表!R52="●","●","")</f>
        <v>●</v>
      </c>
      <c r="Z24" s="80"/>
      <c r="AA24" s="80"/>
      <c r="AB24" s="80"/>
      <c r="AC24" s="80"/>
      <c r="AD24" s="80"/>
      <c r="AE24" s="81"/>
      <c r="AF24" s="79" t="str">
        <f>IF([6]回答表!R53="●","●","")</f>
        <v/>
      </c>
      <c r="AG24" s="80"/>
      <c r="AH24" s="80"/>
      <c r="AI24" s="80"/>
      <c r="AJ24" s="80"/>
      <c r="AK24" s="80"/>
      <c r="AL24" s="81"/>
      <c r="AM24" s="79" t="str">
        <f>IF([6]回答表!R54="●","●","")</f>
        <v/>
      </c>
      <c r="AN24" s="80"/>
      <c r="AO24" s="80"/>
      <c r="AP24" s="80"/>
      <c r="AQ24" s="80"/>
      <c r="AR24" s="80"/>
      <c r="AS24" s="81"/>
      <c r="AT24" s="79" t="str">
        <f>IF([6]回答表!R55="●","●","")</f>
        <v/>
      </c>
      <c r="AU24" s="80"/>
      <c r="AV24" s="80"/>
      <c r="AW24" s="80"/>
      <c r="AX24" s="80"/>
      <c r="AY24" s="80"/>
      <c r="AZ24" s="81"/>
      <c r="BA24" s="68"/>
      <c r="BB24" s="82" t="str">
        <f>IF([6]回答表!R56="●","●","")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IF([6]回答表!X49="●","●","")</f>
        <v/>
      </c>
      <c r="O36" s="131"/>
      <c r="P36" s="131"/>
      <c r="Q36" s="132"/>
      <c r="R36" s="119"/>
      <c r="S36" s="119"/>
      <c r="T36" s="119"/>
      <c r="U36" s="133" t="str">
        <f>IF([6]回答表!X49="●",[6]回答表!B67,IF([6]回答表!AA49="●",[6]回答表!B95,""))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IF([6]回答表!X49="●",[6]回答表!S73,IF([6]回答表!AA49="●",[6]回答表!S101,""))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IF([6]回答表!X49="●",[6]回答表!G73,IF([6]回答表!AA49="●",[6]回答表!G101,""))</f>
        <v/>
      </c>
      <c r="AN38" s="83"/>
      <c r="AO38" s="83"/>
      <c r="AP38" s="83"/>
      <c r="AQ38" s="83"/>
      <c r="AR38" s="83"/>
      <c r="AS38" s="83"/>
      <c r="AT38" s="153"/>
      <c r="AU38" s="82" t="str">
        <f>IF([6]回答表!X49="●",[6]回答表!G74,IF([6]回答表!AA49="●",[6]回答表!G102,""))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IF([6]回答表!X49="●",[6]回答表!V73,IF([6]回答表!AA49="●",[6]回答表!V101,""))</f>
        <v/>
      </c>
      <c r="BG39" s="16"/>
      <c r="BH39" s="16"/>
      <c r="BI39" s="17"/>
      <c r="BJ39" s="150" t="str">
        <f>IF([6]回答表!X49="●",[6]回答表!V74,IF([6]回答表!AA49="●",[6]回答表!V102,""))</f>
        <v/>
      </c>
      <c r="BK39" s="16"/>
      <c r="BL39" s="16"/>
      <c r="BM39" s="17"/>
      <c r="BN39" s="150" t="str">
        <f>IF([6]回答表!X49="●",[6]回答表!V75,IF([6]回答表!AA49="●",[6]回答表!V103,""))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IF([6]回答表!X49="●",[6]回答表!O79,IF([6]回答表!AA49="●",[6]回答表!O107,""))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IF([6]回答表!X49="●",[6]回答表!O80,IF([6]回答表!AA49="●",[6]回答表!O108,""))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IF([6]回答表!AA49="●","●","")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IF([6]回答表!X49="●",[6]回答表!O81,IF([6]回答表!AA49="●",[6]回答表!O109,""))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IF([6]回答表!X49="●",[6]回答表!O82,IF([6]回答表!AA49="●",[6]回答表!O110,""))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IF([6]回答表!X49="●",[6]回答表!AG79,IF([6]回答表!AA49="●",[6]回答表!AG107,""))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IF([6]回答表!X49="●",[6]回答表!AG80,IF([6]回答表!AA49="●",[6]回答表!AG108,""))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IF([6]回答表!X49="●",[6]回答表!E85,IF([6]回答表!AA49="●",[6]回答表!E113,""))</f>
        <v/>
      </c>
      <c r="V50" s="182"/>
      <c r="W50" s="182"/>
      <c r="X50" s="182"/>
      <c r="Y50" s="182"/>
      <c r="Z50" s="182"/>
      <c r="AA50" s="182"/>
      <c r="AB50" s="182"/>
      <c r="AC50" s="182"/>
      <c r="AD50" s="182"/>
      <c r="AE50" s="183" t="s">
        <v>33</v>
      </c>
      <c r="AF50" s="183"/>
      <c r="AG50" s="183"/>
      <c r="AH50" s="183"/>
      <c r="AI50" s="183"/>
      <c r="AJ50" s="184"/>
      <c r="AK50" s="136"/>
      <c r="AL50" s="136"/>
      <c r="AM50" s="133" t="str">
        <f>IF([6]回答表!X49="●",[6]回答表!B87,IF([6]回答表!AA49="●",[6]回答表!B115,""))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IF([6]回答表!AD49="●","●","")</f>
        <v/>
      </c>
      <c r="O57" s="131"/>
      <c r="P57" s="131"/>
      <c r="Q57" s="132"/>
      <c r="R57" s="119"/>
      <c r="S57" s="119"/>
      <c r="T57" s="119"/>
      <c r="U57" s="133" t="str">
        <f>IF([6]回答表!AD49="●",[6]回答表!B123,"")</f>
        <v/>
      </c>
      <c r="V57" s="134"/>
      <c r="W57" s="134"/>
      <c r="X57" s="134"/>
      <c r="Y57" s="134"/>
      <c r="Z57" s="134"/>
      <c r="AA57" s="134"/>
      <c r="AB57" s="134"/>
      <c r="AC57" s="134"/>
      <c r="AD57" s="134"/>
      <c r="AE57" s="134"/>
      <c r="AF57" s="134"/>
      <c r="AG57" s="134"/>
      <c r="AH57" s="134"/>
      <c r="AI57" s="134"/>
      <c r="AJ57" s="135"/>
      <c r="AK57" s="189"/>
      <c r="AL57" s="189"/>
      <c r="AM57" s="133" t="str">
        <f>IF([6]回答表!AD49="●",[6]回答表!B128,"")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IF([6]回答表!X50="●","●","")</f>
        <v/>
      </c>
      <c r="O68" s="131"/>
      <c r="P68" s="131"/>
      <c r="Q68" s="132"/>
      <c r="R68" s="119"/>
      <c r="S68" s="119"/>
      <c r="T68" s="119"/>
      <c r="U68" s="133" t="str">
        <f>IF([6]回答表!X50="●",[6]回答表!B138,IF([6]回答表!AA50="●",[6]回答表!B159,""))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IF([6]回答表!X50="●",[6]回答表!S144,IF([6]回答表!AA50="●",[6]回答表!S165,""))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IF([6]回答表!X50="●",[6]回答表!J144,IF([6]回答表!AA50="●",[6]回答表!J165,""))</f>
        <v/>
      </c>
      <c r="AN71" s="83"/>
      <c r="AO71" s="83"/>
      <c r="AP71" s="83"/>
      <c r="AQ71" s="83"/>
      <c r="AR71" s="83"/>
      <c r="AS71" s="83"/>
      <c r="AT71" s="153"/>
      <c r="AU71" s="82" t="str">
        <f>IF([6]回答表!X50="●",[6]回答表!J145,IF([6]回答表!AA50="●",[6]回答表!J166,""))</f>
        <v/>
      </c>
      <c r="AV71" s="83"/>
      <c r="AW71" s="83"/>
      <c r="AX71" s="83"/>
      <c r="AY71" s="83"/>
      <c r="AZ71" s="83"/>
      <c r="BA71" s="83"/>
      <c r="BB71" s="153"/>
      <c r="BC71" s="120"/>
      <c r="BD71" s="109"/>
      <c r="BE71" s="109"/>
      <c r="BF71" s="150" t="str">
        <f>IF([6]回答表!X50="●",[6]回答表!V144,IF([6]回答表!AA50="●",[6]回答表!V165,""))</f>
        <v/>
      </c>
      <c r="BG71" s="151"/>
      <c r="BH71" s="151"/>
      <c r="BI71" s="151"/>
      <c r="BJ71" s="150" t="str">
        <f>IF([6]回答表!X50="●",[6]回答表!V145,IF([6]回答表!AA50="●",[6]回答表!V166,""))</f>
        <v/>
      </c>
      <c r="BK71" s="151"/>
      <c r="BL71" s="151"/>
      <c r="BM71" s="151"/>
      <c r="BN71" s="150" t="str">
        <f>IF([6]回答表!X50="●",[6]回答表!V146,IF([6]回答表!AA50="●",[6]回答表!V167,""))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IF([6]回答表!AA50="●","●","")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IF([6]回答表!X50="●",[6]回答表!E149,IF([6]回答表!AA50="●",[6]回答表!E170,""))</f>
        <v/>
      </c>
      <c r="V80" s="182"/>
      <c r="W80" s="182"/>
      <c r="X80" s="182"/>
      <c r="Y80" s="182"/>
      <c r="Z80" s="182"/>
      <c r="AA80" s="182"/>
      <c r="AB80" s="182"/>
      <c r="AC80" s="182"/>
      <c r="AD80" s="182"/>
      <c r="AE80" s="183" t="s">
        <v>33</v>
      </c>
      <c r="AF80" s="183"/>
      <c r="AG80" s="183"/>
      <c r="AH80" s="183"/>
      <c r="AI80" s="183"/>
      <c r="AJ80" s="184"/>
      <c r="AK80" s="136"/>
      <c r="AL80" s="136"/>
      <c r="AM80" s="133" t="str">
        <f>IF([6]回答表!X50="●",[6]回答表!B151,IF([6]回答表!AA50="●",[6]回答表!B172,""))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IF([6]回答表!AD50="●","●","")</f>
        <v/>
      </c>
      <c r="O87" s="131"/>
      <c r="P87" s="131"/>
      <c r="Q87" s="132"/>
      <c r="R87" s="119"/>
      <c r="S87" s="119"/>
      <c r="T87" s="119"/>
      <c r="U87" s="133" t="str">
        <f>IF([6]回答表!AD50="●",[6]回答表!B180,"")</f>
        <v/>
      </c>
      <c r="V87" s="134"/>
      <c r="W87" s="134"/>
      <c r="X87" s="134"/>
      <c r="Y87" s="134"/>
      <c r="Z87" s="134"/>
      <c r="AA87" s="134"/>
      <c r="AB87" s="134"/>
      <c r="AC87" s="134"/>
      <c r="AD87" s="134"/>
      <c r="AE87" s="134"/>
      <c r="AF87" s="134"/>
      <c r="AG87" s="134"/>
      <c r="AH87" s="134"/>
      <c r="AI87" s="134"/>
      <c r="AJ87" s="135"/>
      <c r="AK87" s="189"/>
      <c r="AL87" s="189"/>
      <c r="AM87" s="133" t="str">
        <f>IF([6]回答表!AD50="●",[6]回答表!B186,"")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IF([6]回答表!F18="水道事業",IF([6]回答表!X51="●","●",""),"")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IF([6]回答表!F18="水道事業",IF([6]回答表!X51="●",[6]回答表!B197,IF([6]回答表!AA51="●",[6]回答表!B275,"")),"")</f>
        <v/>
      </c>
      <c r="AN99" s="134"/>
      <c r="AO99" s="134"/>
      <c r="AP99" s="134"/>
      <c r="AQ99" s="134"/>
      <c r="AR99" s="134"/>
      <c r="AS99" s="134"/>
      <c r="AT99" s="134"/>
      <c r="AU99" s="134"/>
      <c r="AV99" s="134"/>
      <c r="AW99" s="134"/>
      <c r="AX99" s="134"/>
      <c r="AY99" s="134"/>
      <c r="AZ99" s="134"/>
      <c r="BA99" s="134"/>
      <c r="BB99" s="134"/>
      <c r="BC99" s="135"/>
      <c r="BD99" s="109"/>
      <c r="BE99" s="109"/>
      <c r="BF99" s="138" t="str">
        <f>IF([6]回答表!F18="水道事業",IF([6]回答表!X51="●",[6]回答表!B256,IF([6]回答表!AA51="●",[6]回答表!B335,"")),"")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IF([6]回答表!F18="水道事業",IF([6]回答表!X51="●",[6]回答表!J205,IF([6]回答表!AA51="●",[6]回答表!J283,"")),"")</f>
        <v/>
      </c>
      <c r="V101" s="83"/>
      <c r="W101" s="83"/>
      <c r="X101" s="83"/>
      <c r="Y101" s="83"/>
      <c r="Z101" s="83"/>
      <c r="AA101" s="83"/>
      <c r="AB101" s="153"/>
      <c r="AC101" s="82" t="str">
        <f>IF([6]回答表!F18="水道事業",IF([6]回答表!X51="●",[6]回答表!J210,IF([6]回答表!AA51="●",[6]回答表!J290,"")),"")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IF([6]回答表!F18="水道事業",IF([6]回答表!X51="●",[6]回答表!E256,IF([6]回答表!AA51="●",[6]回答表!E335,"")),"")</f>
        <v/>
      </c>
      <c r="BG102" s="151"/>
      <c r="BH102" s="151"/>
      <c r="BI102" s="151"/>
      <c r="BJ102" s="150" t="str">
        <f>IF([6]回答表!F18="水道事業",IF([6]回答表!X51="●",[6]回答表!E257,IF([6]回答表!AA51="●",[6]回答表!E336,"")),"")</f>
        <v/>
      </c>
      <c r="BK102" s="151"/>
      <c r="BL102" s="151"/>
      <c r="BM102" s="151"/>
      <c r="BN102" s="150" t="str">
        <f>IF([6]回答表!F18="水道事業",IF([6]回答表!X51="●",[6]回答表!E258,IF([6]回答表!AA51="●",[6]回答表!E337,"")),"")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IF([6]回答表!F18="水道事業",IF([6]回答表!AA51="●","●",""),"")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IF([6]回答表!F18="水道事業",IF([6]回答表!X51="●",[6]回答表!J213,IF([6]回答表!AA51="●",[6]回答表!J293,"")),"")</f>
        <v/>
      </c>
      <c r="V106" s="83"/>
      <c r="W106" s="83"/>
      <c r="X106" s="83"/>
      <c r="Y106" s="83"/>
      <c r="Z106" s="83"/>
      <c r="AA106" s="83"/>
      <c r="AB106" s="153"/>
      <c r="AC106" s="82" t="str">
        <f>IF([6]回答表!F18="水道事業",IF([6]回答表!X51="●",[6]回答表!J217,IF([6]回答表!AA51="●",[6]回答表!J297,"")),"")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IF([6]回答表!F18="水道事業",IF([6]回答表!X51="●",[6]回答表!E265,IF([6]回答表!AA51="●",[6]回答表!E344,"")),"")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IF([6]回答表!F18="水道事業",IF([6]回答表!X51="●",[6]回答表!B267,IF([6]回答表!AA51="●",[6]回答表!B346,"")),"")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IF([6]回答表!F18="水道事業",IF([6]回答表!AD51="●","●",""),"")</f>
        <v/>
      </c>
      <c r="O118" s="131"/>
      <c r="P118" s="131"/>
      <c r="Q118" s="132"/>
      <c r="R118" s="119"/>
      <c r="S118" s="119"/>
      <c r="T118" s="119"/>
      <c r="U118" s="133" t="str">
        <f>IF([6]回答表!F18="水道事業",IF([6]回答表!AD51="●",[6]回答表!B354,""),"")</f>
        <v/>
      </c>
      <c r="V118" s="134"/>
      <c r="W118" s="134"/>
      <c r="X118" s="134"/>
      <c r="Y118" s="134"/>
      <c r="Z118" s="134"/>
      <c r="AA118" s="134"/>
      <c r="AB118" s="134"/>
      <c r="AC118" s="134"/>
      <c r="AD118" s="134"/>
      <c r="AE118" s="134"/>
      <c r="AF118" s="134"/>
      <c r="AG118" s="134"/>
      <c r="AH118" s="134"/>
      <c r="AI118" s="134"/>
      <c r="AJ118" s="135"/>
      <c r="AK118" s="189"/>
      <c r="AL118" s="189"/>
      <c r="AM118" s="133" t="str">
        <f>IF([6]回答表!F18="水道事業",IF([6]回答表!AD51="●",[6]回答表!B360,""),"")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IF([6]回答表!F18="簡易水道事業",IF([6]回答表!X51="●",[6]回答表!B197,IF([6]回答表!AA51="●",[6]回答表!B275,"")),"")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IF([6]回答表!F18="簡易水道事業",IF([6]回答表!X51="●",[6]回答表!B256,IF([6]回答表!AA51="●",[6]回答表!B335,"")),"")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IF([6]回答表!F18="簡易水道事業",IF([6]回答表!X51="●","●",""),"")</f>
        <v/>
      </c>
      <c r="O132" s="131"/>
      <c r="P132" s="131"/>
      <c r="Q132" s="132"/>
      <c r="R132" s="119"/>
      <c r="S132" s="119"/>
      <c r="T132" s="119"/>
      <c r="U132" s="82" t="str">
        <f>IF([6]回答表!F18="簡易水道事業",IF([6]回答表!X51="●",[6]回答表!S224,IF([6]回答表!AA51="●",[6]回答表!S304,"")),"")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IF([6]回答表!F18="簡易水道事業",IF([6]回答表!X51="●",[6]回答表!E256,IF([6]回答表!AA51="●",[6]回答表!E335,"")),"")</f>
        <v/>
      </c>
      <c r="BG133" s="151"/>
      <c r="BH133" s="151"/>
      <c r="BI133" s="151"/>
      <c r="BJ133" s="150" t="str">
        <f>IF([6]回答表!F18="簡易水道事業",IF([6]回答表!X51="●",[6]回答表!E257,IF([6]回答表!AA51="●",[6]回答表!E336,"")),"")</f>
        <v/>
      </c>
      <c r="BK133" s="151"/>
      <c r="BL133" s="151"/>
      <c r="BM133" s="151"/>
      <c r="BN133" s="150" t="str">
        <f>IF([6]回答表!F18="簡易水道事業",IF([6]回答表!X51="●",[6]回答表!E258,IF([6]回答表!AA51="●",[6]回答表!E337,"")),"")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IF([6]回答表!F18="簡易水道事業",IF([6]回答表!X51="●",[6]回答表!S225,IF([6]回答表!AA51="●",[6]回答表!S305,"")),"")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IF([6]回答表!F18="簡易水道事業",IF([6]回答表!AA51="●","●",""),"")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IF([6]回答表!F18="簡易水道事業",IF([6]回答表!X51="●",[6]回答表!S226,IF([6]回答表!AA51="●",[6]回答表!S306,"")),"")</f>
        <v/>
      </c>
      <c r="V142" s="83"/>
      <c r="W142" s="83"/>
      <c r="X142" s="83"/>
      <c r="Y142" s="83"/>
      <c r="Z142" s="83"/>
      <c r="AA142" s="83"/>
      <c r="AB142" s="83"/>
      <c r="AC142" s="83"/>
      <c r="AD142" s="83"/>
      <c r="AE142" s="83"/>
      <c r="AF142" s="83"/>
      <c r="AG142" s="83"/>
      <c r="AH142" s="83"/>
      <c r="AI142" s="83"/>
      <c r="AJ142" s="153"/>
      <c r="AK142" s="68"/>
      <c r="AL142" s="68"/>
      <c r="AM142" s="231" t="str">
        <f>IF([6]回答表!F18="簡易水道事業",IF([6]回答表!X51="●",[6]回答表!Y228,IF([6]回答表!AA51="●",[6]回答表!Y308,"")),"")</f>
        <v/>
      </c>
      <c r="AN142" s="231"/>
      <c r="AO142" s="231"/>
      <c r="AP142" s="231"/>
      <c r="AQ142" s="231"/>
      <c r="AR142" s="231"/>
      <c r="AS142" s="231" t="str">
        <f>IF([6]回答表!F18="簡易水道事業",IF([6]回答表!X51="●",[6]回答表!Y229,IF([6]回答表!AA51="●",[6]回答表!Y309,"")),"")</f>
        <v/>
      </c>
      <c r="AT142" s="231"/>
      <c r="AU142" s="231"/>
      <c r="AV142" s="231"/>
      <c r="AW142" s="231"/>
      <c r="AX142" s="231"/>
      <c r="AY142" s="231" t="str">
        <f>IF([6]回答表!F18="簡易水道事業",IF([6]回答表!X51="●",[6]回答表!Y230,IF([6]回答表!AA51="●",[6]回答表!Y310,"")),"")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IF([6]回答表!F18="簡易水道事業",IF([6]回答表!X51="●",[6]回答表!E265,IF([6]回答表!AA51="●",[6]回答表!E344,"")),"")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IF([6]回答表!F18="簡易水道事業",IF([6]回答表!X51="●",[6]回答表!B267,IF([6]回答表!AA51="●",[6]回答表!B346,"")),"")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IF([6]回答表!F18="簡易水道事業",IF([6]回答表!AD51="●","●",""),"")</f>
        <v/>
      </c>
      <c r="O154" s="131"/>
      <c r="P154" s="131"/>
      <c r="Q154" s="132"/>
      <c r="R154" s="119"/>
      <c r="S154" s="119"/>
      <c r="T154" s="119"/>
      <c r="U154" s="133" t="str">
        <f>IF([6]回答表!F18="簡易水道事業",IF([6]回答表!AD51="●",[6]回答表!B354,""),"")</f>
        <v/>
      </c>
      <c r="V154" s="134"/>
      <c r="W154" s="134"/>
      <c r="X154" s="134"/>
      <c r="Y154" s="134"/>
      <c r="Z154" s="134"/>
      <c r="AA154" s="134"/>
      <c r="AB154" s="134"/>
      <c r="AC154" s="134"/>
      <c r="AD154" s="134"/>
      <c r="AE154" s="134"/>
      <c r="AF154" s="134"/>
      <c r="AG154" s="134"/>
      <c r="AH154" s="134"/>
      <c r="AI154" s="134"/>
      <c r="AJ154" s="135"/>
      <c r="AK154" s="189"/>
      <c r="AL154" s="189"/>
      <c r="AM154" s="133" t="str">
        <f>IF([6]回答表!F18="簡易水道事業",IF([6]回答表!AD51="●",[6]回答表!B360,""),"")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IF([6]回答表!F18="下水道事業",IF([6]回答表!X51="●","●",""),"")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IF([6]回答表!F18="下水道事業",IF([6]回答表!X51="●",[6]回答表!B197,IF([6]回答表!AA51="●",[6]回答表!B275,"")),"")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IF([6]回答表!F18="下水道事業",IF([6]回答表!X51="●",[6]回答表!B256,IF([6]回答表!AA51="●",[6]回答表!B335,"")),"")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IF([6]回答表!F18="下水道事業",IF([6]回答表!X51="●",[6]回答表!N234,IF([6]回答表!AA51="●",[6]回答表!N314,"")),"")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IF([6]回答表!F18="下水道事業",IF([6]回答表!X51="●",[6]回答表!E256,IF([6]回答表!AA51="●",[6]回答表!E335,"")),"")</f>
        <v/>
      </c>
      <c r="BG169" s="151"/>
      <c r="BH169" s="151"/>
      <c r="BI169" s="151"/>
      <c r="BJ169" s="150" t="str">
        <f>IF([6]回答表!F18="下水道事業",IF([6]回答表!X51="●",[6]回答表!E257,IF([6]回答表!AA51="●",[6]回答表!E336,"")),"")</f>
        <v/>
      </c>
      <c r="BK169" s="151"/>
      <c r="BL169" s="151"/>
      <c r="BM169" s="151"/>
      <c r="BN169" s="150" t="str">
        <f>IF([6]回答表!F18="下水道事業",IF([6]回答表!X51="●",[6]回答表!E258,IF([6]回答表!AA51="●",[6]回答表!E337,"")),"")</f>
        <v/>
      </c>
      <c r="BO169" s="151"/>
      <c r="BP169" s="151"/>
      <c r="BQ169" s="152"/>
      <c r="BR169" s="112"/>
      <c r="BX169" s="234" t="str">
        <f>IF([6]回答表!AQ21="下水道事業",IF([6]回答表!BI54="○",[6]回答表!AM200,IF([6]回答表!BL54="○",[6]回答表!AM278,"")),"")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IF([6]回答表!F18="下水道事業",IF([6]回答表!X51="●",[6]回答表!Y236,IF([6]回答表!AA51="●",[6]回答表!Y316,"")),"")</f>
        <v/>
      </c>
      <c r="V174" s="83"/>
      <c r="W174" s="83"/>
      <c r="X174" s="83"/>
      <c r="Y174" s="83"/>
      <c r="Z174" s="83"/>
      <c r="AA174" s="83"/>
      <c r="AB174" s="153"/>
      <c r="AC174" s="82" t="str">
        <f>IF([6]回答表!F18="下水道事業",IF([6]回答表!X51="●",[6]回答表!Y237,IF([6]回答表!AA51="●",[6]回答表!Y317,"")),"")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IF([6]回答表!F18="下水道事業",IF([6]回答表!X51="●",[6]回答表!Y239,IF([6]回答表!AA51="●",[6]回答表!Y319,"")),"")</f>
        <v/>
      </c>
      <c r="V180" s="83"/>
      <c r="W180" s="83"/>
      <c r="X180" s="83"/>
      <c r="Y180" s="83"/>
      <c r="Z180" s="83"/>
      <c r="AA180" s="83"/>
      <c r="AB180" s="153"/>
      <c r="AC180" s="82" t="str">
        <f>IF([6]回答表!F18="下水道事業",IF([6]回答表!X51="●",[6]回答表!Y240,IF([6]回答表!AA51="●",[6]回答表!Y320,"")),"")</f>
        <v/>
      </c>
      <c r="AD180" s="83"/>
      <c r="AE180" s="83"/>
      <c r="AF180" s="83"/>
      <c r="AG180" s="83"/>
      <c r="AH180" s="83"/>
      <c r="AI180" s="83"/>
      <c r="AJ180" s="153"/>
      <c r="AK180" s="82" t="str">
        <f>IF([6]回答表!F18="下水道事業",IF([6]回答表!X51="●",[6]回答表!Y241,IF([6]回答表!AA51="●",[6]回答表!Y321,"")),"")</f>
        <v/>
      </c>
      <c r="AL180" s="83"/>
      <c r="AM180" s="83"/>
      <c r="AN180" s="83"/>
      <c r="AO180" s="83"/>
      <c r="AP180" s="83"/>
      <c r="AQ180" s="83"/>
      <c r="AR180" s="153"/>
      <c r="AS180" s="82" t="str">
        <f>IF([6]回答表!F18="下水道事業",IF([6]回答表!X51="●",[6]回答表!Y242,IF([6]回答表!AA51="●",[6]回答表!Y322,"")),"")</f>
        <v/>
      </c>
      <c r="AT180" s="83"/>
      <c r="AU180" s="83"/>
      <c r="AV180" s="83"/>
      <c r="AW180" s="83"/>
      <c r="AX180" s="83"/>
      <c r="AY180" s="83"/>
      <c r="AZ180" s="153"/>
      <c r="BA180" s="82" t="str">
        <f>IF([6]回答表!F18="下水道事業",IF([6]回答表!X51="●",[6]回答表!Y243,IF([6]回答表!AA51="●",[6]回答表!Y323,"")),"")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IF([6]回答表!F18="下水道事業",IF([6]回答表!AA51="●","●",""),"")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IF([6]回答表!F18="下水道事業",IF([6]回答表!X51="●",[6]回答表!N248,IF([6]回答表!AA51="●",[6]回答表!N328,"")),"")</f>
        <v/>
      </c>
      <c r="V186" s="83"/>
      <c r="W186" s="83"/>
      <c r="X186" s="83"/>
      <c r="Y186" s="83"/>
      <c r="Z186" s="83"/>
      <c r="AA186" s="83"/>
      <c r="AB186" s="153"/>
      <c r="AC186" s="82" t="str">
        <f>IF([6]回答表!F18="下水道事業",IF([6]回答表!X51="●",[6]回答表!N249,IF([6]回答表!AA51="●",[6]回答表!N329,"")),"")</f>
        <v/>
      </c>
      <c r="AD186" s="83"/>
      <c r="AE186" s="83"/>
      <c r="AF186" s="83"/>
      <c r="AG186" s="83"/>
      <c r="AH186" s="83"/>
      <c r="AI186" s="83"/>
      <c r="AJ186" s="153"/>
      <c r="AK186" s="82" t="str">
        <f>IF([6]回答表!F18="下水道事業",IF([6]回答表!X51="●",[6]回答表!N250,IF([6]回答表!AA51="●",[6]回答表!N330,"")),"")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IF([6]回答表!F18="下水道事業",IF([6]回答表!X51="●",[6]回答表!E265,IF([6]回答表!AA51="●",[6]回答表!E344,"")),"")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IF([6]回答表!F18="下水道事業",IF([6]回答表!X51="●",[6]回答表!B267,IF([6]回答表!AA51="●",[6]回答表!B346,"")),"")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IF([6]回答表!F18="下水道事業",IF([6]回答表!AD51="●","●",""),"")</f>
        <v/>
      </c>
      <c r="O198" s="131"/>
      <c r="P198" s="131"/>
      <c r="Q198" s="132"/>
      <c r="R198" s="119"/>
      <c r="S198" s="119"/>
      <c r="T198" s="119"/>
      <c r="U198" s="133" t="str">
        <f>IF([6]回答表!F18="下水道事業",IF([6]回答表!AD51="●",[6]回答表!B354,""),"")</f>
        <v/>
      </c>
      <c r="V198" s="134"/>
      <c r="W198" s="134"/>
      <c r="X198" s="134"/>
      <c r="Y198" s="134"/>
      <c r="Z198" s="134"/>
      <c r="AA198" s="134"/>
      <c r="AB198" s="134"/>
      <c r="AC198" s="134"/>
      <c r="AD198" s="134"/>
      <c r="AE198" s="134"/>
      <c r="AF198" s="134"/>
      <c r="AG198" s="134"/>
      <c r="AH198" s="134"/>
      <c r="AI198" s="134"/>
      <c r="AJ198" s="135"/>
      <c r="AK198" s="189"/>
      <c r="AL198" s="189"/>
      <c r="AM198" s="133" t="str">
        <f>IF([6]回答表!F18="下水道事業",IF([6]回答表!AD51="●",[6]回答表!B360,""),"")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IF([6]回答表!BD18="●",IF([6]回答表!X51="●","●",""),"")</f>
        <v/>
      </c>
      <c r="O210" s="131"/>
      <c r="P210" s="131"/>
      <c r="Q210" s="132"/>
      <c r="R210" s="119"/>
      <c r="S210" s="119"/>
      <c r="T210" s="119"/>
      <c r="U210" s="133" t="str">
        <f>IF([6]回答表!BD18="●",IF([6]回答表!X51="●",[6]回答表!B197,IF([6]回答表!AA51="●",[6]回答表!B275,"")),"")</f>
        <v/>
      </c>
      <c r="V210" s="134"/>
      <c r="W210" s="134"/>
      <c r="X210" s="134"/>
      <c r="Y210" s="134"/>
      <c r="Z210" s="134"/>
      <c r="AA210" s="134"/>
      <c r="AB210" s="134"/>
      <c r="AC210" s="134"/>
      <c r="AD210" s="134"/>
      <c r="AE210" s="134"/>
      <c r="AF210" s="134"/>
      <c r="AG210" s="134"/>
      <c r="AH210" s="134"/>
      <c r="AI210" s="134"/>
      <c r="AJ210" s="135"/>
      <c r="AK210" s="136"/>
      <c r="AL210" s="136"/>
      <c r="AM210" s="138" t="str">
        <f>IF([6]回答表!BD18="●",IF([6]回答表!X51="●",[6]回答表!B256,IF([6]回答表!AA51="●",[6]回答表!B335,"")),"")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IF([6]回答表!BD18="●",IF([6]回答表!X51="●",[6]回答表!E256,IF([6]回答表!AA51="●",[6]回答表!E335,"")),"")</f>
        <v/>
      </c>
      <c r="AN213" s="151"/>
      <c r="AO213" s="151"/>
      <c r="AP213" s="151"/>
      <c r="AQ213" s="150" t="str">
        <f>IF([6]回答表!BD18="●",IF([6]回答表!X51="●",[6]回答表!E257,IF([6]回答表!AA51="●",[6]回答表!E336,"")),"")</f>
        <v/>
      </c>
      <c r="AR213" s="151"/>
      <c r="AS213" s="151"/>
      <c r="AT213" s="151"/>
      <c r="AU213" s="150" t="str">
        <f>IF([6]回答表!BD18="●",IF([6]回答表!X51="●",[6]回答表!E258,IF([6]回答表!AA51="●",[6]回答表!E337,"")),"")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IF([6]回答表!BD18="●",IF([6]回答表!AA51="●","●",""),"")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IF([6]回答表!BD18="●",IF([6]回答表!X51="●",[6]回答表!E265,IF([6]回答表!AA51="●",[6]回答表!E344,"")),"")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IF([6]回答表!BD18="●",IF([6]回答表!X51="●",[6]回答表!B267,IF([6]回答表!AA51="●",[6]回答表!B346,"")),"")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IF([6]回答表!BD18="●",IF([6]回答表!AD51="●","●",""),"")</f>
        <v/>
      </c>
      <c r="O229" s="131"/>
      <c r="P229" s="131"/>
      <c r="Q229" s="132"/>
      <c r="R229" s="119"/>
      <c r="S229" s="119"/>
      <c r="T229" s="119"/>
      <c r="U229" s="133" t="str">
        <f>IF([6]回答表!BD18="●",IF([6]回答表!AD51="●",[6]回答表!B354,""),"")</f>
        <v/>
      </c>
      <c r="V229" s="134"/>
      <c r="W229" s="134"/>
      <c r="X229" s="134"/>
      <c r="Y229" s="134"/>
      <c r="Z229" s="134"/>
      <c r="AA229" s="134"/>
      <c r="AB229" s="134"/>
      <c r="AC229" s="134"/>
      <c r="AD229" s="134"/>
      <c r="AE229" s="134"/>
      <c r="AF229" s="134"/>
      <c r="AG229" s="134"/>
      <c r="AH229" s="134"/>
      <c r="AI229" s="134"/>
      <c r="AJ229" s="135"/>
      <c r="AK229" s="249"/>
      <c r="AL229" s="249"/>
      <c r="AM229" s="133" t="str">
        <f>IF([6]回答表!BD18="●",IF([6]回答表!AD51="●",[6]回答表!B360,""),"")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IF([6]回答表!X52="●","●","")</f>
        <v>●</v>
      </c>
      <c r="O241" s="131"/>
      <c r="P241" s="131"/>
      <c r="Q241" s="132"/>
      <c r="R241" s="119"/>
      <c r="S241" s="119"/>
      <c r="T241" s="119"/>
      <c r="U241" s="133" t="str">
        <f>IF([6]回答表!X52="●",[6]回答表!B371,IF([6]回答表!AA52="●",[6]回答表!B396,""))</f>
        <v>市組織のスリム化や財政基盤の確立と共に住民サービスを充実させることを目的とし、行政改革大綱を定めている。
特別養護老人ホーム「鳥寿苑」は、Ｈ28.4.1に指定管理を開始。（Ｈ37年度末まで10年間）
特別養護老人ホーム「東光苑」は、Ｈ29.4.1から指定管理を開始。（Ｈ37年度末まで9年間）</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f>IF([6]回答表!X52="●",[6]回答表!U377,IF([6]回答表!AA52="●",[6]回答表!U402,""))</f>
        <v>0</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IF([6]回答表!X52="●",[6]回答表!G377,IF([6]回答表!AA52="●",[6]回答表!G402,""))</f>
        <v xml:space="preserve"> </v>
      </c>
      <c r="AN244" s="83"/>
      <c r="AO244" s="83"/>
      <c r="AP244" s="83"/>
      <c r="AQ244" s="83"/>
      <c r="AR244" s="83"/>
      <c r="AS244" s="83"/>
      <c r="AT244" s="153"/>
      <c r="AU244" s="82" t="str">
        <f>IF([6]回答表!X52="●",[6]回答表!G378,IF([6]回答表!AA52="●",[6]回答表!G403,""))</f>
        <v>●</v>
      </c>
      <c r="AV244" s="83"/>
      <c r="AW244" s="83"/>
      <c r="AX244" s="83"/>
      <c r="AY244" s="83"/>
      <c r="AZ244" s="83"/>
      <c r="BA244" s="83"/>
      <c r="BB244" s="153"/>
      <c r="BC244" s="120"/>
      <c r="BD244" s="109"/>
      <c r="BE244" s="109"/>
      <c r="BF244" s="150">
        <f>IF([6]回答表!X52="●",[6]回答表!X377,IF([6]回答表!AA52="●",[6]回答表!X402,""))</f>
        <v>28</v>
      </c>
      <c r="BG244" s="151"/>
      <c r="BH244" s="151"/>
      <c r="BI244" s="151"/>
      <c r="BJ244" s="150">
        <f>IF([6]回答表!X52="●",[6]回答表!X378,IF([6]回答表!AA52="●",[6]回答表!X403,""))</f>
        <v>4</v>
      </c>
      <c r="BK244" s="151"/>
      <c r="BL244" s="151"/>
      <c r="BM244" s="152"/>
      <c r="BN244" s="150">
        <f>IF([6]回答表!X52="●",[6]回答表!X379,IF([6]回答表!AA52="●",[6]回答表!X404,""))</f>
        <v>1</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IF([6]回答表!AA52="●","●","")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f>IF([6]回答表!X52="●",[6]回答表!E386,IF([6]回答表!AA52="●",[6]回答表!E407,""))</f>
        <v>93</v>
      </c>
      <c r="V253" s="182"/>
      <c r="W253" s="182"/>
      <c r="X253" s="182"/>
      <c r="Y253" s="182"/>
      <c r="Z253" s="182"/>
      <c r="AA253" s="182"/>
      <c r="AB253" s="182"/>
      <c r="AC253" s="182"/>
      <c r="AD253" s="182"/>
      <c r="AE253" s="183" t="s">
        <v>33</v>
      </c>
      <c r="AF253" s="183"/>
      <c r="AG253" s="183"/>
      <c r="AH253" s="183"/>
      <c r="AI253" s="183"/>
      <c r="AJ253" s="184"/>
      <c r="AK253" s="136"/>
      <c r="AL253" s="136"/>
      <c r="AM253" s="133" t="str">
        <f>IF([6]回答表!X52="●",[6]回答表!B388,IF([6]回答表!AA52="●",[6]回答表!B409,""))</f>
        <v>・人件費　　　　年▲81
・維持管理費　年▲12
　　　計　　　　　年▲93</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IF([6]回答表!AD52="●","●","")</f>
        <v/>
      </c>
      <c r="O260" s="131"/>
      <c r="P260" s="131"/>
      <c r="Q260" s="132"/>
      <c r="R260" s="119"/>
      <c r="S260" s="119"/>
      <c r="T260" s="119"/>
      <c r="U260" s="133" t="str">
        <f>IF([6]回答表!AD52="●",[6]回答表!B417,"")</f>
        <v/>
      </c>
      <c r="V260" s="134"/>
      <c r="W260" s="134"/>
      <c r="X260" s="134"/>
      <c r="Y260" s="134"/>
      <c r="Z260" s="134"/>
      <c r="AA260" s="134"/>
      <c r="AB260" s="134"/>
      <c r="AC260" s="134"/>
      <c r="AD260" s="134"/>
      <c r="AE260" s="134"/>
      <c r="AF260" s="134"/>
      <c r="AG260" s="134"/>
      <c r="AH260" s="134"/>
      <c r="AI260" s="134"/>
      <c r="AJ260" s="135"/>
      <c r="AK260" s="249"/>
      <c r="AL260" s="249"/>
      <c r="AM260" s="133" t="str">
        <f>IF([6]回答表!AD52="●",[6]回答表!B423,"")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IF([6]回答表!X53="●","●","")</f>
        <v/>
      </c>
      <c r="O272" s="131"/>
      <c r="P272" s="131"/>
      <c r="Q272" s="132"/>
      <c r="R272" s="119"/>
      <c r="S272" s="119"/>
      <c r="T272" s="119"/>
      <c r="U272" s="133" t="str">
        <f>IF([6]回答表!X53="●",[6]回答表!B434,IF([6]回答表!AA53="●",[6]回答表!B465,""))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IF([6]回答表!X53="●",[6]回答表!B440,"")</f>
        <v/>
      </c>
      <c r="AO272" s="262"/>
      <c r="AP272" s="262"/>
      <c r="AQ272" s="262"/>
      <c r="AR272" s="262"/>
      <c r="AS272" s="262"/>
      <c r="AT272" s="262"/>
      <c r="AU272" s="262"/>
      <c r="AV272" s="262"/>
      <c r="AW272" s="262"/>
      <c r="AX272" s="262"/>
      <c r="AY272" s="262"/>
      <c r="AZ272" s="262"/>
      <c r="BA272" s="262"/>
      <c r="BB272" s="263"/>
      <c r="BC272" s="120"/>
      <c r="BD272" s="109"/>
      <c r="BE272" s="109"/>
      <c r="BF272" s="138" t="str">
        <f>IF([6]回答表!X53="●",[6]回答表!B446,IF([6]回答表!AA53="●",[6]回答表!B471,""))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IF([6]回答表!X53="●",[6]回答表!E446,IF([6]回答表!AA53="●",[6]回答表!E471,""))</f>
        <v/>
      </c>
      <c r="BG275" s="151"/>
      <c r="BH275" s="151"/>
      <c r="BI275" s="151"/>
      <c r="BJ275" s="150" t="str">
        <f>IF([6]回答表!X53="●",[6]回答表!E447,IF([6]回答表!AA53="●",[6]回答表!E472,""))</f>
        <v/>
      </c>
      <c r="BK275" s="151"/>
      <c r="BL275" s="151"/>
      <c r="BM275" s="152"/>
      <c r="BN275" s="150" t="str">
        <f>IF([6]回答表!X53="●",[6]回答表!E448,IF([6]回答表!AA53="●",[6]回答表!E473,""))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IF([6]回答表!AA53="●","●","")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IF([6]回答表!X53="●",[6]回答表!E455,IF([6]回答表!AA53="●",[6]回答表!E476,""))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IF([6]回答表!X53="●",[6]回答表!B457,IF([6]回答表!AA53="●",[6]回答表!B478,""))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IF([6]回答表!AD53="●","●","")</f>
        <v/>
      </c>
      <c r="O291" s="131"/>
      <c r="P291" s="131"/>
      <c r="Q291" s="132"/>
      <c r="R291" s="119"/>
      <c r="S291" s="119"/>
      <c r="T291" s="119"/>
      <c r="U291" s="133" t="str">
        <f>IF([6]回答表!AD53="●",[6]回答表!B486,"")</f>
        <v/>
      </c>
      <c r="V291" s="134"/>
      <c r="W291" s="134"/>
      <c r="X291" s="134"/>
      <c r="Y291" s="134"/>
      <c r="Z291" s="134"/>
      <c r="AA291" s="134"/>
      <c r="AB291" s="134"/>
      <c r="AC291" s="134"/>
      <c r="AD291" s="134"/>
      <c r="AE291" s="134"/>
      <c r="AF291" s="134"/>
      <c r="AG291" s="134"/>
      <c r="AH291" s="134"/>
      <c r="AI291" s="134"/>
      <c r="AJ291" s="135"/>
      <c r="AK291" s="249"/>
      <c r="AL291" s="249"/>
      <c r="AM291" s="133" t="str">
        <f>IF([6]回答表!AD53="●",[6]回答表!B492,"")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IF([6]回答表!X54="●","●","")</f>
        <v/>
      </c>
      <c r="O303" s="131"/>
      <c r="P303" s="131"/>
      <c r="Q303" s="132"/>
      <c r="R303" s="119"/>
      <c r="S303" s="119"/>
      <c r="T303" s="119"/>
      <c r="U303" s="133" t="str">
        <f>IF([6]回答表!X54="●",[6]回答表!B503,IF([6]回答表!AA54="●",[6]回答表!B526,""))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IF([6]回答表!X54="●",[6]回答表!BC510,IF([6]回答表!AA54="●",[6]回答表!BC533,""))</f>
        <v/>
      </c>
      <c r="AR303" s="271"/>
      <c r="AS303" s="271"/>
      <c r="AT303" s="271"/>
      <c r="AU303" s="272" t="s">
        <v>74</v>
      </c>
      <c r="AV303" s="273"/>
      <c r="AW303" s="273"/>
      <c r="AX303" s="274"/>
      <c r="AY303" s="271" t="str">
        <f>IF([6]回答表!X54="●",[6]回答表!BC515,IF([6]回答表!AA54="●",[6]回答表!BC538,""))</f>
        <v/>
      </c>
      <c r="AZ303" s="271"/>
      <c r="BA303" s="271"/>
      <c r="BB303" s="271"/>
      <c r="BC303" s="120"/>
      <c r="BD303" s="109"/>
      <c r="BE303" s="109"/>
      <c r="BF303" s="138" t="str">
        <f>IF([6]回答表!X54="●",[6]回答表!S509,IF([6]回答表!AA54="●",[6]回答表!S532,""))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IF([6]回答表!X54="●",[6]回答表!BC511,IF([6]回答表!AA54="●",[6]回答表!BC534,""))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IF([6]回答表!X54="●",[6]回答表!V509,IF([6]回答表!AA54="●",[6]回答表!V532,""))</f>
        <v/>
      </c>
      <c r="BG306" s="151"/>
      <c r="BH306" s="151"/>
      <c r="BI306" s="151"/>
      <c r="BJ306" s="150" t="str">
        <f>IF([6]回答表!X54="●",[6]回答表!V510,IF([6]回答表!AA54="●",[6]回答表!V533,""))</f>
        <v/>
      </c>
      <c r="BK306" s="151"/>
      <c r="BL306" s="151"/>
      <c r="BM306" s="152"/>
      <c r="BN306" s="150" t="str">
        <f>IF([6]回答表!X54="●",[6]回答表!V511,IF([6]回答表!AA54="●",[6]回答表!V534,""))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IF([6]回答表!X54="●",[6]回答表!BC512,IF([6]回答表!AA54="●",[6]回答表!BC535,""))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IF([6]回答表!X54="●",[6]回答表!BC516,IF([6]回答表!AA54="●",[6]回答表!BC539,""))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IF([6]回答表!AA54="●","●","")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IF([6]回答表!X54="●",[6]回答表!BC513,IF([6]回答表!AA54="●",[6]回答表!BC536,""))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IF([6]回答表!X54="●",[6]回答表!BC514,IF([6]回答表!AA54="●",[6]回答表!BC537,""))</f>
        <v/>
      </c>
      <c r="AR311" s="271"/>
      <c r="AS311" s="271"/>
      <c r="AT311" s="271"/>
      <c r="AU311" s="222" t="s">
        <v>80</v>
      </c>
      <c r="AV311" s="223"/>
      <c r="AW311" s="223"/>
      <c r="AX311" s="224"/>
      <c r="AY311" s="281" t="str">
        <f>IF([6]回答表!X54="●",[6]回答表!BC517,IF([6]回答表!AA54="●",[6]回答表!BC540,""))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IF([6]回答表!X54="●",[6]回答表!E516,IF([6]回答表!AA54="●",[6]回答表!E538,""))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IF([6]回答表!X54="●",[6]回答表!B518,IF([6]回答表!AA54="●",[6]回答表!B540,""))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IF([6]回答表!AD54="●","●","")</f>
        <v/>
      </c>
      <c r="O322" s="131"/>
      <c r="P322" s="131"/>
      <c r="Q322" s="132"/>
      <c r="R322" s="119"/>
      <c r="S322" s="119"/>
      <c r="T322" s="119"/>
      <c r="U322" s="133" t="str">
        <f>IF([6]回答表!AD54="●",[6]回答表!B548,"")</f>
        <v/>
      </c>
      <c r="V322" s="134"/>
      <c r="W322" s="134"/>
      <c r="X322" s="134"/>
      <c r="Y322" s="134"/>
      <c r="Z322" s="134"/>
      <c r="AA322" s="134"/>
      <c r="AB322" s="134"/>
      <c r="AC322" s="134"/>
      <c r="AD322" s="134"/>
      <c r="AE322" s="134"/>
      <c r="AF322" s="134"/>
      <c r="AG322" s="134"/>
      <c r="AH322" s="134"/>
      <c r="AI322" s="134"/>
      <c r="AJ322" s="135"/>
      <c r="AK322" s="189"/>
      <c r="AL322" s="189"/>
      <c r="AM322" s="133" t="str">
        <f>IF([6]回答表!AD54="●",[6]回答表!B554,"")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IF([6]回答表!X55="●","●","")</f>
        <v/>
      </c>
      <c r="O333" s="131"/>
      <c r="P333" s="131"/>
      <c r="Q333" s="132"/>
      <c r="R333" s="119"/>
      <c r="S333" s="119"/>
      <c r="T333" s="119"/>
      <c r="U333" s="133" t="str">
        <f>IF([6]回答表!X55="●",[6]回答表!B565,IF([6]回答表!AA55="●",[6]回答表!B590,""))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IF([6]回答表!X55="●",[6]回答表!B575,IF([6]回答表!AA55="●",[6]回答表!B600,""))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IF([6]回答表!X55="●",[6]回答表!G571,IF([6]回答表!AA55="●",[6]回答表!G596,""))</f>
        <v/>
      </c>
      <c r="AN335" s="83"/>
      <c r="AO335" s="83"/>
      <c r="AP335" s="83"/>
      <c r="AQ335" s="83"/>
      <c r="AR335" s="83"/>
      <c r="AS335" s="83"/>
      <c r="AT335" s="153"/>
      <c r="AU335" s="82" t="str">
        <f>IF([6]回答表!X55="●",[6]回答表!G572,IF([6]回答表!AA55="●",[6]回答表!G597,""))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IF([6]回答表!X55="●",[6]回答表!E575,IF([6]回答表!AA55="●",[6]回答表!E600,""))</f>
        <v/>
      </c>
      <c r="BG336" s="151"/>
      <c r="BH336" s="151"/>
      <c r="BI336" s="151"/>
      <c r="BJ336" s="150" t="str">
        <f>IF([6]回答表!X55="●",[6]回答表!E576,IF([6]回答表!AA55="●",[6]回答表!E601,""))</f>
        <v/>
      </c>
      <c r="BK336" s="151"/>
      <c r="BL336" s="151"/>
      <c r="BM336" s="152"/>
      <c r="BN336" s="150" t="str">
        <f>IF([6]回答表!X55="●",[6]回答表!E577,IF([6]回答表!AA55="●",[6]回答表!E602,""))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IF([6]回答表!AA55="●","●","")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IF([6]回答表!X55="●",[6]回答表!E580,IF([6]回答表!AA55="●",[6]回答表!E605,""))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IF([6]回答表!X55="●",[6]回答表!B582,IF([6]回答表!AA55="●",[6]回答表!B607,""))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IF([6]回答表!AD55="●","●","")</f>
        <v/>
      </c>
      <c r="O352" s="131"/>
      <c r="P352" s="131"/>
      <c r="Q352" s="132"/>
      <c r="R352" s="119"/>
      <c r="S352" s="119"/>
      <c r="T352" s="119"/>
      <c r="U352" s="133" t="str">
        <f>IF([6]回答表!AD55="●",[6]回答表!B615,"")</f>
        <v/>
      </c>
      <c r="V352" s="134"/>
      <c r="W352" s="134"/>
      <c r="X352" s="134"/>
      <c r="Y352" s="134"/>
      <c r="Z352" s="134"/>
      <c r="AA352" s="134"/>
      <c r="AB352" s="134"/>
      <c r="AC352" s="134"/>
      <c r="AD352" s="134"/>
      <c r="AE352" s="134"/>
      <c r="AF352" s="134"/>
      <c r="AG352" s="134"/>
      <c r="AH352" s="134"/>
      <c r="AI352" s="134"/>
      <c r="AJ352" s="135"/>
      <c r="AK352" s="136"/>
      <c r="AL352" s="136"/>
      <c r="AM352" s="133" t="str">
        <f>IF([6]回答表!AD55="●",[6]回答表!B621,"")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IF([6]回答表!R56="●",[6]回答表!B634,"")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82F8-455D-4CC5-8C73-2267F251146F}">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IF(COUNTIF([7]回答表!K16,"*")&gt;0,[7]回答表!K16,"")</f>
        <v>由利本荘市</v>
      </c>
      <c r="D11" s="8"/>
      <c r="E11" s="8"/>
      <c r="F11" s="8"/>
      <c r="G11" s="8"/>
      <c r="H11" s="8"/>
      <c r="I11" s="8"/>
      <c r="J11" s="8"/>
      <c r="K11" s="8"/>
      <c r="L11" s="8"/>
      <c r="M11" s="8"/>
      <c r="N11" s="8"/>
      <c r="O11" s="8"/>
      <c r="P11" s="8"/>
      <c r="Q11" s="8"/>
      <c r="R11" s="8"/>
      <c r="S11" s="8"/>
      <c r="T11" s="8"/>
      <c r="U11" s="22" t="str">
        <f>IF(COUNTIF([7]回答表!F18,"*")&gt;0,[7]回答表!F18,"")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IF(COUNTIF([7]回答表!W18,"*")&gt;0,[7]回答表!W18,"")</f>
        <v>指定介護老人福祉施設</v>
      </c>
      <c r="AP11" s="10"/>
      <c r="AQ11" s="10"/>
      <c r="AR11" s="10"/>
      <c r="AS11" s="10"/>
      <c r="AT11" s="10"/>
      <c r="AU11" s="10"/>
      <c r="AV11" s="10"/>
      <c r="AW11" s="10"/>
      <c r="AX11" s="10"/>
      <c r="AY11" s="10"/>
      <c r="AZ11" s="10"/>
      <c r="BA11" s="10"/>
      <c r="BB11" s="10"/>
      <c r="BC11" s="10"/>
      <c r="BD11" s="10"/>
      <c r="BE11" s="10"/>
      <c r="BF11" s="11"/>
      <c r="BG11" s="21" t="str">
        <f>IF(COUNTIF([7]回答表!F20,"*")&gt;0,[7]回答表!F20,"")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IF([7]回答表!R49="●","●","")</f>
        <v/>
      </c>
      <c r="E24" s="80"/>
      <c r="F24" s="80"/>
      <c r="G24" s="80"/>
      <c r="H24" s="80"/>
      <c r="I24" s="80"/>
      <c r="J24" s="81"/>
      <c r="K24" s="79" t="str">
        <f>IF([7]回答表!R50="●","●","")</f>
        <v/>
      </c>
      <c r="L24" s="80"/>
      <c r="M24" s="80"/>
      <c r="N24" s="80"/>
      <c r="O24" s="80"/>
      <c r="P24" s="80"/>
      <c r="Q24" s="81"/>
      <c r="R24" s="79" t="str">
        <f>IF([7]回答表!R51="●","●","")</f>
        <v/>
      </c>
      <c r="S24" s="80"/>
      <c r="T24" s="80"/>
      <c r="U24" s="80"/>
      <c r="V24" s="80"/>
      <c r="W24" s="80"/>
      <c r="X24" s="81"/>
      <c r="Y24" s="79" t="str">
        <f>IF([7]回答表!R52="●","●","")</f>
        <v>●</v>
      </c>
      <c r="Z24" s="80"/>
      <c r="AA24" s="80"/>
      <c r="AB24" s="80"/>
      <c r="AC24" s="80"/>
      <c r="AD24" s="80"/>
      <c r="AE24" s="81"/>
      <c r="AF24" s="79" t="str">
        <f>IF([7]回答表!R53="●","●","")</f>
        <v/>
      </c>
      <c r="AG24" s="80"/>
      <c r="AH24" s="80"/>
      <c r="AI24" s="80"/>
      <c r="AJ24" s="80"/>
      <c r="AK24" s="80"/>
      <c r="AL24" s="81"/>
      <c r="AM24" s="79" t="str">
        <f>IF([7]回答表!R54="●","●","")</f>
        <v/>
      </c>
      <c r="AN24" s="80"/>
      <c r="AO24" s="80"/>
      <c r="AP24" s="80"/>
      <c r="AQ24" s="80"/>
      <c r="AR24" s="80"/>
      <c r="AS24" s="81"/>
      <c r="AT24" s="79" t="str">
        <f>IF([7]回答表!R55="●","●","")</f>
        <v/>
      </c>
      <c r="AU24" s="80"/>
      <c r="AV24" s="80"/>
      <c r="AW24" s="80"/>
      <c r="AX24" s="80"/>
      <c r="AY24" s="80"/>
      <c r="AZ24" s="81"/>
      <c r="BA24" s="68"/>
      <c r="BB24" s="82" t="str">
        <f>IF([7]回答表!R56="●","●","")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IF([7]回答表!X49="●","●","")</f>
        <v/>
      </c>
      <c r="O36" s="131"/>
      <c r="P36" s="131"/>
      <c r="Q36" s="132"/>
      <c r="R36" s="119"/>
      <c r="S36" s="119"/>
      <c r="T36" s="119"/>
      <c r="U36" s="133" t="str">
        <f>IF([7]回答表!X49="●",[7]回答表!B67,IF([7]回答表!AA49="●",[7]回答表!B95,""))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IF([7]回答表!X49="●",[7]回答表!S73,IF([7]回答表!AA49="●",[7]回答表!S101,""))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IF([7]回答表!X49="●",[7]回答表!G73,IF([7]回答表!AA49="●",[7]回答表!G101,""))</f>
        <v/>
      </c>
      <c r="AN38" s="83"/>
      <c r="AO38" s="83"/>
      <c r="AP38" s="83"/>
      <c r="AQ38" s="83"/>
      <c r="AR38" s="83"/>
      <c r="AS38" s="83"/>
      <c r="AT38" s="153"/>
      <c r="AU38" s="82" t="str">
        <f>IF([7]回答表!X49="●",[7]回答表!G74,IF([7]回答表!AA49="●",[7]回答表!G102,""))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IF([7]回答表!X49="●",[7]回答表!V73,IF([7]回答表!AA49="●",[7]回答表!V101,""))</f>
        <v/>
      </c>
      <c r="BG39" s="16"/>
      <c r="BH39" s="16"/>
      <c r="BI39" s="17"/>
      <c r="BJ39" s="150" t="str">
        <f>IF([7]回答表!X49="●",[7]回答表!V74,IF([7]回答表!AA49="●",[7]回答表!V102,""))</f>
        <v/>
      </c>
      <c r="BK39" s="16"/>
      <c r="BL39" s="16"/>
      <c r="BM39" s="17"/>
      <c r="BN39" s="150" t="str">
        <f>IF([7]回答表!X49="●",[7]回答表!V75,IF([7]回答表!AA49="●",[7]回答表!V103,""))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IF([7]回答表!X49="●",[7]回答表!O79,IF([7]回答表!AA49="●",[7]回答表!O107,""))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IF([7]回答表!X49="●",[7]回答表!O80,IF([7]回答表!AA49="●",[7]回答表!O108,""))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IF([7]回答表!AA49="●","●","")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IF([7]回答表!X49="●",[7]回答表!O81,IF([7]回答表!AA49="●",[7]回答表!O109,""))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IF([7]回答表!X49="●",[7]回答表!O82,IF([7]回答表!AA49="●",[7]回答表!O110,""))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IF([7]回答表!X49="●",[7]回答表!AG79,IF([7]回答表!AA49="●",[7]回答表!AG107,""))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IF([7]回答表!X49="●",[7]回答表!AG80,IF([7]回答表!AA49="●",[7]回答表!AG108,""))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IF([7]回答表!X49="●",[7]回答表!E85,IF([7]回答表!AA49="●",[7]回答表!E113,""))</f>
        <v/>
      </c>
      <c r="V50" s="182"/>
      <c r="W50" s="182"/>
      <c r="X50" s="182"/>
      <c r="Y50" s="182"/>
      <c r="Z50" s="182"/>
      <c r="AA50" s="182"/>
      <c r="AB50" s="182"/>
      <c r="AC50" s="182"/>
      <c r="AD50" s="182"/>
      <c r="AE50" s="183" t="s">
        <v>33</v>
      </c>
      <c r="AF50" s="183"/>
      <c r="AG50" s="183"/>
      <c r="AH50" s="183"/>
      <c r="AI50" s="183"/>
      <c r="AJ50" s="184"/>
      <c r="AK50" s="136"/>
      <c r="AL50" s="136"/>
      <c r="AM50" s="133" t="str">
        <f>IF([7]回答表!X49="●",[7]回答表!B87,IF([7]回答表!AA49="●",[7]回答表!B115,""))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IF([7]回答表!AD49="●","●","")</f>
        <v/>
      </c>
      <c r="O57" s="131"/>
      <c r="P57" s="131"/>
      <c r="Q57" s="132"/>
      <c r="R57" s="119"/>
      <c r="S57" s="119"/>
      <c r="T57" s="119"/>
      <c r="U57" s="133" t="str">
        <f>IF([7]回答表!AD49="●",[7]回答表!B123,"")</f>
        <v/>
      </c>
      <c r="V57" s="134"/>
      <c r="W57" s="134"/>
      <c r="X57" s="134"/>
      <c r="Y57" s="134"/>
      <c r="Z57" s="134"/>
      <c r="AA57" s="134"/>
      <c r="AB57" s="134"/>
      <c r="AC57" s="134"/>
      <c r="AD57" s="134"/>
      <c r="AE57" s="134"/>
      <c r="AF57" s="134"/>
      <c r="AG57" s="134"/>
      <c r="AH57" s="134"/>
      <c r="AI57" s="134"/>
      <c r="AJ57" s="135"/>
      <c r="AK57" s="189"/>
      <c r="AL57" s="189"/>
      <c r="AM57" s="133" t="str">
        <f>IF([7]回答表!AD49="●",[7]回答表!B128,"")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IF([7]回答表!X50="●","●","")</f>
        <v/>
      </c>
      <c r="O68" s="131"/>
      <c r="P68" s="131"/>
      <c r="Q68" s="132"/>
      <c r="R68" s="119"/>
      <c r="S68" s="119"/>
      <c r="T68" s="119"/>
      <c r="U68" s="133" t="str">
        <f>IF([7]回答表!X50="●",[7]回答表!B138,IF([7]回答表!AA50="●",[7]回答表!B159,""))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IF([7]回答表!X50="●",[7]回答表!S144,IF([7]回答表!AA50="●",[7]回答表!S165,""))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IF([7]回答表!X50="●",[7]回答表!J144,IF([7]回答表!AA50="●",[7]回答表!J165,""))</f>
        <v/>
      </c>
      <c r="AN71" s="83"/>
      <c r="AO71" s="83"/>
      <c r="AP71" s="83"/>
      <c r="AQ71" s="83"/>
      <c r="AR71" s="83"/>
      <c r="AS71" s="83"/>
      <c r="AT71" s="153"/>
      <c r="AU71" s="82" t="str">
        <f>IF([7]回答表!X50="●",[7]回答表!J145,IF([7]回答表!AA50="●",[7]回答表!J166,""))</f>
        <v/>
      </c>
      <c r="AV71" s="83"/>
      <c r="AW71" s="83"/>
      <c r="AX71" s="83"/>
      <c r="AY71" s="83"/>
      <c r="AZ71" s="83"/>
      <c r="BA71" s="83"/>
      <c r="BB71" s="153"/>
      <c r="BC71" s="120"/>
      <c r="BD71" s="109"/>
      <c r="BE71" s="109"/>
      <c r="BF71" s="150" t="str">
        <f>IF([7]回答表!X50="●",[7]回答表!V144,IF([7]回答表!AA50="●",[7]回答表!V165,""))</f>
        <v/>
      </c>
      <c r="BG71" s="151"/>
      <c r="BH71" s="151"/>
      <c r="BI71" s="151"/>
      <c r="BJ71" s="150" t="str">
        <f>IF([7]回答表!X50="●",[7]回答表!V145,IF([7]回答表!AA50="●",[7]回答表!V166,""))</f>
        <v/>
      </c>
      <c r="BK71" s="151"/>
      <c r="BL71" s="151"/>
      <c r="BM71" s="151"/>
      <c r="BN71" s="150" t="str">
        <f>IF([7]回答表!X50="●",[7]回答表!V146,IF([7]回答表!AA50="●",[7]回答表!V167,""))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IF([7]回答表!AA50="●","●","")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IF([7]回答表!X50="●",[7]回答表!E149,IF([7]回答表!AA50="●",[7]回答表!E170,""))</f>
        <v/>
      </c>
      <c r="V80" s="182"/>
      <c r="W80" s="182"/>
      <c r="X80" s="182"/>
      <c r="Y80" s="182"/>
      <c r="Z80" s="182"/>
      <c r="AA80" s="182"/>
      <c r="AB80" s="182"/>
      <c r="AC80" s="182"/>
      <c r="AD80" s="182"/>
      <c r="AE80" s="183" t="s">
        <v>33</v>
      </c>
      <c r="AF80" s="183"/>
      <c r="AG80" s="183"/>
      <c r="AH80" s="183"/>
      <c r="AI80" s="183"/>
      <c r="AJ80" s="184"/>
      <c r="AK80" s="136"/>
      <c r="AL80" s="136"/>
      <c r="AM80" s="133" t="str">
        <f>IF([7]回答表!X50="●",[7]回答表!B151,IF([7]回答表!AA50="●",[7]回答表!B172,""))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IF([7]回答表!AD50="●","●","")</f>
        <v/>
      </c>
      <c r="O87" s="131"/>
      <c r="P87" s="131"/>
      <c r="Q87" s="132"/>
      <c r="R87" s="119"/>
      <c r="S87" s="119"/>
      <c r="T87" s="119"/>
      <c r="U87" s="133" t="str">
        <f>IF([7]回答表!AD50="●",[7]回答表!B180,"")</f>
        <v/>
      </c>
      <c r="V87" s="134"/>
      <c r="W87" s="134"/>
      <c r="X87" s="134"/>
      <c r="Y87" s="134"/>
      <c r="Z87" s="134"/>
      <c r="AA87" s="134"/>
      <c r="AB87" s="134"/>
      <c r="AC87" s="134"/>
      <c r="AD87" s="134"/>
      <c r="AE87" s="134"/>
      <c r="AF87" s="134"/>
      <c r="AG87" s="134"/>
      <c r="AH87" s="134"/>
      <c r="AI87" s="134"/>
      <c r="AJ87" s="135"/>
      <c r="AK87" s="189"/>
      <c r="AL87" s="189"/>
      <c r="AM87" s="133" t="str">
        <f>IF([7]回答表!AD50="●",[7]回答表!B186,"")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IF([7]回答表!F18="水道事業",IF([7]回答表!X51="●","●",""),"")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IF([7]回答表!F18="水道事業",IF([7]回答表!X51="●",[7]回答表!B197,IF([7]回答表!AA51="●",[7]回答表!B275,"")),"")</f>
        <v/>
      </c>
      <c r="AN99" s="134"/>
      <c r="AO99" s="134"/>
      <c r="AP99" s="134"/>
      <c r="AQ99" s="134"/>
      <c r="AR99" s="134"/>
      <c r="AS99" s="134"/>
      <c r="AT99" s="134"/>
      <c r="AU99" s="134"/>
      <c r="AV99" s="134"/>
      <c r="AW99" s="134"/>
      <c r="AX99" s="134"/>
      <c r="AY99" s="134"/>
      <c r="AZ99" s="134"/>
      <c r="BA99" s="134"/>
      <c r="BB99" s="134"/>
      <c r="BC99" s="135"/>
      <c r="BD99" s="109"/>
      <c r="BE99" s="109"/>
      <c r="BF99" s="138" t="str">
        <f>IF([7]回答表!F18="水道事業",IF([7]回答表!X51="●",[7]回答表!B256,IF([7]回答表!AA51="●",[7]回答表!B335,"")),"")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IF([7]回答表!F18="水道事業",IF([7]回答表!X51="●",[7]回答表!J205,IF([7]回答表!AA51="●",[7]回答表!J283,"")),"")</f>
        <v/>
      </c>
      <c r="V101" s="83"/>
      <c r="W101" s="83"/>
      <c r="X101" s="83"/>
      <c r="Y101" s="83"/>
      <c r="Z101" s="83"/>
      <c r="AA101" s="83"/>
      <c r="AB101" s="153"/>
      <c r="AC101" s="82" t="str">
        <f>IF([7]回答表!F18="水道事業",IF([7]回答表!X51="●",[7]回答表!J210,IF([7]回答表!AA51="●",[7]回答表!J290,"")),"")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IF([7]回答表!F18="水道事業",IF([7]回答表!X51="●",[7]回答表!E256,IF([7]回答表!AA51="●",[7]回答表!E335,"")),"")</f>
        <v/>
      </c>
      <c r="BG102" s="151"/>
      <c r="BH102" s="151"/>
      <c r="BI102" s="151"/>
      <c r="BJ102" s="150" t="str">
        <f>IF([7]回答表!F18="水道事業",IF([7]回答表!X51="●",[7]回答表!E257,IF([7]回答表!AA51="●",[7]回答表!E336,"")),"")</f>
        <v/>
      </c>
      <c r="BK102" s="151"/>
      <c r="BL102" s="151"/>
      <c r="BM102" s="151"/>
      <c r="BN102" s="150" t="str">
        <f>IF([7]回答表!F18="水道事業",IF([7]回答表!X51="●",[7]回答表!E258,IF([7]回答表!AA51="●",[7]回答表!E337,"")),"")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IF([7]回答表!F18="水道事業",IF([7]回答表!AA51="●","●",""),"")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IF([7]回答表!F18="水道事業",IF([7]回答表!X51="●",[7]回答表!J213,IF([7]回答表!AA51="●",[7]回答表!J293,"")),"")</f>
        <v/>
      </c>
      <c r="V106" s="83"/>
      <c r="W106" s="83"/>
      <c r="X106" s="83"/>
      <c r="Y106" s="83"/>
      <c r="Z106" s="83"/>
      <c r="AA106" s="83"/>
      <c r="AB106" s="153"/>
      <c r="AC106" s="82" t="str">
        <f>IF([7]回答表!F18="水道事業",IF([7]回答表!X51="●",[7]回答表!J217,IF([7]回答表!AA51="●",[7]回答表!J297,"")),"")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IF([7]回答表!F18="水道事業",IF([7]回答表!X51="●",[7]回答表!E265,IF([7]回答表!AA51="●",[7]回答表!E344,"")),"")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IF([7]回答表!F18="水道事業",IF([7]回答表!X51="●",[7]回答表!B267,IF([7]回答表!AA51="●",[7]回答表!B346,"")),"")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IF([7]回答表!F18="水道事業",IF([7]回答表!AD51="●","●",""),"")</f>
        <v/>
      </c>
      <c r="O118" s="131"/>
      <c r="P118" s="131"/>
      <c r="Q118" s="132"/>
      <c r="R118" s="119"/>
      <c r="S118" s="119"/>
      <c r="T118" s="119"/>
      <c r="U118" s="133" t="str">
        <f>IF([7]回答表!F18="水道事業",IF([7]回答表!AD51="●",[7]回答表!B354,""),"")</f>
        <v/>
      </c>
      <c r="V118" s="134"/>
      <c r="W118" s="134"/>
      <c r="X118" s="134"/>
      <c r="Y118" s="134"/>
      <c r="Z118" s="134"/>
      <c r="AA118" s="134"/>
      <c r="AB118" s="134"/>
      <c r="AC118" s="134"/>
      <c r="AD118" s="134"/>
      <c r="AE118" s="134"/>
      <c r="AF118" s="134"/>
      <c r="AG118" s="134"/>
      <c r="AH118" s="134"/>
      <c r="AI118" s="134"/>
      <c r="AJ118" s="135"/>
      <c r="AK118" s="189"/>
      <c r="AL118" s="189"/>
      <c r="AM118" s="133" t="str">
        <f>IF([7]回答表!F18="水道事業",IF([7]回答表!AD51="●",[7]回答表!B360,""),"")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IF([7]回答表!F18="簡易水道事業",IF([7]回答表!X51="●",[7]回答表!B197,IF([7]回答表!AA51="●",[7]回答表!B275,"")),"")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IF([7]回答表!F18="簡易水道事業",IF([7]回答表!X51="●",[7]回答表!B256,IF([7]回答表!AA51="●",[7]回答表!B335,"")),"")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IF([7]回答表!F18="簡易水道事業",IF([7]回答表!X51="●","●",""),"")</f>
        <v/>
      </c>
      <c r="O132" s="131"/>
      <c r="P132" s="131"/>
      <c r="Q132" s="132"/>
      <c r="R132" s="119"/>
      <c r="S132" s="119"/>
      <c r="T132" s="119"/>
      <c r="U132" s="82" t="str">
        <f>IF([7]回答表!F18="簡易水道事業",IF([7]回答表!X51="●",[7]回答表!S224,IF([7]回答表!AA51="●",[7]回答表!S304,"")),"")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IF([7]回答表!F18="簡易水道事業",IF([7]回答表!X51="●",[7]回答表!E256,IF([7]回答表!AA51="●",[7]回答表!E335,"")),"")</f>
        <v/>
      </c>
      <c r="BG133" s="151"/>
      <c r="BH133" s="151"/>
      <c r="BI133" s="151"/>
      <c r="BJ133" s="150" t="str">
        <f>IF([7]回答表!F18="簡易水道事業",IF([7]回答表!X51="●",[7]回答表!E257,IF([7]回答表!AA51="●",[7]回答表!E336,"")),"")</f>
        <v/>
      </c>
      <c r="BK133" s="151"/>
      <c r="BL133" s="151"/>
      <c r="BM133" s="151"/>
      <c r="BN133" s="150" t="str">
        <f>IF([7]回答表!F18="簡易水道事業",IF([7]回答表!X51="●",[7]回答表!E258,IF([7]回答表!AA51="●",[7]回答表!E337,"")),"")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IF([7]回答表!F18="簡易水道事業",IF([7]回答表!X51="●",[7]回答表!S225,IF([7]回答表!AA51="●",[7]回答表!S305,"")),"")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IF([7]回答表!F18="簡易水道事業",IF([7]回答表!AA51="●","●",""),"")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IF([7]回答表!F18="簡易水道事業",IF([7]回答表!X51="●",[7]回答表!S226,IF([7]回答表!AA51="●",[7]回答表!S306,"")),"")</f>
        <v/>
      </c>
      <c r="V142" s="83"/>
      <c r="W142" s="83"/>
      <c r="X142" s="83"/>
      <c r="Y142" s="83"/>
      <c r="Z142" s="83"/>
      <c r="AA142" s="83"/>
      <c r="AB142" s="83"/>
      <c r="AC142" s="83"/>
      <c r="AD142" s="83"/>
      <c r="AE142" s="83"/>
      <c r="AF142" s="83"/>
      <c r="AG142" s="83"/>
      <c r="AH142" s="83"/>
      <c r="AI142" s="83"/>
      <c r="AJ142" s="153"/>
      <c r="AK142" s="68"/>
      <c r="AL142" s="68"/>
      <c r="AM142" s="231" t="str">
        <f>IF([7]回答表!F18="簡易水道事業",IF([7]回答表!X51="●",[7]回答表!Y228,IF([7]回答表!AA51="●",[7]回答表!Y308,"")),"")</f>
        <v/>
      </c>
      <c r="AN142" s="231"/>
      <c r="AO142" s="231"/>
      <c r="AP142" s="231"/>
      <c r="AQ142" s="231"/>
      <c r="AR142" s="231"/>
      <c r="AS142" s="231" t="str">
        <f>IF([7]回答表!F18="簡易水道事業",IF([7]回答表!X51="●",[7]回答表!Y229,IF([7]回答表!AA51="●",[7]回答表!Y309,"")),"")</f>
        <v/>
      </c>
      <c r="AT142" s="231"/>
      <c r="AU142" s="231"/>
      <c r="AV142" s="231"/>
      <c r="AW142" s="231"/>
      <c r="AX142" s="231"/>
      <c r="AY142" s="231" t="str">
        <f>IF([7]回答表!F18="簡易水道事業",IF([7]回答表!X51="●",[7]回答表!Y230,IF([7]回答表!AA51="●",[7]回答表!Y310,"")),"")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IF([7]回答表!F18="簡易水道事業",IF([7]回答表!X51="●",[7]回答表!E265,IF([7]回答表!AA51="●",[7]回答表!E344,"")),"")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IF([7]回答表!F18="簡易水道事業",IF([7]回答表!X51="●",[7]回答表!B267,IF([7]回答表!AA51="●",[7]回答表!B346,"")),"")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IF([7]回答表!F18="簡易水道事業",IF([7]回答表!AD51="●","●",""),"")</f>
        <v/>
      </c>
      <c r="O154" s="131"/>
      <c r="P154" s="131"/>
      <c r="Q154" s="132"/>
      <c r="R154" s="119"/>
      <c r="S154" s="119"/>
      <c r="T154" s="119"/>
      <c r="U154" s="133" t="str">
        <f>IF([7]回答表!F18="簡易水道事業",IF([7]回答表!AD51="●",[7]回答表!B354,""),"")</f>
        <v/>
      </c>
      <c r="V154" s="134"/>
      <c r="W154" s="134"/>
      <c r="X154" s="134"/>
      <c r="Y154" s="134"/>
      <c r="Z154" s="134"/>
      <c r="AA154" s="134"/>
      <c r="AB154" s="134"/>
      <c r="AC154" s="134"/>
      <c r="AD154" s="134"/>
      <c r="AE154" s="134"/>
      <c r="AF154" s="134"/>
      <c r="AG154" s="134"/>
      <c r="AH154" s="134"/>
      <c r="AI154" s="134"/>
      <c r="AJ154" s="135"/>
      <c r="AK154" s="189"/>
      <c r="AL154" s="189"/>
      <c r="AM154" s="133" t="str">
        <f>IF([7]回答表!F18="簡易水道事業",IF([7]回答表!AD51="●",[7]回答表!B360,""),"")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IF([7]回答表!F18="下水道事業",IF([7]回答表!X51="●","●",""),"")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IF([7]回答表!F18="下水道事業",IF([7]回答表!X51="●",[7]回答表!B197,IF([7]回答表!AA51="●",[7]回答表!B275,"")),"")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IF([7]回答表!F18="下水道事業",IF([7]回答表!X51="●",[7]回答表!B256,IF([7]回答表!AA51="●",[7]回答表!B335,"")),"")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IF([7]回答表!F18="下水道事業",IF([7]回答表!X51="●",[7]回答表!N234,IF([7]回答表!AA51="●",[7]回答表!N314,"")),"")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IF([7]回答表!F18="下水道事業",IF([7]回答表!X51="●",[7]回答表!E256,IF([7]回答表!AA51="●",[7]回答表!E335,"")),"")</f>
        <v/>
      </c>
      <c r="BG169" s="151"/>
      <c r="BH169" s="151"/>
      <c r="BI169" s="151"/>
      <c r="BJ169" s="150" t="str">
        <f>IF([7]回答表!F18="下水道事業",IF([7]回答表!X51="●",[7]回答表!E257,IF([7]回答表!AA51="●",[7]回答表!E336,"")),"")</f>
        <v/>
      </c>
      <c r="BK169" s="151"/>
      <c r="BL169" s="151"/>
      <c r="BM169" s="151"/>
      <c r="BN169" s="150" t="str">
        <f>IF([7]回答表!F18="下水道事業",IF([7]回答表!X51="●",[7]回答表!E258,IF([7]回答表!AA51="●",[7]回答表!E337,"")),"")</f>
        <v/>
      </c>
      <c r="BO169" s="151"/>
      <c r="BP169" s="151"/>
      <c r="BQ169" s="152"/>
      <c r="BR169" s="112"/>
      <c r="BX169" s="234" t="str">
        <f>IF([7]回答表!AQ21="下水道事業",IF([7]回答表!BI54="○",[7]回答表!AM200,IF([7]回答表!BL54="○",[7]回答表!AM278,"")),"")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IF([7]回答表!F18="下水道事業",IF([7]回答表!X51="●",[7]回答表!Y236,IF([7]回答表!AA51="●",[7]回答表!Y316,"")),"")</f>
        <v/>
      </c>
      <c r="V174" s="83"/>
      <c r="W174" s="83"/>
      <c r="X174" s="83"/>
      <c r="Y174" s="83"/>
      <c r="Z174" s="83"/>
      <c r="AA174" s="83"/>
      <c r="AB174" s="153"/>
      <c r="AC174" s="82" t="str">
        <f>IF([7]回答表!F18="下水道事業",IF([7]回答表!X51="●",[7]回答表!Y237,IF([7]回答表!AA51="●",[7]回答表!Y317,"")),"")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IF([7]回答表!F18="下水道事業",IF([7]回答表!X51="●",[7]回答表!Y239,IF([7]回答表!AA51="●",[7]回答表!Y319,"")),"")</f>
        <v/>
      </c>
      <c r="V180" s="83"/>
      <c r="W180" s="83"/>
      <c r="X180" s="83"/>
      <c r="Y180" s="83"/>
      <c r="Z180" s="83"/>
      <c r="AA180" s="83"/>
      <c r="AB180" s="153"/>
      <c r="AC180" s="82" t="str">
        <f>IF([7]回答表!F18="下水道事業",IF([7]回答表!X51="●",[7]回答表!Y240,IF([7]回答表!AA51="●",[7]回答表!Y320,"")),"")</f>
        <v/>
      </c>
      <c r="AD180" s="83"/>
      <c r="AE180" s="83"/>
      <c r="AF180" s="83"/>
      <c r="AG180" s="83"/>
      <c r="AH180" s="83"/>
      <c r="AI180" s="83"/>
      <c r="AJ180" s="153"/>
      <c r="AK180" s="82" t="str">
        <f>IF([7]回答表!F18="下水道事業",IF([7]回答表!X51="●",[7]回答表!Y241,IF([7]回答表!AA51="●",[7]回答表!Y321,"")),"")</f>
        <v/>
      </c>
      <c r="AL180" s="83"/>
      <c r="AM180" s="83"/>
      <c r="AN180" s="83"/>
      <c r="AO180" s="83"/>
      <c r="AP180" s="83"/>
      <c r="AQ180" s="83"/>
      <c r="AR180" s="153"/>
      <c r="AS180" s="82" t="str">
        <f>IF([7]回答表!F18="下水道事業",IF([7]回答表!X51="●",[7]回答表!Y242,IF([7]回答表!AA51="●",[7]回答表!Y322,"")),"")</f>
        <v/>
      </c>
      <c r="AT180" s="83"/>
      <c r="AU180" s="83"/>
      <c r="AV180" s="83"/>
      <c r="AW180" s="83"/>
      <c r="AX180" s="83"/>
      <c r="AY180" s="83"/>
      <c r="AZ180" s="153"/>
      <c r="BA180" s="82" t="str">
        <f>IF([7]回答表!F18="下水道事業",IF([7]回答表!X51="●",[7]回答表!Y243,IF([7]回答表!AA51="●",[7]回答表!Y323,"")),"")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IF([7]回答表!F18="下水道事業",IF([7]回答表!AA51="●","●",""),"")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IF([7]回答表!F18="下水道事業",IF([7]回答表!X51="●",[7]回答表!N248,IF([7]回答表!AA51="●",[7]回答表!N328,"")),"")</f>
        <v/>
      </c>
      <c r="V186" s="83"/>
      <c r="W186" s="83"/>
      <c r="X186" s="83"/>
      <c r="Y186" s="83"/>
      <c r="Z186" s="83"/>
      <c r="AA186" s="83"/>
      <c r="AB186" s="153"/>
      <c r="AC186" s="82" t="str">
        <f>IF([7]回答表!F18="下水道事業",IF([7]回答表!X51="●",[7]回答表!N249,IF([7]回答表!AA51="●",[7]回答表!N329,"")),"")</f>
        <v/>
      </c>
      <c r="AD186" s="83"/>
      <c r="AE186" s="83"/>
      <c r="AF186" s="83"/>
      <c r="AG186" s="83"/>
      <c r="AH186" s="83"/>
      <c r="AI186" s="83"/>
      <c r="AJ186" s="153"/>
      <c r="AK186" s="82" t="str">
        <f>IF([7]回答表!F18="下水道事業",IF([7]回答表!X51="●",[7]回答表!N250,IF([7]回答表!AA51="●",[7]回答表!N330,"")),"")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IF([7]回答表!F18="下水道事業",IF([7]回答表!X51="●",[7]回答表!E265,IF([7]回答表!AA51="●",[7]回答表!E344,"")),"")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IF([7]回答表!F18="下水道事業",IF([7]回答表!X51="●",[7]回答表!B267,IF([7]回答表!AA51="●",[7]回答表!B346,"")),"")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IF([7]回答表!F18="下水道事業",IF([7]回答表!AD51="●","●",""),"")</f>
        <v/>
      </c>
      <c r="O198" s="131"/>
      <c r="P198" s="131"/>
      <c r="Q198" s="132"/>
      <c r="R198" s="119"/>
      <c r="S198" s="119"/>
      <c r="T198" s="119"/>
      <c r="U198" s="133" t="str">
        <f>IF([7]回答表!F18="下水道事業",IF([7]回答表!AD51="●",[7]回答表!B354,""),"")</f>
        <v/>
      </c>
      <c r="V198" s="134"/>
      <c r="W198" s="134"/>
      <c r="X198" s="134"/>
      <c r="Y198" s="134"/>
      <c r="Z198" s="134"/>
      <c r="AA198" s="134"/>
      <c r="AB198" s="134"/>
      <c r="AC198" s="134"/>
      <c r="AD198" s="134"/>
      <c r="AE198" s="134"/>
      <c r="AF198" s="134"/>
      <c r="AG198" s="134"/>
      <c r="AH198" s="134"/>
      <c r="AI198" s="134"/>
      <c r="AJ198" s="135"/>
      <c r="AK198" s="189"/>
      <c r="AL198" s="189"/>
      <c r="AM198" s="133" t="str">
        <f>IF([7]回答表!F18="下水道事業",IF([7]回答表!AD51="●",[7]回答表!B360,""),"")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IF([7]回答表!BD18="●",IF([7]回答表!X51="●","●",""),"")</f>
        <v/>
      </c>
      <c r="O210" s="131"/>
      <c r="P210" s="131"/>
      <c r="Q210" s="132"/>
      <c r="R210" s="119"/>
      <c r="S210" s="119"/>
      <c r="T210" s="119"/>
      <c r="U210" s="133" t="str">
        <f>IF([7]回答表!BD18="●",IF([7]回答表!X51="●",[7]回答表!B197,IF([7]回答表!AA51="●",[7]回答表!B275,"")),"")</f>
        <v/>
      </c>
      <c r="V210" s="134"/>
      <c r="W210" s="134"/>
      <c r="X210" s="134"/>
      <c r="Y210" s="134"/>
      <c r="Z210" s="134"/>
      <c r="AA210" s="134"/>
      <c r="AB210" s="134"/>
      <c r="AC210" s="134"/>
      <c r="AD210" s="134"/>
      <c r="AE210" s="134"/>
      <c r="AF210" s="134"/>
      <c r="AG210" s="134"/>
      <c r="AH210" s="134"/>
      <c r="AI210" s="134"/>
      <c r="AJ210" s="135"/>
      <c r="AK210" s="136"/>
      <c r="AL210" s="136"/>
      <c r="AM210" s="138" t="str">
        <f>IF([7]回答表!BD18="●",IF([7]回答表!X51="●",[7]回答表!B256,IF([7]回答表!AA51="●",[7]回答表!B335,"")),"")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IF([7]回答表!BD18="●",IF([7]回答表!X51="●",[7]回答表!E256,IF([7]回答表!AA51="●",[7]回答表!E335,"")),"")</f>
        <v/>
      </c>
      <c r="AN213" s="151"/>
      <c r="AO213" s="151"/>
      <c r="AP213" s="151"/>
      <c r="AQ213" s="150" t="str">
        <f>IF([7]回答表!BD18="●",IF([7]回答表!X51="●",[7]回答表!E257,IF([7]回答表!AA51="●",[7]回答表!E336,"")),"")</f>
        <v/>
      </c>
      <c r="AR213" s="151"/>
      <c r="AS213" s="151"/>
      <c r="AT213" s="151"/>
      <c r="AU213" s="150" t="str">
        <f>IF([7]回答表!BD18="●",IF([7]回答表!X51="●",[7]回答表!E258,IF([7]回答表!AA51="●",[7]回答表!E337,"")),"")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IF([7]回答表!BD18="●",IF([7]回答表!AA51="●","●",""),"")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IF([7]回答表!BD18="●",IF([7]回答表!X51="●",[7]回答表!E265,IF([7]回答表!AA51="●",[7]回答表!E344,"")),"")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IF([7]回答表!BD18="●",IF([7]回答表!X51="●",[7]回答表!B267,IF([7]回答表!AA51="●",[7]回答表!B346,"")),"")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IF([7]回答表!BD18="●",IF([7]回答表!AD51="●","●",""),"")</f>
        <v/>
      </c>
      <c r="O229" s="131"/>
      <c r="P229" s="131"/>
      <c r="Q229" s="132"/>
      <c r="R229" s="119"/>
      <c r="S229" s="119"/>
      <c r="T229" s="119"/>
      <c r="U229" s="133" t="str">
        <f>IF([7]回答表!BD18="●",IF([7]回答表!AD51="●",[7]回答表!B354,""),"")</f>
        <v/>
      </c>
      <c r="V229" s="134"/>
      <c r="W229" s="134"/>
      <c r="X229" s="134"/>
      <c r="Y229" s="134"/>
      <c r="Z229" s="134"/>
      <c r="AA229" s="134"/>
      <c r="AB229" s="134"/>
      <c r="AC229" s="134"/>
      <c r="AD229" s="134"/>
      <c r="AE229" s="134"/>
      <c r="AF229" s="134"/>
      <c r="AG229" s="134"/>
      <c r="AH229" s="134"/>
      <c r="AI229" s="134"/>
      <c r="AJ229" s="135"/>
      <c r="AK229" s="249"/>
      <c r="AL229" s="249"/>
      <c r="AM229" s="133" t="str">
        <f>IF([7]回答表!BD18="●",IF([7]回答表!AD51="●",[7]回答表!B360,""),"")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IF([7]回答表!X52="●","●","")</f>
        <v>●</v>
      </c>
      <c r="O241" s="131"/>
      <c r="P241" s="131"/>
      <c r="Q241" s="132"/>
      <c r="R241" s="119"/>
      <c r="S241" s="119"/>
      <c r="T241" s="119"/>
      <c r="U241" s="133" t="str">
        <f>IF([7]回答表!X52="●",[7]回答表!B371,IF([7]回答表!AA52="●",[7]回答表!B396,""))</f>
        <v>市組織のスリム化や財政基盤の確立と共に住民サービスを充実させることを目的とし、行政改革大綱を定めている。
特別養護老人ホーム「鳥寿苑」は、Ｈ28.4.1に指定管理を開始。（Ｈ37年度末まで10年間）
特別養護老人ホーム「東光苑」は、Ｈ29.4.1から指定管理を開始。（Ｈ37年度末まで9年間）</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f>IF([7]回答表!X52="●",[7]回答表!U377,IF([7]回答表!AA52="●",[7]回答表!U402,""))</f>
        <v>0</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IF([7]回答表!X52="●",[7]回答表!G377,IF([7]回答表!AA52="●",[7]回答表!G402,""))</f>
        <v xml:space="preserve"> </v>
      </c>
      <c r="AN244" s="83"/>
      <c r="AO244" s="83"/>
      <c r="AP244" s="83"/>
      <c r="AQ244" s="83"/>
      <c r="AR244" s="83"/>
      <c r="AS244" s="83"/>
      <c r="AT244" s="153"/>
      <c r="AU244" s="82" t="str">
        <f>IF([7]回答表!X52="●",[7]回答表!G378,IF([7]回答表!AA52="●",[7]回答表!G403,""))</f>
        <v>●</v>
      </c>
      <c r="AV244" s="83"/>
      <c r="AW244" s="83"/>
      <c r="AX244" s="83"/>
      <c r="AY244" s="83"/>
      <c r="AZ244" s="83"/>
      <c r="BA244" s="83"/>
      <c r="BB244" s="153"/>
      <c r="BC244" s="120"/>
      <c r="BD244" s="109"/>
      <c r="BE244" s="109"/>
      <c r="BF244" s="150">
        <f>IF([7]回答表!X52="●",[7]回答表!X377,IF([7]回答表!AA52="●",[7]回答表!X402,""))</f>
        <v>28</v>
      </c>
      <c r="BG244" s="151"/>
      <c r="BH244" s="151"/>
      <c r="BI244" s="151"/>
      <c r="BJ244" s="150">
        <f>IF([7]回答表!X52="●",[7]回答表!X378,IF([7]回答表!AA52="●",[7]回答表!X403,""))</f>
        <v>4</v>
      </c>
      <c r="BK244" s="151"/>
      <c r="BL244" s="151"/>
      <c r="BM244" s="152"/>
      <c r="BN244" s="150">
        <f>IF([7]回答表!X52="●",[7]回答表!X379,IF([7]回答表!AA52="●",[7]回答表!X404,""))</f>
        <v>1</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IF([7]回答表!AA52="●","●","")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f>IF([7]回答表!X52="●",[7]回答表!E386,IF([7]回答表!AA52="●",[7]回答表!E407,""))</f>
        <v>251</v>
      </c>
      <c r="V253" s="182"/>
      <c r="W253" s="182"/>
      <c r="X253" s="182"/>
      <c r="Y253" s="182"/>
      <c r="Z253" s="182"/>
      <c r="AA253" s="182"/>
      <c r="AB253" s="182"/>
      <c r="AC253" s="182"/>
      <c r="AD253" s="182"/>
      <c r="AE253" s="183" t="s">
        <v>33</v>
      </c>
      <c r="AF253" s="183"/>
      <c r="AG253" s="183"/>
      <c r="AH253" s="183"/>
      <c r="AI253" s="183"/>
      <c r="AJ253" s="184"/>
      <c r="AK253" s="136"/>
      <c r="AL253" s="136"/>
      <c r="AM253" s="133" t="str">
        <f>IF([7]回答表!X52="●",[7]回答表!B388,IF([7]回答表!AA52="●",[7]回答表!B409,""))</f>
        <v>・人件費　　　年▲218
・維持管理費　年▲33
　　計　　　　　年▲251</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IF([7]回答表!AD52="●","●","")</f>
        <v/>
      </c>
      <c r="O260" s="131"/>
      <c r="P260" s="131"/>
      <c r="Q260" s="132"/>
      <c r="R260" s="119"/>
      <c r="S260" s="119"/>
      <c r="T260" s="119"/>
      <c r="U260" s="133" t="str">
        <f>IF([7]回答表!AD52="●",[7]回答表!B417,"")</f>
        <v/>
      </c>
      <c r="V260" s="134"/>
      <c r="W260" s="134"/>
      <c r="X260" s="134"/>
      <c r="Y260" s="134"/>
      <c r="Z260" s="134"/>
      <c r="AA260" s="134"/>
      <c r="AB260" s="134"/>
      <c r="AC260" s="134"/>
      <c r="AD260" s="134"/>
      <c r="AE260" s="134"/>
      <c r="AF260" s="134"/>
      <c r="AG260" s="134"/>
      <c r="AH260" s="134"/>
      <c r="AI260" s="134"/>
      <c r="AJ260" s="135"/>
      <c r="AK260" s="249"/>
      <c r="AL260" s="249"/>
      <c r="AM260" s="133" t="str">
        <f>IF([7]回答表!AD52="●",[7]回答表!B423,"")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IF([7]回答表!X53="●","●","")</f>
        <v/>
      </c>
      <c r="O272" s="131"/>
      <c r="P272" s="131"/>
      <c r="Q272" s="132"/>
      <c r="R272" s="119"/>
      <c r="S272" s="119"/>
      <c r="T272" s="119"/>
      <c r="U272" s="133" t="str">
        <f>IF([7]回答表!X53="●",[7]回答表!B434,IF([7]回答表!AA53="●",[7]回答表!B465,""))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IF([7]回答表!X53="●",[7]回答表!B440,"")</f>
        <v/>
      </c>
      <c r="AO272" s="262"/>
      <c r="AP272" s="262"/>
      <c r="AQ272" s="262"/>
      <c r="AR272" s="262"/>
      <c r="AS272" s="262"/>
      <c r="AT272" s="262"/>
      <c r="AU272" s="262"/>
      <c r="AV272" s="262"/>
      <c r="AW272" s="262"/>
      <c r="AX272" s="262"/>
      <c r="AY272" s="262"/>
      <c r="AZ272" s="262"/>
      <c r="BA272" s="262"/>
      <c r="BB272" s="263"/>
      <c r="BC272" s="120"/>
      <c r="BD272" s="109"/>
      <c r="BE272" s="109"/>
      <c r="BF272" s="138" t="str">
        <f>IF([7]回答表!X53="●",[7]回答表!B446,IF([7]回答表!AA53="●",[7]回答表!B471,""))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IF([7]回答表!X53="●",[7]回答表!E446,IF([7]回答表!AA53="●",[7]回答表!E471,""))</f>
        <v/>
      </c>
      <c r="BG275" s="151"/>
      <c r="BH275" s="151"/>
      <c r="BI275" s="151"/>
      <c r="BJ275" s="150" t="str">
        <f>IF([7]回答表!X53="●",[7]回答表!E447,IF([7]回答表!AA53="●",[7]回答表!E472,""))</f>
        <v/>
      </c>
      <c r="BK275" s="151"/>
      <c r="BL275" s="151"/>
      <c r="BM275" s="152"/>
      <c r="BN275" s="150" t="str">
        <f>IF([7]回答表!X53="●",[7]回答表!E448,IF([7]回答表!AA53="●",[7]回答表!E473,""))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IF([7]回答表!AA53="●","●","")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IF([7]回答表!X53="●",[7]回答表!E455,IF([7]回答表!AA53="●",[7]回答表!E476,""))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IF([7]回答表!X53="●",[7]回答表!B457,IF([7]回答表!AA53="●",[7]回答表!B478,""))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IF([7]回答表!AD53="●","●","")</f>
        <v/>
      </c>
      <c r="O291" s="131"/>
      <c r="P291" s="131"/>
      <c r="Q291" s="132"/>
      <c r="R291" s="119"/>
      <c r="S291" s="119"/>
      <c r="T291" s="119"/>
      <c r="U291" s="133" t="str">
        <f>IF([7]回答表!AD53="●",[7]回答表!B486,"")</f>
        <v/>
      </c>
      <c r="V291" s="134"/>
      <c r="W291" s="134"/>
      <c r="X291" s="134"/>
      <c r="Y291" s="134"/>
      <c r="Z291" s="134"/>
      <c r="AA291" s="134"/>
      <c r="AB291" s="134"/>
      <c r="AC291" s="134"/>
      <c r="AD291" s="134"/>
      <c r="AE291" s="134"/>
      <c r="AF291" s="134"/>
      <c r="AG291" s="134"/>
      <c r="AH291" s="134"/>
      <c r="AI291" s="134"/>
      <c r="AJ291" s="135"/>
      <c r="AK291" s="249"/>
      <c r="AL291" s="249"/>
      <c r="AM291" s="133" t="str">
        <f>IF([7]回答表!AD53="●",[7]回答表!B492,"")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IF([7]回答表!X54="●","●","")</f>
        <v/>
      </c>
      <c r="O303" s="131"/>
      <c r="P303" s="131"/>
      <c r="Q303" s="132"/>
      <c r="R303" s="119"/>
      <c r="S303" s="119"/>
      <c r="T303" s="119"/>
      <c r="U303" s="133" t="str">
        <f>IF([7]回答表!X54="●",[7]回答表!B503,IF([7]回答表!AA54="●",[7]回答表!B526,""))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IF([7]回答表!X54="●",[7]回答表!BC510,IF([7]回答表!AA54="●",[7]回答表!BC533,""))</f>
        <v/>
      </c>
      <c r="AR303" s="271"/>
      <c r="AS303" s="271"/>
      <c r="AT303" s="271"/>
      <c r="AU303" s="272" t="s">
        <v>74</v>
      </c>
      <c r="AV303" s="273"/>
      <c r="AW303" s="273"/>
      <c r="AX303" s="274"/>
      <c r="AY303" s="271" t="str">
        <f>IF([7]回答表!X54="●",[7]回答表!BC515,IF([7]回答表!AA54="●",[7]回答表!BC538,""))</f>
        <v/>
      </c>
      <c r="AZ303" s="271"/>
      <c r="BA303" s="271"/>
      <c r="BB303" s="271"/>
      <c r="BC303" s="120"/>
      <c r="BD303" s="109"/>
      <c r="BE303" s="109"/>
      <c r="BF303" s="138" t="str">
        <f>IF([7]回答表!X54="●",[7]回答表!S509,IF([7]回答表!AA54="●",[7]回答表!S532,""))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IF([7]回答表!X54="●",[7]回答表!BC511,IF([7]回答表!AA54="●",[7]回答表!BC534,""))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IF([7]回答表!X54="●",[7]回答表!V509,IF([7]回答表!AA54="●",[7]回答表!V532,""))</f>
        <v/>
      </c>
      <c r="BG306" s="151"/>
      <c r="BH306" s="151"/>
      <c r="BI306" s="151"/>
      <c r="BJ306" s="150" t="str">
        <f>IF([7]回答表!X54="●",[7]回答表!V510,IF([7]回答表!AA54="●",[7]回答表!V533,""))</f>
        <v/>
      </c>
      <c r="BK306" s="151"/>
      <c r="BL306" s="151"/>
      <c r="BM306" s="152"/>
      <c r="BN306" s="150" t="str">
        <f>IF([7]回答表!X54="●",[7]回答表!V511,IF([7]回答表!AA54="●",[7]回答表!V534,""))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IF([7]回答表!X54="●",[7]回答表!BC512,IF([7]回答表!AA54="●",[7]回答表!BC535,""))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IF([7]回答表!X54="●",[7]回答表!BC516,IF([7]回答表!AA54="●",[7]回答表!BC539,""))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IF([7]回答表!AA54="●","●","")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IF([7]回答表!X54="●",[7]回答表!BC513,IF([7]回答表!AA54="●",[7]回答表!BC536,""))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IF([7]回答表!X54="●",[7]回答表!BC514,IF([7]回答表!AA54="●",[7]回答表!BC537,""))</f>
        <v/>
      </c>
      <c r="AR311" s="271"/>
      <c r="AS311" s="271"/>
      <c r="AT311" s="271"/>
      <c r="AU311" s="222" t="s">
        <v>80</v>
      </c>
      <c r="AV311" s="223"/>
      <c r="AW311" s="223"/>
      <c r="AX311" s="224"/>
      <c r="AY311" s="281" t="str">
        <f>IF([7]回答表!X54="●",[7]回答表!BC517,IF([7]回答表!AA54="●",[7]回答表!BC540,""))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IF([7]回答表!X54="●",[7]回答表!E516,IF([7]回答表!AA54="●",[7]回答表!E538,""))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IF([7]回答表!X54="●",[7]回答表!B518,IF([7]回答表!AA54="●",[7]回答表!B540,""))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IF([7]回答表!AD54="●","●","")</f>
        <v/>
      </c>
      <c r="O322" s="131"/>
      <c r="P322" s="131"/>
      <c r="Q322" s="132"/>
      <c r="R322" s="119"/>
      <c r="S322" s="119"/>
      <c r="T322" s="119"/>
      <c r="U322" s="133" t="str">
        <f>IF([7]回答表!AD54="●",[7]回答表!B548,"")</f>
        <v/>
      </c>
      <c r="V322" s="134"/>
      <c r="W322" s="134"/>
      <c r="X322" s="134"/>
      <c r="Y322" s="134"/>
      <c r="Z322" s="134"/>
      <c r="AA322" s="134"/>
      <c r="AB322" s="134"/>
      <c r="AC322" s="134"/>
      <c r="AD322" s="134"/>
      <c r="AE322" s="134"/>
      <c r="AF322" s="134"/>
      <c r="AG322" s="134"/>
      <c r="AH322" s="134"/>
      <c r="AI322" s="134"/>
      <c r="AJ322" s="135"/>
      <c r="AK322" s="189"/>
      <c r="AL322" s="189"/>
      <c r="AM322" s="133" t="str">
        <f>IF([7]回答表!AD54="●",[7]回答表!B554,"")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IF([7]回答表!X55="●","●","")</f>
        <v/>
      </c>
      <c r="O333" s="131"/>
      <c r="P333" s="131"/>
      <c r="Q333" s="132"/>
      <c r="R333" s="119"/>
      <c r="S333" s="119"/>
      <c r="T333" s="119"/>
      <c r="U333" s="133" t="str">
        <f>IF([7]回答表!X55="●",[7]回答表!B565,IF([7]回答表!AA55="●",[7]回答表!B590,""))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IF([7]回答表!X55="●",[7]回答表!B575,IF([7]回答表!AA55="●",[7]回答表!B600,""))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IF([7]回答表!X55="●",[7]回答表!G571,IF([7]回答表!AA55="●",[7]回答表!G596,""))</f>
        <v/>
      </c>
      <c r="AN335" s="83"/>
      <c r="AO335" s="83"/>
      <c r="AP335" s="83"/>
      <c r="AQ335" s="83"/>
      <c r="AR335" s="83"/>
      <c r="AS335" s="83"/>
      <c r="AT335" s="153"/>
      <c r="AU335" s="82" t="str">
        <f>IF([7]回答表!X55="●",[7]回答表!G572,IF([7]回答表!AA55="●",[7]回答表!G597,""))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IF([7]回答表!X55="●",[7]回答表!E575,IF([7]回答表!AA55="●",[7]回答表!E600,""))</f>
        <v/>
      </c>
      <c r="BG336" s="151"/>
      <c r="BH336" s="151"/>
      <c r="BI336" s="151"/>
      <c r="BJ336" s="150" t="str">
        <f>IF([7]回答表!X55="●",[7]回答表!E576,IF([7]回答表!AA55="●",[7]回答表!E601,""))</f>
        <v/>
      </c>
      <c r="BK336" s="151"/>
      <c r="BL336" s="151"/>
      <c r="BM336" s="152"/>
      <c r="BN336" s="150" t="str">
        <f>IF([7]回答表!X55="●",[7]回答表!E577,IF([7]回答表!AA55="●",[7]回答表!E602,""))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IF([7]回答表!AA55="●","●","")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IF([7]回答表!X55="●",[7]回答表!E580,IF([7]回答表!AA55="●",[7]回答表!E605,""))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IF([7]回答表!X55="●",[7]回答表!B582,IF([7]回答表!AA55="●",[7]回答表!B607,""))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IF([7]回答表!AD55="●","●","")</f>
        <v/>
      </c>
      <c r="O352" s="131"/>
      <c r="P352" s="131"/>
      <c r="Q352" s="132"/>
      <c r="R352" s="119"/>
      <c r="S352" s="119"/>
      <c r="T352" s="119"/>
      <c r="U352" s="133" t="str">
        <f>IF([7]回答表!AD55="●",[7]回答表!B615,"")</f>
        <v/>
      </c>
      <c r="V352" s="134"/>
      <c r="W352" s="134"/>
      <c r="X352" s="134"/>
      <c r="Y352" s="134"/>
      <c r="Z352" s="134"/>
      <c r="AA352" s="134"/>
      <c r="AB352" s="134"/>
      <c r="AC352" s="134"/>
      <c r="AD352" s="134"/>
      <c r="AE352" s="134"/>
      <c r="AF352" s="134"/>
      <c r="AG352" s="134"/>
      <c r="AH352" s="134"/>
      <c r="AI352" s="134"/>
      <c r="AJ352" s="135"/>
      <c r="AK352" s="136"/>
      <c r="AL352" s="136"/>
      <c r="AM352" s="133" t="str">
        <f>IF([7]回答表!AD55="●",[7]回答表!B621,"")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IF([7]回答表!R56="●",[7]回答表!B634,"")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3D43-1B8F-4229-936E-B0867E1C1C36}">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IF(COUNTIF([8]回答表!K16,"*")&gt;0,[8]回答表!K16,"")</f>
        <v>由利本荘市</v>
      </c>
      <c r="D11" s="8"/>
      <c r="E11" s="8"/>
      <c r="F11" s="8"/>
      <c r="G11" s="8"/>
      <c r="H11" s="8"/>
      <c r="I11" s="8"/>
      <c r="J11" s="8"/>
      <c r="K11" s="8"/>
      <c r="L11" s="8"/>
      <c r="M11" s="8"/>
      <c r="N11" s="8"/>
      <c r="O11" s="8"/>
      <c r="P11" s="8"/>
      <c r="Q11" s="8"/>
      <c r="R11" s="8"/>
      <c r="S11" s="8"/>
      <c r="T11" s="8"/>
      <c r="U11" s="22" t="str">
        <f>IF(COUNTIF([8]回答表!F18,"*")&gt;0,[8]回答表!F18,"")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IF(COUNTIF([8]回答表!W18,"*")&gt;0,[8]回答表!W18,"")</f>
        <v>農業集落排水施設</v>
      </c>
      <c r="AP11" s="10"/>
      <c r="AQ11" s="10"/>
      <c r="AR11" s="10"/>
      <c r="AS11" s="10"/>
      <c r="AT11" s="10"/>
      <c r="AU11" s="10"/>
      <c r="AV11" s="10"/>
      <c r="AW11" s="10"/>
      <c r="AX11" s="10"/>
      <c r="AY11" s="10"/>
      <c r="AZ11" s="10"/>
      <c r="BA11" s="10"/>
      <c r="BB11" s="10"/>
      <c r="BC11" s="10"/>
      <c r="BD11" s="10"/>
      <c r="BE11" s="10"/>
      <c r="BF11" s="11"/>
      <c r="BG11" s="21" t="str">
        <f>IF(COUNTIF([8]回答表!F20,"*")&gt;0,[8]回答表!F20,"")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IF([8]回答表!R49="●","●","")</f>
        <v/>
      </c>
      <c r="E24" s="80"/>
      <c r="F24" s="80"/>
      <c r="G24" s="80"/>
      <c r="H24" s="80"/>
      <c r="I24" s="80"/>
      <c r="J24" s="81"/>
      <c r="K24" s="79" t="str">
        <f>IF([8]回答表!R50="●","●","")</f>
        <v/>
      </c>
      <c r="L24" s="80"/>
      <c r="M24" s="80"/>
      <c r="N24" s="80"/>
      <c r="O24" s="80"/>
      <c r="P24" s="80"/>
      <c r="Q24" s="81"/>
      <c r="R24" s="79" t="str">
        <f>IF([8]回答表!R51="●","●","")</f>
        <v>●</v>
      </c>
      <c r="S24" s="80"/>
      <c r="T24" s="80"/>
      <c r="U24" s="80"/>
      <c r="V24" s="80"/>
      <c r="W24" s="80"/>
      <c r="X24" s="81"/>
      <c r="Y24" s="79" t="str">
        <f>IF([8]回答表!R52="●","●","")</f>
        <v/>
      </c>
      <c r="Z24" s="80"/>
      <c r="AA24" s="80"/>
      <c r="AB24" s="80"/>
      <c r="AC24" s="80"/>
      <c r="AD24" s="80"/>
      <c r="AE24" s="81"/>
      <c r="AF24" s="79" t="str">
        <f>IF([8]回答表!R53="●","●","")</f>
        <v/>
      </c>
      <c r="AG24" s="80"/>
      <c r="AH24" s="80"/>
      <c r="AI24" s="80"/>
      <c r="AJ24" s="80"/>
      <c r="AK24" s="80"/>
      <c r="AL24" s="81"/>
      <c r="AM24" s="79" t="str">
        <f>IF([8]回答表!R54="●","●","")</f>
        <v/>
      </c>
      <c r="AN24" s="80"/>
      <c r="AO24" s="80"/>
      <c r="AP24" s="80"/>
      <c r="AQ24" s="80"/>
      <c r="AR24" s="80"/>
      <c r="AS24" s="81"/>
      <c r="AT24" s="79" t="str">
        <f>IF([8]回答表!R55="●","●","")</f>
        <v/>
      </c>
      <c r="AU24" s="80"/>
      <c r="AV24" s="80"/>
      <c r="AW24" s="80"/>
      <c r="AX24" s="80"/>
      <c r="AY24" s="80"/>
      <c r="AZ24" s="81"/>
      <c r="BA24" s="68"/>
      <c r="BB24" s="82" t="str">
        <f>IF([8]回答表!R56="●","●","")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IF([8]回答表!X49="●","●","")</f>
        <v/>
      </c>
      <c r="O36" s="131"/>
      <c r="P36" s="131"/>
      <c r="Q36" s="132"/>
      <c r="R36" s="119"/>
      <c r="S36" s="119"/>
      <c r="T36" s="119"/>
      <c r="U36" s="133" t="str">
        <f>IF([8]回答表!X49="●",[8]回答表!B67,IF([8]回答表!AA49="●",[8]回答表!B95,""))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IF([8]回答表!X49="●",[8]回答表!S73,IF([8]回答表!AA49="●",[8]回答表!S101,""))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IF([8]回答表!X49="●",[8]回答表!G73,IF([8]回答表!AA49="●",[8]回答表!G101,""))</f>
        <v/>
      </c>
      <c r="AN38" s="83"/>
      <c r="AO38" s="83"/>
      <c r="AP38" s="83"/>
      <c r="AQ38" s="83"/>
      <c r="AR38" s="83"/>
      <c r="AS38" s="83"/>
      <c r="AT38" s="153"/>
      <c r="AU38" s="82" t="str">
        <f>IF([8]回答表!X49="●",[8]回答表!G74,IF([8]回答表!AA49="●",[8]回答表!G102,""))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IF([8]回答表!X49="●",[8]回答表!V73,IF([8]回答表!AA49="●",[8]回答表!V101,""))</f>
        <v/>
      </c>
      <c r="BG39" s="16"/>
      <c r="BH39" s="16"/>
      <c r="BI39" s="17"/>
      <c r="BJ39" s="150" t="str">
        <f>IF([8]回答表!X49="●",[8]回答表!V74,IF([8]回答表!AA49="●",[8]回答表!V102,""))</f>
        <v/>
      </c>
      <c r="BK39" s="16"/>
      <c r="BL39" s="16"/>
      <c r="BM39" s="17"/>
      <c r="BN39" s="150" t="str">
        <f>IF([8]回答表!X49="●",[8]回答表!V75,IF([8]回答表!AA49="●",[8]回答表!V103,""))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IF([8]回答表!X49="●",[8]回答表!O79,IF([8]回答表!AA49="●",[8]回答表!O107,""))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IF([8]回答表!X49="●",[8]回答表!O80,IF([8]回答表!AA49="●",[8]回答表!O108,""))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IF([8]回答表!AA49="●","●","")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IF([8]回答表!X49="●",[8]回答表!O81,IF([8]回答表!AA49="●",[8]回答表!O109,""))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IF([8]回答表!X49="●",[8]回答表!O82,IF([8]回答表!AA49="●",[8]回答表!O110,""))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IF([8]回答表!X49="●",[8]回答表!AG79,IF([8]回答表!AA49="●",[8]回答表!AG107,""))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IF([8]回答表!X49="●",[8]回答表!AG80,IF([8]回答表!AA49="●",[8]回答表!AG108,""))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IF([8]回答表!X49="●",[8]回答表!E85,IF([8]回答表!AA49="●",[8]回答表!E113,""))</f>
        <v/>
      </c>
      <c r="V50" s="182"/>
      <c r="W50" s="182"/>
      <c r="X50" s="182"/>
      <c r="Y50" s="182"/>
      <c r="Z50" s="182"/>
      <c r="AA50" s="182"/>
      <c r="AB50" s="182"/>
      <c r="AC50" s="182"/>
      <c r="AD50" s="182"/>
      <c r="AE50" s="183" t="s">
        <v>33</v>
      </c>
      <c r="AF50" s="183"/>
      <c r="AG50" s="183"/>
      <c r="AH50" s="183"/>
      <c r="AI50" s="183"/>
      <c r="AJ50" s="184"/>
      <c r="AK50" s="136"/>
      <c r="AL50" s="136"/>
      <c r="AM50" s="133" t="str">
        <f>IF([8]回答表!X49="●",[8]回答表!B87,IF([8]回答表!AA49="●",[8]回答表!B115,""))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IF([8]回答表!AD49="●","●","")</f>
        <v/>
      </c>
      <c r="O57" s="131"/>
      <c r="P57" s="131"/>
      <c r="Q57" s="132"/>
      <c r="R57" s="119"/>
      <c r="S57" s="119"/>
      <c r="T57" s="119"/>
      <c r="U57" s="133" t="str">
        <f>IF([8]回答表!AD49="●",[8]回答表!B123,"")</f>
        <v/>
      </c>
      <c r="V57" s="134"/>
      <c r="W57" s="134"/>
      <c r="X57" s="134"/>
      <c r="Y57" s="134"/>
      <c r="Z57" s="134"/>
      <c r="AA57" s="134"/>
      <c r="AB57" s="134"/>
      <c r="AC57" s="134"/>
      <c r="AD57" s="134"/>
      <c r="AE57" s="134"/>
      <c r="AF57" s="134"/>
      <c r="AG57" s="134"/>
      <c r="AH57" s="134"/>
      <c r="AI57" s="134"/>
      <c r="AJ57" s="135"/>
      <c r="AK57" s="189"/>
      <c r="AL57" s="189"/>
      <c r="AM57" s="133" t="str">
        <f>IF([8]回答表!AD49="●",[8]回答表!B128,"")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IF([8]回答表!X50="●","●","")</f>
        <v/>
      </c>
      <c r="O68" s="131"/>
      <c r="P68" s="131"/>
      <c r="Q68" s="132"/>
      <c r="R68" s="119"/>
      <c r="S68" s="119"/>
      <c r="T68" s="119"/>
      <c r="U68" s="133" t="str">
        <f>IF([8]回答表!X50="●",[8]回答表!B138,IF([8]回答表!AA50="●",[8]回答表!B159,""))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IF([8]回答表!X50="●",[8]回答表!S144,IF([8]回答表!AA50="●",[8]回答表!S165,""))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IF([8]回答表!X50="●",[8]回答表!J144,IF([8]回答表!AA50="●",[8]回答表!J165,""))</f>
        <v/>
      </c>
      <c r="AN71" s="83"/>
      <c r="AO71" s="83"/>
      <c r="AP71" s="83"/>
      <c r="AQ71" s="83"/>
      <c r="AR71" s="83"/>
      <c r="AS71" s="83"/>
      <c r="AT71" s="153"/>
      <c r="AU71" s="82" t="str">
        <f>IF([8]回答表!X50="●",[8]回答表!J145,IF([8]回答表!AA50="●",[8]回答表!J166,""))</f>
        <v/>
      </c>
      <c r="AV71" s="83"/>
      <c r="AW71" s="83"/>
      <c r="AX71" s="83"/>
      <c r="AY71" s="83"/>
      <c r="AZ71" s="83"/>
      <c r="BA71" s="83"/>
      <c r="BB71" s="153"/>
      <c r="BC71" s="120"/>
      <c r="BD71" s="109"/>
      <c r="BE71" s="109"/>
      <c r="BF71" s="150" t="str">
        <f>IF([8]回答表!X50="●",[8]回答表!V144,IF([8]回答表!AA50="●",[8]回答表!V165,""))</f>
        <v/>
      </c>
      <c r="BG71" s="151"/>
      <c r="BH71" s="151"/>
      <c r="BI71" s="151"/>
      <c r="BJ71" s="150" t="str">
        <f>IF([8]回答表!X50="●",[8]回答表!V145,IF([8]回答表!AA50="●",[8]回答表!V166,""))</f>
        <v/>
      </c>
      <c r="BK71" s="151"/>
      <c r="BL71" s="151"/>
      <c r="BM71" s="151"/>
      <c r="BN71" s="150" t="str">
        <f>IF([8]回答表!X50="●",[8]回答表!V146,IF([8]回答表!AA50="●",[8]回答表!V167,""))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IF([8]回答表!AA50="●","●","")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IF([8]回答表!X50="●",[8]回答表!E149,IF([8]回答表!AA50="●",[8]回答表!E170,""))</f>
        <v/>
      </c>
      <c r="V80" s="182"/>
      <c r="W80" s="182"/>
      <c r="X80" s="182"/>
      <c r="Y80" s="182"/>
      <c r="Z80" s="182"/>
      <c r="AA80" s="182"/>
      <c r="AB80" s="182"/>
      <c r="AC80" s="182"/>
      <c r="AD80" s="182"/>
      <c r="AE80" s="183" t="s">
        <v>33</v>
      </c>
      <c r="AF80" s="183"/>
      <c r="AG80" s="183"/>
      <c r="AH80" s="183"/>
      <c r="AI80" s="183"/>
      <c r="AJ80" s="184"/>
      <c r="AK80" s="136"/>
      <c r="AL80" s="136"/>
      <c r="AM80" s="133" t="str">
        <f>IF([8]回答表!X50="●",[8]回答表!B151,IF([8]回答表!AA50="●",[8]回答表!B172,""))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IF([8]回答表!AD50="●","●","")</f>
        <v/>
      </c>
      <c r="O87" s="131"/>
      <c r="P87" s="131"/>
      <c r="Q87" s="132"/>
      <c r="R87" s="119"/>
      <c r="S87" s="119"/>
      <c r="T87" s="119"/>
      <c r="U87" s="133" t="str">
        <f>IF([8]回答表!AD50="●",[8]回答表!B180,"")</f>
        <v/>
      </c>
      <c r="V87" s="134"/>
      <c r="W87" s="134"/>
      <c r="X87" s="134"/>
      <c r="Y87" s="134"/>
      <c r="Z87" s="134"/>
      <c r="AA87" s="134"/>
      <c r="AB87" s="134"/>
      <c r="AC87" s="134"/>
      <c r="AD87" s="134"/>
      <c r="AE87" s="134"/>
      <c r="AF87" s="134"/>
      <c r="AG87" s="134"/>
      <c r="AH87" s="134"/>
      <c r="AI87" s="134"/>
      <c r="AJ87" s="135"/>
      <c r="AK87" s="189"/>
      <c r="AL87" s="189"/>
      <c r="AM87" s="133" t="str">
        <f>IF([8]回答表!AD50="●",[8]回答表!B186,"")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IF([8]回答表!F18="水道事業",IF([8]回答表!X51="●","●",""),"")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IF([8]回答表!F18="水道事業",IF([8]回答表!X51="●",[8]回答表!B197,IF([8]回答表!AA51="●",[8]回答表!B275,"")),"")</f>
        <v/>
      </c>
      <c r="AN99" s="134"/>
      <c r="AO99" s="134"/>
      <c r="AP99" s="134"/>
      <c r="AQ99" s="134"/>
      <c r="AR99" s="134"/>
      <c r="AS99" s="134"/>
      <c r="AT99" s="134"/>
      <c r="AU99" s="134"/>
      <c r="AV99" s="134"/>
      <c r="AW99" s="134"/>
      <c r="AX99" s="134"/>
      <c r="AY99" s="134"/>
      <c r="AZ99" s="134"/>
      <c r="BA99" s="134"/>
      <c r="BB99" s="134"/>
      <c r="BC99" s="135"/>
      <c r="BD99" s="109"/>
      <c r="BE99" s="109"/>
      <c r="BF99" s="138" t="str">
        <f>IF([8]回答表!F18="水道事業",IF([8]回答表!X51="●",[8]回答表!B256,IF([8]回答表!AA51="●",[8]回答表!B335,"")),"")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IF([8]回答表!F18="水道事業",IF([8]回答表!X51="●",[8]回答表!J205,IF([8]回答表!AA51="●",[8]回答表!J283,"")),"")</f>
        <v/>
      </c>
      <c r="V101" s="83"/>
      <c r="W101" s="83"/>
      <c r="X101" s="83"/>
      <c r="Y101" s="83"/>
      <c r="Z101" s="83"/>
      <c r="AA101" s="83"/>
      <c r="AB101" s="153"/>
      <c r="AC101" s="82" t="str">
        <f>IF([8]回答表!F18="水道事業",IF([8]回答表!X51="●",[8]回答表!J210,IF([8]回答表!AA51="●",[8]回答表!J290,"")),"")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IF([8]回答表!F18="水道事業",IF([8]回答表!X51="●",[8]回答表!E256,IF([8]回答表!AA51="●",[8]回答表!E335,"")),"")</f>
        <v/>
      </c>
      <c r="BG102" s="151"/>
      <c r="BH102" s="151"/>
      <c r="BI102" s="151"/>
      <c r="BJ102" s="150" t="str">
        <f>IF([8]回答表!F18="水道事業",IF([8]回答表!X51="●",[8]回答表!E257,IF([8]回答表!AA51="●",[8]回答表!E336,"")),"")</f>
        <v/>
      </c>
      <c r="BK102" s="151"/>
      <c r="BL102" s="151"/>
      <c r="BM102" s="151"/>
      <c r="BN102" s="150" t="str">
        <f>IF([8]回答表!F18="水道事業",IF([8]回答表!X51="●",[8]回答表!E258,IF([8]回答表!AA51="●",[8]回答表!E337,"")),"")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IF([8]回答表!F18="水道事業",IF([8]回答表!AA51="●","●",""),"")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IF([8]回答表!F18="水道事業",IF([8]回答表!X51="●",[8]回答表!J213,IF([8]回答表!AA51="●",[8]回答表!J293,"")),"")</f>
        <v/>
      </c>
      <c r="V106" s="83"/>
      <c r="W106" s="83"/>
      <c r="X106" s="83"/>
      <c r="Y106" s="83"/>
      <c r="Z106" s="83"/>
      <c r="AA106" s="83"/>
      <c r="AB106" s="153"/>
      <c r="AC106" s="82" t="str">
        <f>IF([8]回答表!F18="水道事業",IF([8]回答表!X51="●",[8]回答表!J217,IF([8]回答表!AA51="●",[8]回答表!J297,"")),"")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IF([8]回答表!F18="水道事業",IF([8]回答表!X51="●",[8]回答表!E265,IF([8]回答表!AA51="●",[8]回答表!E344,"")),"")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IF([8]回答表!F18="水道事業",IF([8]回答表!X51="●",[8]回答表!B267,IF([8]回答表!AA51="●",[8]回答表!B346,"")),"")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IF([8]回答表!F18="水道事業",IF([8]回答表!AD51="●","●",""),"")</f>
        <v/>
      </c>
      <c r="O118" s="131"/>
      <c r="P118" s="131"/>
      <c r="Q118" s="132"/>
      <c r="R118" s="119"/>
      <c r="S118" s="119"/>
      <c r="T118" s="119"/>
      <c r="U118" s="133" t="str">
        <f>IF([8]回答表!F18="水道事業",IF([8]回答表!AD51="●",[8]回答表!B354,""),"")</f>
        <v/>
      </c>
      <c r="V118" s="134"/>
      <c r="W118" s="134"/>
      <c r="X118" s="134"/>
      <c r="Y118" s="134"/>
      <c r="Z118" s="134"/>
      <c r="AA118" s="134"/>
      <c r="AB118" s="134"/>
      <c r="AC118" s="134"/>
      <c r="AD118" s="134"/>
      <c r="AE118" s="134"/>
      <c r="AF118" s="134"/>
      <c r="AG118" s="134"/>
      <c r="AH118" s="134"/>
      <c r="AI118" s="134"/>
      <c r="AJ118" s="135"/>
      <c r="AK118" s="189"/>
      <c r="AL118" s="189"/>
      <c r="AM118" s="133" t="str">
        <f>IF([8]回答表!F18="水道事業",IF([8]回答表!AD51="●",[8]回答表!B360,""),"")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IF([8]回答表!F18="簡易水道事業",IF([8]回答表!X51="●",[8]回答表!B197,IF([8]回答表!AA51="●",[8]回答表!B275,"")),"")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IF([8]回答表!F18="簡易水道事業",IF([8]回答表!X51="●",[8]回答表!B256,IF([8]回答表!AA51="●",[8]回答表!B335,"")),"")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IF([8]回答表!F18="簡易水道事業",IF([8]回答表!X51="●","●",""),"")</f>
        <v/>
      </c>
      <c r="O132" s="131"/>
      <c r="P132" s="131"/>
      <c r="Q132" s="132"/>
      <c r="R132" s="119"/>
      <c r="S132" s="119"/>
      <c r="T132" s="119"/>
      <c r="U132" s="82" t="str">
        <f>IF([8]回答表!F18="簡易水道事業",IF([8]回答表!X51="●",[8]回答表!S224,IF([8]回答表!AA51="●",[8]回答表!S304,"")),"")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IF([8]回答表!F18="簡易水道事業",IF([8]回答表!X51="●",[8]回答表!E256,IF([8]回答表!AA51="●",[8]回答表!E335,"")),"")</f>
        <v/>
      </c>
      <c r="BG133" s="151"/>
      <c r="BH133" s="151"/>
      <c r="BI133" s="151"/>
      <c r="BJ133" s="150" t="str">
        <f>IF([8]回答表!F18="簡易水道事業",IF([8]回答表!X51="●",[8]回答表!E257,IF([8]回答表!AA51="●",[8]回答表!E336,"")),"")</f>
        <v/>
      </c>
      <c r="BK133" s="151"/>
      <c r="BL133" s="151"/>
      <c r="BM133" s="151"/>
      <c r="BN133" s="150" t="str">
        <f>IF([8]回答表!F18="簡易水道事業",IF([8]回答表!X51="●",[8]回答表!E258,IF([8]回答表!AA51="●",[8]回答表!E337,"")),"")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IF([8]回答表!F18="簡易水道事業",IF([8]回答表!X51="●",[8]回答表!S225,IF([8]回答表!AA51="●",[8]回答表!S305,"")),"")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IF([8]回答表!F18="簡易水道事業",IF([8]回答表!AA51="●","●",""),"")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IF([8]回答表!F18="簡易水道事業",IF([8]回答表!X51="●",[8]回答表!S226,IF([8]回答表!AA51="●",[8]回答表!S306,"")),"")</f>
        <v/>
      </c>
      <c r="V142" s="83"/>
      <c r="W142" s="83"/>
      <c r="X142" s="83"/>
      <c r="Y142" s="83"/>
      <c r="Z142" s="83"/>
      <c r="AA142" s="83"/>
      <c r="AB142" s="83"/>
      <c r="AC142" s="83"/>
      <c r="AD142" s="83"/>
      <c r="AE142" s="83"/>
      <c r="AF142" s="83"/>
      <c r="AG142" s="83"/>
      <c r="AH142" s="83"/>
      <c r="AI142" s="83"/>
      <c r="AJ142" s="153"/>
      <c r="AK142" s="68"/>
      <c r="AL142" s="68"/>
      <c r="AM142" s="231" t="str">
        <f>IF([8]回答表!F18="簡易水道事業",IF([8]回答表!X51="●",[8]回答表!Y228,IF([8]回答表!AA51="●",[8]回答表!Y308,"")),"")</f>
        <v/>
      </c>
      <c r="AN142" s="231"/>
      <c r="AO142" s="231"/>
      <c r="AP142" s="231"/>
      <c r="AQ142" s="231"/>
      <c r="AR142" s="231"/>
      <c r="AS142" s="231" t="str">
        <f>IF([8]回答表!F18="簡易水道事業",IF([8]回答表!X51="●",[8]回答表!Y229,IF([8]回答表!AA51="●",[8]回答表!Y309,"")),"")</f>
        <v/>
      </c>
      <c r="AT142" s="231"/>
      <c r="AU142" s="231"/>
      <c r="AV142" s="231"/>
      <c r="AW142" s="231"/>
      <c r="AX142" s="231"/>
      <c r="AY142" s="231" t="str">
        <f>IF([8]回答表!F18="簡易水道事業",IF([8]回答表!X51="●",[8]回答表!Y230,IF([8]回答表!AA51="●",[8]回答表!Y310,"")),"")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IF([8]回答表!F18="簡易水道事業",IF([8]回答表!X51="●",[8]回答表!E265,IF([8]回答表!AA51="●",[8]回答表!E344,"")),"")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IF([8]回答表!F18="簡易水道事業",IF([8]回答表!X51="●",[8]回答表!B267,IF([8]回答表!AA51="●",[8]回答表!B346,"")),"")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IF([8]回答表!F18="簡易水道事業",IF([8]回答表!AD51="●","●",""),"")</f>
        <v/>
      </c>
      <c r="O154" s="131"/>
      <c r="P154" s="131"/>
      <c r="Q154" s="132"/>
      <c r="R154" s="119"/>
      <c r="S154" s="119"/>
      <c r="T154" s="119"/>
      <c r="U154" s="133" t="str">
        <f>IF([8]回答表!F18="簡易水道事業",IF([8]回答表!AD51="●",[8]回答表!B354,""),"")</f>
        <v/>
      </c>
      <c r="V154" s="134"/>
      <c r="W154" s="134"/>
      <c r="X154" s="134"/>
      <c r="Y154" s="134"/>
      <c r="Z154" s="134"/>
      <c r="AA154" s="134"/>
      <c r="AB154" s="134"/>
      <c r="AC154" s="134"/>
      <c r="AD154" s="134"/>
      <c r="AE154" s="134"/>
      <c r="AF154" s="134"/>
      <c r="AG154" s="134"/>
      <c r="AH154" s="134"/>
      <c r="AI154" s="134"/>
      <c r="AJ154" s="135"/>
      <c r="AK154" s="189"/>
      <c r="AL154" s="189"/>
      <c r="AM154" s="133" t="str">
        <f>IF([8]回答表!F18="簡易水道事業",IF([8]回答表!AD51="●",[8]回答表!B360,""),"")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IF([8]回答表!F18="下水道事業",IF([8]回答表!X51="●","●",""),"")</f>
        <v>●</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IF([8]回答表!F18="下水道事業",IF([8]回答表!X51="●",[8]回答表!B197,IF([8]回答表!AA51="●",[8]回答表!B275,"")),"")</f>
        <v>　処理施設を多く抱え維持管理費の縮減が課題となっており、農業集落排水処理施設を廃止し、公共下水道処理施設等に統合する計画である。処理施設数が減ることで維持管理費用が減少すると見込んでいる。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IF([8]回答表!F18="下水道事業",IF([8]回答表!X51="●",[8]回答表!B256,IF([8]回答表!AA51="●",[8]回答表!B335,"")),"")</f>
        <v>平成</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IF([8]回答表!F18="下水道事業",IF([8]回答表!X51="●",[8]回答表!N234,IF([8]回答表!AA51="●",[8]回答表!N314,"")),"")</f>
        <v>●</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IF([8]回答表!F18="下水道事業",IF([8]回答表!X51="●",[8]回答表!E256,IF([8]回答表!AA51="●",[8]回答表!E335,"")),"")</f>
        <v>23</v>
      </c>
      <c r="BG169" s="151"/>
      <c r="BH169" s="151"/>
      <c r="BI169" s="151"/>
      <c r="BJ169" s="150">
        <f>IF([8]回答表!F18="下水道事業",IF([8]回答表!X51="●",[8]回答表!E257,IF([8]回答表!AA51="●",[8]回答表!E336,"")),"")</f>
        <v>4</v>
      </c>
      <c r="BK169" s="151"/>
      <c r="BL169" s="151"/>
      <c r="BM169" s="151"/>
      <c r="BN169" s="150">
        <f>IF([8]回答表!F18="下水道事業",IF([8]回答表!X51="●",[8]回答表!E258,IF([8]回答表!AA51="●",[8]回答表!E337,"")),"")</f>
        <v>1</v>
      </c>
      <c r="BO169" s="151"/>
      <c r="BP169" s="151"/>
      <c r="BQ169" s="152"/>
      <c r="BR169" s="112"/>
      <c r="BX169" s="234" t="str">
        <f>IF([8]回答表!AQ21="下水道事業",IF([8]回答表!BI54="○",[8]回答表!AM200,IF([8]回答表!BL54="○",[8]回答表!AM278,"")),"")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IF([8]回答表!F18="下水道事業",IF([8]回答表!X51="●",[8]回答表!Y236,IF([8]回答表!AA51="●",[8]回答表!Y316,"")),"")</f>
        <v>●</v>
      </c>
      <c r="V174" s="83"/>
      <c r="W174" s="83"/>
      <c r="X174" s="83"/>
      <c r="Y174" s="83"/>
      <c r="Z174" s="83"/>
      <c r="AA174" s="83"/>
      <c r="AB174" s="153"/>
      <c r="AC174" s="82" t="str">
        <f>IF([8]回答表!F18="下水道事業",IF([8]回答表!X51="●",[8]回答表!Y237,IF([8]回答表!AA51="●",[8]回答表!Y317,"")),"")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IF([8]回答表!F18="下水道事業",IF([8]回答表!X51="●",[8]回答表!Y239,IF([8]回答表!AA51="●",[8]回答表!Y319,"")),"")</f>
        <v xml:space="preserve"> </v>
      </c>
      <c r="V180" s="83"/>
      <c r="W180" s="83"/>
      <c r="X180" s="83"/>
      <c r="Y180" s="83"/>
      <c r="Z180" s="83"/>
      <c r="AA180" s="83"/>
      <c r="AB180" s="153"/>
      <c r="AC180" s="82" t="str">
        <f>IF([8]回答表!F18="下水道事業",IF([8]回答表!X51="●",[8]回答表!Y240,IF([8]回答表!AA51="●",[8]回答表!Y320,"")),"")</f>
        <v xml:space="preserve"> </v>
      </c>
      <c r="AD180" s="83"/>
      <c r="AE180" s="83"/>
      <c r="AF180" s="83"/>
      <c r="AG180" s="83"/>
      <c r="AH180" s="83"/>
      <c r="AI180" s="83"/>
      <c r="AJ180" s="153"/>
      <c r="AK180" s="82" t="str">
        <f>IF([8]回答表!F18="下水道事業",IF([8]回答表!X51="●",[8]回答表!Y241,IF([8]回答表!AA51="●",[8]回答表!Y321,"")),"")</f>
        <v>●</v>
      </c>
      <c r="AL180" s="83"/>
      <c r="AM180" s="83"/>
      <c r="AN180" s="83"/>
      <c r="AO180" s="83"/>
      <c r="AP180" s="83"/>
      <c r="AQ180" s="83"/>
      <c r="AR180" s="153"/>
      <c r="AS180" s="82" t="str">
        <f>IF([8]回答表!F18="下水道事業",IF([8]回答表!X51="●",[8]回答表!Y242,IF([8]回答表!AA51="●",[8]回答表!Y322,"")),"")</f>
        <v xml:space="preserve"> </v>
      </c>
      <c r="AT180" s="83"/>
      <c r="AU180" s="83"/>
      <c r="AV180" s="83"/>
      <c r="AW180" s="83"/>
      <c r="AX180" s="83"/>
      <c r="AY180" s="83"/>
      <c r="AZ180" s="153"/>
      <c r="BA180" s="82" t="str">
        <f>IF([8]回答表!F18="下水道事業",IF([8]回答表!X51="●",[8]回答表!Y243,IF([8]回答表!AA51="●",[8]回答表!Y323,"")),"")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IF([8]回答表!F18="下水道事業",IF([8]回答表!AA51="●","●",""),"")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IF([8]回答表!F18="下水道事業",IF([8]回答表!X51="●",[8]回答表!N248,IF([8]回答表!AA51="●",[8]回答表!N328,"")),"")</f>
        <v xml:space="preserve"> </v>
      </c>
      <c r="V186" s="83"/>
      <c r="W186" s="83"/>
      <c r="X186" s="83"/>
      <c r="Y186" s="83"/>
      <c r="Z186" s="83"/>
      <c r="AA186" s="83"/>
      <c r="AB186" s="153"/>
      <c r="AC186" s="82" t="str">
        <f>IF([8]回答表!F18="下水道事業",IF([8]回答表!X51="●",[8]回答表!N249,IF([8]回答表!AA51="●",[8]回答表!N329,"")),"")</f>
        <v xml:space="preserve"> </v>
      </c>
      <c r="AD186" s="83"/>
      <c r="AE186" s="83"/>
      <c r="AF186" s="83"/>
      <c r="AG186" s="83"/>
      <c r="AH186" s="83"/>
      <c r="AI186" s="83"/>
      <c r="AJ186" s="153"/>
      <c r="AK186" s="82" t="str">
        <f>IF([8]回答表!F18="下水道事業",IF([8]回答表!X51="●",[8]回答表!N250,IF([8]回答表!AA51="●",[8]回答表!N330,"")),"")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f>IF([8]回答表!F18="下水道事業",IF([8]回答表!X51="●",[8]回答表!E265,IF([8]回答表!AA51="●",[8]回答表!E344,"")),"")</f>
        <v>9.6999999999999993</v>
      </c>
      <c r="V191" s="182"/>
      <c r="W191" s="182"/>
      <c r="X191" s="182"/>
      <c r="Y191" s="182"/>
      <c r="Z191" s="182"/>
      <c r="AA191" s="182"/>
      <c r="AB191" s="182"/>
      <c r="AC191" s="182"/>
      <c r="AD191" s="182"/>
      <c r="AE191" s="183" t="s">
        <v>33</v>
      </c>
      <c r="AF191" s="183"/>
      <c r="AG191" s="183"/>
      <c r="AH191" s="183"/>
      <c r="AI191" s="183"/>
      <c r="AJ191" s="184"/>
      <c r="AK191" s="136"/>
      <c r="AL191" s="136"/>
      <c r="AM191" s="133" t="str">
        <f>IF([8]回答表!F18="下水道事業",IF([8]回答表!X51="●",[8]回答表!B267,IF([8]回答表!AA51="●",[8]回答表!B346,"")),"")</f>
        <v>①維持管理費　　　　　年▲4.4百万円
②維持管理委託料　　年▲5.3百万円</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IF([8]回答表!F18="下水道事業",IF([8]回答表!AD51="●","●",""),"")</f>
        <v/>
      </c>
      <c r="O198" s="131"/>
      <c r="P198" s="131"/>
      <c r="Q198" s="132"/>
      <c r="R198" s="119"/>
      <c r="S198" s="119"/>
      <c r="T198" s="119"/>
      <c r="U198" s="133" t="str">
        <f>IF([8]回答表!F18="下水道事業",IF([8]回答表!AD51="●",[8]回答表!B354,""),"")</f>
        <v/>
      </c>
      <c r="V198" s="134"/>
      <c r="W198" s="134"/>
      <c r="X198" s="134"/>
      <c r="Y198" s="134"/>
      <c r="Z198" s="134"/>
      <c r="AA198" s="134"/>
      <c r="AB198" s="134"/>
      <c r="AC198" s="134"/>
      <c r="AD198" s="134"/>
      <c r="AE198" s="134"/>
      <c r="AF198" s="134"/>
      <c r="AG198" s="134"/>
      <c r="AH198" s="134"/>
      <c r="AI198" s="134"/>
      <c r="AJ198" s="135"/>
      <c r="AK198" s="189"/>
      <c r="AL198" s="189"/>
      <c r="AM198" s="133" t="str">
        <f>IF([8]回答表!F18="下水道事業",IF([8]回答表!AD51="●",[8]回答表!B360,""),"")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IF([8]回答表!BD18="●",IF([8]回答表!X51="●","●",""),"")</f>
        <v/>
      </c>
      <c r="O210" s="131"/>
      <c r="P210" s="131"/>
      <c r="Q210" s="132"/>
      <c r="R210" s="119"/>
      <c r="S210" s="119"/>
      <c r="T210" s="119"/>
      <c r="U210" s="133" t="str">
        <f>IF([8]回答表!BD18="●",IF([8]回答表!X51="●",[8]回答表!B197,IF([8]回答表!AA51="●",[8]回答表!B275,"")),"")</f>
        <v/>
      </c>
      <c r="V210" s="134"/>
      <c r="W210" s="134"/>
      <c r="X210" s="134"/>
      <c r="Y210" s="134"/>
      <c r="Z210" s="134"/>
      <c r="AA210" s="134"/>
      <c r="AB210" s="134"/>
      <c r="AC210" s="134"/>
      <c r="AD210" s="134"/>
      <c r="AE210" s="134"/>
      <c r="AF210" s="134"/>
      <c r="AG210" s="134"/>
      <c r="AH210" s="134"/>
      <c r="AI210" s="134"/>
      <c r="AJ210" s="135"/>
      <c r="AK210" s="136"/>
      <c r="AL210" s="136"/>
      <c r="AM210" s="138" t="str">
        <f>IF([8]回答表!BD18="●",IF([8]回答表!X51="●",[8]回答表!B256,IF([8]回答表!AA51="●",[8]回答表!B335,"")),"")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IF([8]回答表!BD18="●",IF([8]回答表!X51="●",[8]回答表!E256,IF([8]回答表!AA51="●",[8]回答表!E335,"")),"")</f>
        <v/>
      </c>
      <c r="AN213" s="151"/>
      <c r="AO213" s="151"/>
      <c r="AP213" s="151"/>
      <c r="AQ213" s="150" t="str">
        <f>IF([8]回答表!BD18="●",IF([8]回答表!X51="●",[8]回答表!E257,IF([8]回答表!AA51="●",[8]回答表!E336,"")),"")</f>
        <v/>
      </c>
      <c r="AR213" s="151"/>
      <c r="AS213" s="151"/>
      <c r="AT213" s="151"/>
      <c r="AU213" s="150" t="str">
        <f>IF([8]回答表!BD18="●",IF([8]回答表!X51="●",[8]回答表!E258,IF([8]回答表!AA51="●",[8]回答表!E337,"")),"")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IF([8]回答表!BD18="●",IF([8]回答表!AA51="●","●",""),"")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IF([8]回答表!BD18="●",IF([8]回答表!X51="●",[8]回答表!E265,IF([8]回答表!AA51="●",[8]回答表!E344,"")),"")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IF([8]回答表!BD18="●",IF([8]回答表!X51="●",[8]回答表!B267,IF([8]回答表!AA51="●",[8]回答表!B346,"")),"")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IF([8]回答表!BD18="●",IF([8]回答表!AD51="●","●",""),"")</f>
        <v/>
      </c>
      <c r="O229" s="131"/>
      <c r="P229" s="131"/>
      <c r="Q229" s="132"/>
      <c r="R229" s="119"/>
      <c r="S229" s="119"/>
      <c r="T229" s="119"/>
      <c r="U229" s="133" t="str">
        <f>IF([8]回答表!BD18="●",IF([8]回答表!AD51="●",[8]回答表!B354,""),"")</f>
        <v/>
      </c>
      <c r="V229" s="134"/>
      <c r="W229" s="134"/>
      <c r="X229" s="134"/>
      <c r="Y229" s="134"/>
      <c r="Z229" s="134"/>
      <c r="AA229" s="134"/>
      <c r="AB229" s="134"/>
      <c r="AC229" s="134"/>
      <c r="AD229" s="134"/>
      <c r="AE229" s="134"/>
      <c r="AF229" s="134"/>
      <c r="AG229" s="134"/>
      <c r="AH229" s="134"/>
      <c r="AI229" s="134"/>
      <c r="AJ229" s="135"/>
      <c r="AK229" s="249"/>
      <c r="AL229" s="249"/>
      <c r="AM229" s="133" t="str">
        <f>IF([8]回答表!BD18="●",IF([8]回答表!AD51="●",[8]回答表!B360,""),"")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IF([8]回答表!X52="●","●","")</f>
        <v/>
      </c>
      <c r="O241" s="131"/>
      <c r="P241" s="131"/>
      <c r="Q241" s="132"/>
      <c r="R241" s="119"/>
      <c r="S241" s="119"/>
      <c r="T241" s="119"/>
      <c r="U241" s="133" t="str">
        <f>IF([8]回答表!X52="●",[8]回答表!B371,IF([8]回答表!AA52="●",[8]回答表!B396,""))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IF([8]回答表!X52="●",[8]回答表!U377,IF([8]回答表!AA52="●",[8]回答表!U402,""))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IF([8]回答表!X52="●",[8]回答表!G377,IF([8]回答表!AA52="●",[8]回答表!G402,""))</f>
        <v/>
      </c>
      <c r="AN244" s="83"/>
      <c r="AO244" s="83"/>
      <c r="AP244" s="83"/>
      <c r="AQ244" s="83"/>
      <c r="AR244" s="83"/>
      <c r="AS244" s="83"/>
      <c r="AT244" s="153"/>
      <c r="AU244" s="82" t="str">
        <f>IF([8]回答表!X52="●",[8]回答表!G378,IF([8]回答表!AA52="●",[8]回答表!G403,""))</f>
        <v/>
      </c>
      <c r="AV244" s="83"/>
      <c r="AW244" s="83"/>
      <c r="AX244" s="83"/>
      <c r="AY244" s="83"/>
      <c r="AZ244" s="83"/>
      <c r="BA244" s="83"/>
      <c r="BB244" s="153"/>
      <c r="BC244" s="120"/>
      <c r="BD244" s="109"/>
      <c r="BE244" s="109"/>
      <c r="BF244" s="150" t="str">
        <f>IF([8]回答表!X52="●",[8]回答表!X377,IF([8]回答表!AA52="●",[8]回答表!X402,""))</f>
        <v/>
      </c>
      <c r="BG244" s="151"/>
      <c r="BH244" s="151"/>
      <c r="BI244" s="151"/>
      <c r="BJ244" s="150" t="str">
        <f>IF([8]回答表!X52="●",[8]回答表!X378,IF([8]回答表!AA52="●",[8]回答表!X403,""))</f>
        <v/>
      </c>
      <c r="BK244" s="151"/>
      <c r="BL244" s="151"/>
      <c r="BM244" s="152"/>
      <c r="BN244" s="150" t="str">
        <f>IF([8]回答表!X52="●",[8]回答表!X379,IF([8]回答表!AA52="●",[8]回答表!X404,""))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IF([8]回答表!AA52="●","●","")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IF([8]回答表!X52="●",[8]回答表!E386,IF([8]回答表!AA52="●",[8]回答表!E407,""))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IF([8]回答表!X52="●",[8]回答表!B388,IF([8]回答表!AA52="●",[8]回答表!B409,""))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IF([8]回答表!AD52="●","●","")</f>
        <v/>
      </c>
      <c r="O260" s="131"/>
      <c r="P260" s="131"/>
      <c r="Q260" s="132"/>
      <c r="R260" s="119"/>
      <c r="S260" s="119"/>
      <c r="T260" s="119"/>
      <c r="U260" s="133" t="str">
        <f>IF([8]回答表!AD52="●",[8]回答表!B417,"")</f>
        <v/>
      </c>
      <c r="V260" s="134"/>
      <c r="W260" s="134"/>
      <c r="X260" s="134"/>
      <c r="Y260" s="134"/>
      <c r="Z260" s="134"/>
      <c r="AA260" s="134"/>
      <c r="AB260" s="134"/>
      <c r="AC260" s="134"/>
      <c r="AD260" s="134"/>
      <c r="AE260" s="134"/>
      <c r="AF260" s="134"/>
      <c r="AG260" s="134"/>
      <c r="AH260" s="134"/>
      <c r="AI260" s="134"/>
      <c r="AJ260" s="135"/>
      <c r="AK260" s="249"/>
      <c r="AL260" s="249"/>
      <c r="AM260" s="133" t="str">
        <f>IF([8]回答表!AD52="●",[8]回答表!B423,"")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IF([8]回答表!X53="●","●","")</f>
        <v/>
      </c>
      <c r="O272" s="131"/>
      <c r="P272" s="131"/>
      <c r="Q272" s="132"/>
      <c r="R272" s="119"/>
      <c r="S272" s="119"/>
      <c r="T272" s="119"/>
      <c r="U272" s="133" t="str">
        <f>IF([8]回答表!X53="●",[8]回答表!B434,IF([8]回答表!AA53="●",[8]回答表!B465,""))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IF([8]回答表!X53="●",[8]回答表!B440,"")</f>
        <v/>
      </c>
      <c r="AO272" s="262"/>
      <c r="AP272" s="262"/>
      <c r="AQ272" s="262"/>
      <c r="AR272" s="262"/>
      <c r="AS272" s="262"/>
      <c r="AT272" s="262"/>
      <c r="AU272" s="262"/>
      <c r="AV272" s="262"/>
      <c r="AW272" s="262"/>
      <c r="AX272" s="262"/>
      <c r="AY272" s="262"/>
      <c r="AZ272" s="262"/>
      <c r="BA272" s="262"/>
      <c r="BB272" s="263"/>
      <c r="BC272" s="120"/>
      <c r="BD272" s="109"/>
      <c r="BE272" s="109"/>
      <c r="BF272" s="138" t="str">
        <f>IF([8]回答表!X53="●",[8]回答表!B446,IF([8]回答表!AA53="●",[8]回答表!B471,""))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IF([8]回答表!X53="●",[8]回答表!E446,IF([8]回答表!AA53="●",[8]回答表!E471,""))</f>
        <v/>
      </c>
      <c r="BG275" s="151"/>
      <c r="BH275" s="151"/>
      <c r="BI275" s="151"/>
      <c r="BJ275" s="150" t="str">
        <f>IF([8]回答表!X53="●",[8]回答表!E447,IF([8]回答表!AA53="●",[8]回答表!E472,""))</f>
        <v/>
      </c>
      <c r="BK275" s="151"/>
      <c r="BL275" s="151"/>
      <c r="BM275" s="152"/>
      <c r="BN275" s="150" t="str">
        <f>IF([8]回答表!X53="●",[8]回答表!E448,IF([8]回答表!AA53="●",[8]回答表!E473,""))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IF([8]回答表!AA53="●","●","")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IF([8]回答表!X53="●",[8]回答表!E455,IF([8]回答表!AA53="●",[8]回答表!E476,""))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IF([8]回答表!X53="●",[8]回答表!B457,IF([8]回答表!AA53="●",[8]回答表!B478,""))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IF([8]回答表!AD53="●","●","")</f>
        <v/>
      </c>
      <c r="O291" s="131"/>
      <c r="P291" s="131"/>
      <c r="Q291" s="132"/>
      <c r="R291" s="119"/>
      <c r="S291" s="119"/>
      <c r="T291" s="119"/>
      <c r="U291" s="133" t="str">
        <f>IF([8]回答表!AD53="●",[8]回答表!B486,"")</f>
        <v/>
      </c>
      <c r="V291" s="134"/>
      <c r="W291" s="134"/>
      <c r="X291" s="134"/>
      <c r="Y291" s="134"/>
      <c r="Z291" s="134"/>
      <c r="AA291" s="134"/>
      <c r="AB291" s="134"/>
      <c r="AC291" s="134"/>
      <c r="AD291" s="134"/>
      <c r="AE291" s="134"/>
      <c r="AF291" s="134"/>
      <c r="AG291" s="134"/>
      <c r="AH291" s="134"/>
      <c r="AI291" s="134"/>
      <c r="AJ291" s="135"/>
      <c r="AK291" s="249"/>
      <c r="AL291" s="249"/>
      <c r="AM291" s="133" t="str">
        <f>IF([8]回答表!AD53="●",[8]回答表!B492,"")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IF([8]回答表!X54="●","●","")</f>
        <v/>
      </c>
      <c r="O303" s="131"/>
      <c r="P303" s="131"/>
      <c r="Q303" s="132"/>
      <c r="R303" s="119"/>
      <c r="S303" s="119"/>
      <c r="T303" s="119"/>
      <c r="U303" s="133" t="str">
        <f>IF([8]回答表!X54="●",[8]回答表!B503,IF([8]回答表!AA54="●",[8]回答表!B526,""))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IF([8]回答表!X54="●",[8]回答表!BC510,IF([8]回答表!AA54="●",[8]回答表!BC533,""))</f>
        <v/>
      </c>
      <c r="AR303" s="271"/>
      <c r="AS303" s="271"/>
      <c r="AT303" s="271"/>
      <c r="AU303" s="272" t="s">
        <v>74</v>
      </c>
      <c r="AV303" s="273"/>
      <c r="AW303" s="273"/>
      <c r="AX303" s="274"/>
      <c r="AY303" s="271" t="str">
        <f>IF([8]回答表!X54="●",[8]回答表!BC515,IF([8]回答表!AA54="●",[8]回答表!BC538,""))</f>
        <v/>
      </c>
      <c r="AZ303" s="271"/>
      <c r="BA303" s="271"/>
      <c r="BB303" s="271"/>
      <c r="BC303" s="120"/>
      <c r="BD303" s="109"/>
      <c r="BE303" s="109"/>
      <c r="BF303" s="138" t="str">
        <f>IF([8]回答表!X54="●",[8]回答表!S509,IF([8]回答表!AA54="●",[8]回答表!S532,""))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IF([8]回答表!X54="●",[8]回答表!BC511,IF([8]回答表!AA54="●",[8]回答表!BC534,""))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IF([8]回答表!X54="●",[8]回答表!V509,IF([8]回答表!AA54="●",[8]回答表!V532,""))</f>
        <v/>
      </c>
      <c r="BG306" s="151"/>
      <c r="BH306" s="151"/>
      <c r="BI306" s="151"/>
      <c r="BJ306" s="150" t="str">
        <f>IF([8]回答表!X54="●",[8]回答表!V510,IF([8]回答表!AA54="●",[8]回答表!V533,""))</f>
        <v/>
      </c>
      <c r="BK306" s="151"/>
      <c r="BL306" s="151"/>
      <c r="BM306" s="152"/>
      <c r="BN306" s="150" t="str">
        <f>IF([8]回答表!X54="●",[8]回答表!V511,IF([8]回答表!AA54="●",[8]回答表!V534,""))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IF([8]回答表!X54="●",[8]回答表!BC512,IF([8]回答表!AA54="●",[8]回答表!BC535,""))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IF([8]回答表!X54="●",[8]回答表!BC516,IF([8]回答表!AA54="●",[8]回答表!BC539,""))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IF([8]回答表!AA54="●","●","")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IF([8]回答表!X54="●",[8]回答表!BC513,IF([8]回答表!AA54="●",[8]回答表!BC536,""))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IF([8]回答表!X54="●",[8]回答表!BC514,IF([8]回答表!AA54="●",[8]回答表!BC537,""))</f>
        <v/>
      </c>
      <c r="AR311" s="271"/>
      <c r="AS311" s="271"/>
      <c r="AT311" s="271"/>
      <c r="AU311" s="222" t="s">
        <v>80</v>
      </c>
      <c r="AV311" s="223"/>
      <c r="AW311" s="223"/>
      <c r="AX311" s="224"/>
      <c r="AY311" s="281" t="str">
        <f>IF([8]回答表!X54="●",[8]回答表!BC517,IF([8]回答表!AA54="●",[8]回答表!BC540,""))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IF([8]回答表!X54="●",[8]回答表!E516,IF([8]回答表!AA54="●",[8]回答表!E538,""))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IF([8]回答表!X54="●",[8]回答表!B518,IF([8]回答表!AA54="●",[8]回答表!B540,""))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IF([8]回答表!AD54="●","●","")</f>
        <v/>
      </c>
      <c r="O322" s="131"/>
      <c r="P322" s="131"/>
      <c r="Q322" s="132"/>
      <c r="R322" s="119"/>
      <c r="S322" s="119"/>
      <c r="T322" s="119"/>
      <c r="U322" s="133" t="str">
        <f>IF([8]回答表!AD54="●",[8]回答表!B548,"")</f>
        <v/>
      </c>
      <c r="V322" s="134"/>
      <c r="W322" s="134"/>
      <c r="X322" s="134"/>
      <c r="Y322" s="134"/>
      <c r="Z322" s="134"/>
      <c r="AA322" s="134"/>
      <c r="AB322" s="134"/>
      <c r="AC322" s="134"/>
      <c r="AD322" s="134"/>
      <c r="AE322" s="134"/>
      <c r="AF322" s="134"/>
      <c r="AG322" s="134"/>
      <c r="AH322" s="134"/>
      <c r="AI322" s="134"/>
      <c r="AJ322" s="135"/>
      <c r="AK322" s="189"/>
      <c r="AL322" s="189"/>
      <c r="AM322" s="133" t="str">
        <f>IF([8]回答表!AD54="●",[8]回答表!B554,"")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IF([8]回答表!X55="●","●","")</f>
        <v/>
      </c>
      <c r="O333" s="131"/>
      <c r="P333" s="131"/>
      <c r="Q333" s="132"/>
      <c r="R333" s="119"/>
      <c r="S333" s="119"/>
      <c r="T333" s="119"/>
      <c r="U333" s="133" t="str">
        <f>IF([8]回答表!X55="●",[8]回答表!B565,IF([8]回答表!AA55="●",[8]回答表!B590,""))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IF([8]回答表!X55="●",[8]回答表!B575,IF([8]回答表!AA55="●",[8]回答表!B600,""))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IF([8]回答表!X55="●",[8]回答表!G571,IF([8]回答表!AA55="●",[8]回答表!G596,""))</f>
        <v/>
      </c>
      <c r="AN335" s="83"/>
      <c r="AO335" s="83"/>
      <c r="AP335" s="83"/>
      <c r="AQ335" s="83"/>
      <c r="AR335" s="83"/>
      <c r="AS335" s="83"/>
      <c r="AT335" s="153"/>
      <c r="AU335" s="82" t="str">
        <f>IF([8]回答表!X55="●",[8]回答表!G572,IF([8]回答表!AA55="●",[8]回答表!G597,""))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IF([8]回答表!X55="●",[8]回答表!E575,IF([8]回答表!AA55="●",[8]回答表!E600,""))</f>
        <v/>
      </c>
      <c r="BG336" s="151"/>
      <c r="BH336" s="151"/>
      <c r="BI336" s="151"/>
      <c r="BJ336" s="150" t="str">
        <f>IF([8]回答表!X55="●",[8]回答表!E576,IF([8]回答表!AA55="●",[8]回答表!E601,""))</f>
        <v/>
      </c>
      <c r="BK336" s="151"/>
      <c r="BL336" s="151"/>
      <c r="BM336" s="152"/>
      <c r="BN336" s="150" t="str">
        <f>IF([8]回答表!X55="●",[8]回答表!E577,IF([8]回答表!AA55="●",[8]回答表!E602,""))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IF([8]回答表!AA55="●","●","")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IF([8]回答表!X55="●",[8]回答表!E580,IF([8]回答表!AA55="●",[8]回答表!E605,""))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IF([8]回答表!X55="●",[8]回答表!B582,IF([8]回答表!AA55="●",[8]回答表!B607,""))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IF([8]回答表!AD55="●","●","")</f>
        <v/>
      </c>
      <c r="O352" s="131"/>
      <c r="P352" s="131"/>
      <c r="Q352" s="132"/>
      <c r="R352" s="119"/>
      <c r="S352" s="119"/>
      <c r="T352" s="119"/>
      <c r="U352" s="133" t="str">
        <f>IF([8]回答表!AD55="●",[8]回答表!B615,"")</f>
        <v/>
      </c>
      <c r="V352" s="134"/>
      <c r="W352" s="134"/>
      <c r="X352" s="134"/>
      <c r="Y352" s="134"/>
      <c r="Z352" s="134"/>
      <c r="AA352" s="134"/>
      <c r="AB352" s="134"/>
      <c r="AC352" s="134"/>
      <c r="AD352" s="134"/>
      <c r="AE352" s="134"/>
      <c r="AF352" s="134"/>
      <c r="AG352" s="134"/>
      <c r="AH352" s="134"/>
      <c r="AI352" s="134"/>
      <c r="AJ352" s="135"/>
      <c r="AK352" s="136"/>
      <c r="AL352" s="136"/>
      <c r="AM352" s="133" t="str">
        <f>IF([8]回答表!AD55="●",[8]回答表!B621,"")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IF([8]回答表!R56="●",[8]回答表!B634,"")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B6B55-07FC-4CAE-8C9A-BB3F1A8572E6}">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IF(COUNTIF([9]回答表!K16,"*")&gt;0,[9]回答表!K16,"")</f>
        <v>由利本荘市</v>
      </c>
      <c r="D11" s="8"/>
      <c r="E11" s="8"/>
      <c r="F11" s="8"/>
      <c r="G11" s="8"/>
      <c r="H11" s="8"/>
      <c r="I11" s="8"/>
      <c r="J11" s="8"/>
      <c r="K11" s="8"/>
      <c r="L11" s="8"/>
      <c r="M11" s="8"/>
      <c r="N11" s="8"/>
      <c r="O11" s="8"/>
      <c r="P11" s="8"/>
      <c r="Q11" s="8"/>
      <c r="R11" s="8"/>
      <c r="S11" s="8"/>
      <c r="T11" s="8"/>
      <c r="U11" s="22" t="str">
        <f>IF(COUNTIF([9]回答表!F18,"*")&gt;0,[9]回答表!F18,"")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IF(COUNTIF([9]回答表!W18,"*")&gt;0,[9]回答表!W18,"")</f>
        <v>特定地域排水処理施設</v>
      </c>
      <c r="AP11" s="10"/>
      <c r="AQ11" s="10"/>
      <c r="AR11" s="10"/>
      <c r="AS11" s="10"/>
      <c r="AT11" s="10"/>
      <c r="AU11" s="10"/>
      <c r="AV11" s="10"/>
      <c r="AW11" s="10"/>
      <c r="AX11" s="10"/>
      <c r="AY11" s="10"/>
      <c r="AZ11" s="10"/>
      <c r="BA11" s="10"/>
      <c r="BB11" s="10"/>
      <c r="BC11" s="10"/>
      <c r="BD11" s="10"/>
      <c r="BE11" s="10"/>
      <c r="BF11" s="11"/>
      <c r="BG11" s="21" t="str">
        <f>IF(COUNTIF([9]回答表!F20,"*")&gt;0,[9]回答表!F20,"")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IF([9]回答表!R49="●","●","")</f>
        <v/>
      </c>
      <c r="E24" s="80"/>
      <c r="F24" s="80"/>
      <c r="G24" s="80"/>
      <c r="H24" s="80"/>
      <c r="I24" s="80"/>
      <c r="J24" s="81"/>
      <c r="K24" s="79" t="str">
        <f>IF([9]回答表!R50="●","●","")</f>
        <v/>
      </c>
      <c r="L24" s="80"/>
      <c r="M24" s="80"/>
      <c r="N24" s="80"/>
      <c r="O24" s="80"/>
      <c r="P24" s="80"/>
      <c r="Q24" s="81"/>
      <c r="R24" s="79" t="str">
        <f>IF([9]回答表!R51="●","●","")</f>
        <v/>
      </c>
      <c r="S24" s="80"/>
      <c r="T24" s="80"/>
      <c r="U24" s="80"/>
      <c r="V24" s="80"/>
      <c r="W24" s="80"/>
      <c r="X24" s="81"/>
      <c r="Y24" s="79" t="str">
        <f>IF([9]回答表!R52="●","●","")</f>
        <v/>
      </c>
      <c r="Z24" s="80"/>
      <c r="AA24" s="80"/>
      <c r="AB24" s="80"/>
      <c r="AC24" s="80"/>
      <c r="AD24" s="80"/>
      <c r="AE24" s="81"/>
      <c r="AF24" s="79" t="str">
        <f>IF([9]回答表!R53="●","●","")</f>
        <v/>
      </c>
      <c r="AG24" s="80"/>
      <c r="AH24" s="80"/>
      <c r="AI24" s="80"/>
      <c r="AJ24" s="80"/>
      <c r="AK24" s="80"/>
      <c r="AL24" s="81"/>
      <c r="AM24" s="79" t="str">
        <f>IF([9]回答表!R54="●","●","")</f>
        <v/>
      </c>
      <c r="AN24" s="80"/>
      <c r="AO24" s="80"/>
      <c r="AP24" s="80"/>
      <c r="AQ24" s="80"/>
      <c r="AR24" s="80"/>
      <c r="AS24" s="81"/>
      <c r="AT24" s="79" t="str">
        <f>IF([9]回答表!R55="●","●","")</f>
        <v/>
      </c>
      <c r="AU24" s="80"/>
      <c r="AV24" s="80"/>
      <c r="AW24" s="80"/>
      <c r="AX24" s="80"/>
      <c r="AY24" s="80"/>
      <c r="AZ24" s="81"/>
      <c r="BA24" s="68"/>
      <c r="BB24" s="82" t="str">
        <f>IF([9]回答表!R56="●","●","")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IF([9]回答表!X49="●","●","")</f>
        <v/>
      </c>
      <c r="O36" s="131"/>
      <c r="P36" s="131"/>
      <c r="Q36" s="132"/>
      <c r="R36" s="119"/>
      <c r="S36" s="119"/>
      <c r="T36" s="119"/>
      <c r="U36" s="133" t="str">
        <f>IF([9]回答表!X49="●",[9]回答表!B67,IF([9]回答表!AA49="●",[9]回答表!B95,""))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IF([9]回答表!X49="●",[9]回答表!S73,IF([9]回答表!AA49="●",[9]回答表!S101,""))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IF([9]回答表!X49="●",[9]回答表!G73,IF([9]回答表!AA49="●",[9]回答表!G101,""))</f>
        <v/>
      </c>
      <c r="AN38" s="83"/>
      <c r="AO38" s="83"/>
      <c r="AP38" s="83"/>
      <c r="AQ38" s="83"/>
      <c r="AR38" s="83"/>
      <c r="AS38" s="83"/>
      <c r="AT38" s="153"/>
      <c r="AU38" s="82" t="str">
        <f>IF([9]回答表!X49="●",[9]回答表!G74,IF([9]回答表!AA49="●",[9]回答表!G102,""))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IF([9]回答表!X49="●",[9]回答表!V73,IF([9]回答表!AA49="●",[9]回答表!V101,""))</f>
        <v/>
      </c>
      <c r="BG39" s="16"/>
      <c r="BH39" s="16"/>
      <c r="BI39" s="17"/>
      <c r="BJ39" s="150" t="str">
        <f>IF([9]回答表!X49="●",[9]回答表!V74,IF([9]回答表!AA49="●",[9]回答表!V102,""))</f>
        <v/>
      </c>
      <c r="BK39" s="16"/>
      <c r="BL39" s="16"/>
      <c r="BM39" s="17"/>
      <c r="BN39" s="150" t="str">
        <f>IF([9]回答表!X49="●",[9]回答表!V75,IF([9]回答表!AA49="●",[9]回答表!V103,""))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IF([9]回答表!X49="●",[9]回答表!O79,IF([9]回答表!AA49="●",[9]回答表!O107,""))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IF([9]回答表!X49="●",[9]回答表!O80,IF([9]回答表!AA49="●",[9]回答表!O108,""))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IF([9]回答表!AA49="●","●","")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IF([9]回答表!X49="●",[9]回答表!O81,IF([9]回答表!AA49="●",[9]回答表!O109,""))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IF([9]回答表!X49="●",[9]回答表!O82,IF([9]回答表!AA49="●",[9]回答表!O110,""))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IF([9]回答表!X49="●",[9]回答表!AG79,IF([9]回答表!AA49="●",[9]回答表!AG107,""))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IF([9]回答表!X49="●",[9]回答表!AG80,IF([9]回答表!AA49="●",[9]回答表!AG108,""))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IF([9]回答表!X49="●",[9]回答表!E85,IF([9]回答表!AA49="●",[9]回答表!E113,""))</f>
        <v/>
      </c>
      <c r="V50" s="182"/>
      <c r="W50" s="182"/>
      <c r="X50" s="182"/>
      <c r="Y50" s="182"/>
      <c r="Z50" s="182"/>
      <c r="AA50" s="182"/>
      <c r="AB50" s="182"/>
      <c r="AC50" s="182"/>
      <c r="AD50" s="182"/>
      <c r="AE50" s="183" t="s">
        <v>33</v>
      </c>
      <c r="AF50" s="183"/>
      <c r="AG50" s="183"/>
      <c r="AH50" s="183"/>
      <c r="AI50" s="183"/>
      <c r="AJ50" s="184"/>
      <c r="AK50" s="136"/>
      <c r="AL50" s="136"/>
      <c r="AM50" s="133" t="str">
        <f>IF([9]回答表!X49="●",[9]回答表!B87,IF([9]回答表!AA49="●",[9]回答表!B115,""))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IF([9]回答表!AD49="●","●","")</f>
        <v/>
      </c>
      <c r="O57" s="131"/>
      <c r="P57" s="131"/>
      <c r="Q57" s="132"/>
      <c r="R57" s="119"/>
      <c r="S57" s="119"/>
      <c r="T57" s="119"/>
      <c r="U57" s="133" t="str">
        <f>IF([9]回答表!AD49="●",[9]回答表!B123,"")</f>
        <v/>
      </c>
      <c r="V57" s="134"/>
      <c r="W57" s="134"/>
      <c r="X57" s="134"/>
      <c r="Y57" s="134"/>
      <c r="Z57" s="134"/>
      <c r="AA57" s="134"/>
      <c r="AB57" s="134"/>
      <c r="AC57" s="134"/>
      <c r="AD57" s="134"/>
      <c r="AE57" s="134"/>
      <c r="AF57" s="134"/>
      <c r="AG57" s="134"/>
      <c r="AH57" s="134"/>
      <c r="AI57" s="134"/>
      <c r="AJ57" s="135"/>
      <c r="AK57" s="189"/>
      <c r="AL57" s="189"/>
      <c r="AM57" s="133" t="str">
        <f>IF([9]回答表!AD49="●",[9]回答表!B128,"")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IF([9]回答表!X50="●","●","")</f>
        <v/>
      </c>
      <c r="O68" s="131"/>
      <c r="P68" s="131"/>
      <c r="Q68" s="132"/>
      <c r="R68" s="119"/>
      <c r="S68" s="119"/>
      <c r="T68" s="119"/>
      <c r="U68" s="133" t="str">
        <f>IF([9]回答表!X50="●",[9]回答表!B138,IF([9]回答表!AA50="●",[9]回答表!B159,""))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IF([9]回答表!X50="●",[9]回答表!S144,IF([9]回答表!AA50="●",[9]回答表!S165,""))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IF([9]回答表!X50="●",[9]回答表!J144,IF([9]回答表!AA50="●",[9]回答表!J165,""))</f>
        <v/>
      </c>
      <c r="AN71" s="83"/>
      <c r="AO71" s="83"/>
      <c r="AP71" s="83"/>
      <c r="AQ71" s="83"/>
      <c r="AR71" s="83"/>
      <c r="AS71" s="83"/>
      <c r="AT71" s="153"/>
      <c r="AU71" s="82" t="str">
        <f>IF([9]回答表!X50="●",[9]回答表!J145,IF([9]回答表!AA50="●",[9]回答表!J166,""))</f>
        <v/>
      </c>
      <c r="AV71" s="83"/>
      <c r="AW71" s="83"/>
      <c r="AX71" s="83"/>
      <c r="AY71" s="83"/>
      <c r="AZ71" s="83"/>
      <c r="BA71" s="83"/>
      <c r="BB71" s="153"/>
      <c r="BC71" s="120"/>
      <c r="BD71" s="109"/>
      <c r="BE71" s="109"/>
      <c r="BF71" s="150" t="str">
        <f>IF([9]回答表!X50="●",[9]回答表!V144,IF([9]回答表!AA50="●",[9]回答表!V165,""))</f>
        <v/>
      </c>
      <c r="BG71" s="151"/>
      <c r="BH71" s="151"/>
      <c r="BI71" s="151"/>
      <c r="BJ71" s="150" t="str">
        <f>IF([9]回答表!X50="●",[9]回答表!V145,IF([9]回答表!AA50="●",[9]回答表!V166,""))</f>
        <v/>
      </c>
      <c r="BK71" s="151"/>
      <c r="BL71" s="151"/>
      <c r="BM71" s="151"/>
      <c r="BN71" s="150" t="str">
        <f>IF([9]回答表!X50="●",[9]回答表!V146,IF([9]回答表!AA50="●",[9]回答表!V167,""))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IF([9]回答表!AA50="●","●","")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IF([9]回答表!X50="●",[9]回答表!E149,IF([9]回答表!AA50="●",[9]回答表!E170,""))</f>
        <v/>
      </c>
      <c r="V80" s="182"/>
      <c r="W80" s="182"/>
      <c r="X80" s="182"/>
      <c r="Y80" s="182"/>
      <c r="Z80" s="182"/>
      <c r="AA80" s="182"/>
      <c r="AB80" s="182"/>
      <c r="AC80" s="182"/>
      <c r="AD80" s="182"/>
      <c r="AE80" s="183" t="s">
        <v>33</v>
      </c>
      <c r="AF80" s="183"/>
      <c r="AG80" s="183"/>
      <c r="AH80" s="183"/>
      <c r="AI80" s="183"/>
      <c r="AJ80" s="184"/>
      <c r="AK80" s="136"/>
      <c r="AL80" s="136"/>
      <c r="AM80" s="133" t="str">
        <f>IF([9]回答表!X50="●",[9]回答表!B151,IF([9]回答表!AA50="●",[9]回答表!B172,""))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IF([9]回答表!AD50="●","●","")</f>
        <v/>
      </c>
      <c r="O87" s="131"/>
      <c r="P87" s="131"/>
      <c r="Q87" s="132"/>
      <c r="R87" s="119"/>
      <c r="S87" s="119"/>
      <c r="T87" s="119"/>
      <c r="U87" s="133" t="str">
        <f>IF([9]回答表!AD50="●",[9]回答表!B180,"")</f>
        <v/>
      </c>
      <c r="V87" s="134"/>
      <c r="W87" s="134"/>
      <c r="X87" s="134"/>
      <c r="Y87" s="134"/>
      <c r="Z87" s="134"/>
      <c r="AA87" s="134"/>
      <c r="AB87" s="134"/>
      <c r="AC87" s="134"/>
      <c r="AD87" s="134"/>
      <c r="AE87" s="134"/>
      <c r="AF87" s="134"/>
      <c r="AG87" s="134"/>
      <c r="AH87" s="134"/>
      <c r="AI87" s="134"/>
      <c r="AJ87" s="135"/>
      <c r="AK87" s="189"/>
      <c r="AL87" s="189"/>
      <c r="AM87" s="133" t="str">
        <f>IF([9]回答表!AD50="●",[9]回答表!B186,"")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IF([9]回答表!F18="水道事業",IF([9]回答表!X51="●","●",""),"")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IF([9]回答表!F18="水道事業",IF([9]回答表!X51="●",[9]回答表!B197,IF([9]回答表!AA51="●",[9]回答表!B275,"")),"")</f>
        <v/>
      </c>
      <c r="AN99" s="134"/>
      <c r="AO99" s="134"/>
      <c r="AP99" s="134"/>
      <c r="AQ99" s="134"/>
      <c r="AR99" s="134"/>
      <c r="AS99" s="134"/>
      <c r="AT99" s="134"/>
      <c r="AU99" s="134"/>
      <c r="AV99" s="134"/>
      <c r="AW99" s="134"/>
      <c r="AX99" s="134"/>
      <c r="AY99" s="134"/>
      <c r="AZ99" s="134"/>
      <c r="BA99" s="134"/>
      <c r="BB99" s="134"/>
      <c r="BC99" s="135"/>
      <c r="BD99" s="109"/>
      <c r="BE99" s="109"/>
      <c r="BF99" s="138" t="str">
        <f>IF([9]回答表!F18="水道事業",IF([9]回答表!X51="●",[9]回答表!B256,IF([9]回答表!AA51="●",[9]回答表!B335,"")),"")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IF([9]回答表!F18="水道事業",IF([9]回答表!X51="●",[9]回答表!J205,IF([9]回答表!AA51="●",[9]回答表!J283,"")),"")</f>
        <v/>
      </c>
      <c r="V101" s="83"/>
      <c r="W101" s="83"/>
      <c r="X101" s="83"/>
      <c r="Y101" s="83"/>
      <c r="Z101" s="83"/>
      <c r="AA101" s="83"/>
      <c r="AB101" s="153"/>
      <c r="AC101" s="82" t="str">
        <f>IF([9]回答表!F18="水道事業",IF([9]回答表!X51="●",[9]回答表!J210,IF([9]回答表!AA51="●",[9]回答表!J290,"")),"")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IF([9]回答表!F18="水道事業",IF([9]回答表!X51="●",[9]回答表!E256,IF([9]回答表!AA51="●",[9]回答表!E335,"")),"")</f>
        <v/>
      </c>
      <c r="BG102" s="151"/>
      <c r="BH102" s="151"/>
      <c r="BI102" s="151"/>
      <c r="BJ102" s="150" t="str">
        <f>IF([9]回答表!F18="水道事業",IF([9]回答表!X51="●",[9]回答表!E257,IF([9]回答表!AA51="●",[9]回答表!E336,"")),"")</f>
        <v/>
      </c>
      <c r="BK102" s="151"/>
      <c r="BL102" s="151"/>
      <c r="BM102" s="151"/>
      <c r="BN102" s="150" t="str">
        <f>IF([9]回答表!F18="水道事業",IF([9]回答表!X51="●",[9]回答表!E258,IF([9]回答表!AA51="●",[9]回答表!E337,"")),"")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IF([9]回答表!F18="水道事業",IF([9]回答表!AA51="●","●",""),"")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IF([9]回答表!F18="水道事業",IF([9]回答表!X51="●",[9]回答表!J213,IF([9]回答表!AA51="●",[9]回答表!J293,"")),"")</f>
        <v/>
      </c>
      <c r="V106" s="83"/>
      <c r="W106" s="83"/>
      <c r="X106" s="83"/>
      <c r="Y106" s="83"/>
      <c r="Z106" s="83"/>
      <c r="AA106" s="83"/>
      <c r="AB106" s="153"/>
      <c r="AC106" s="82" t="str">
        <f>IF([9]回答表!F18="水道事業",IF([9]回答表!X51="●",[9]回答表!J217,IF([9]回答表!AA51="●",[9]回答表!J297,"")),"")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IF([9]回答表!F18="水道事業",IF([9]回答表!X51="●",[9]回答表!E265,IF([9]回答表!AA51="●",[9]回答表!E344,"")),"")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IF([9]回答表!F18="水道事業",IF([9]回答表!X51="●",[9]回答表!B267,IF([9]回答表!AA51="●",[9]回答表!B346,"")),"")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IF([9]回答表!F18="水道事業",IF([9]回答表!AD51="●","●",""),"")</f>
        <v/>
      </c>
      <c r="O118" s="131"/>
      <c r="P118" s="131"/>
      <c r="Q118" s="132"/>
      <c r="R118" s="119"/>
      <c r="S118" s="119"/>
      <c r="T118" s="119"/>
      <c r="U118" s="133" t="str">
        <f>IF([9]回答表!F18="水道事業",IF([9]回答表!AD51="●",[9]回答表!B354,""),"")</f>
        <v/>
      </c>
      <c r="V118" s="134"/>
      <c r="W118" s="134"/>
      <c r="X118" s="134"/>
      <c r="Y118" s="134"/>
      <c r="Z118" s="134"/>
      <c r="AA118" s="134"/>
      <c r="AB118" s="134"/>
      <c r="AC118" s="134"/>
      <c r="AD118" s="134"/>
      <c r="AE118" s="134"/>
      <c r="AF118" s="134"/>
      <c r="AG118" s="134"/>
      <c r="AH118" s="134"/>
      <c r="AI118" s="134"/>
      <c r="AJ118" s="135"/>
      <c r="AK118" s="189"/>
      <c r="AL118" s="189"/>
      <c r="AM118" s="133" t="str">
        <f>IF([9]回答表!F18="水道事業",IF([9]回答表!AD51="●",[9]回答表!B360,""),"")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IF([9]回答表!F18="簡易水道事業",IF([9]回答表!X51="●",[9]回答表!B197,IF([9]回答表!AA51="●",[9]回答表!B275,"")),"")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IF([9]回答表!F18="簡易水道事業",IF([9]回答表!X51="●",[9]回答表!B256,IF([9]回答表!AA51="●",[9]回答表!B335,"")),"")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IF([9]回答表!F18="簡易水道事業",IF([9]回答表!X51="●","●",""),"")</f>
        <v/>
      </c>
      <c r="O132" s="131"/>
      <c r="P132" s="131"/>
      <c r="Q132" s="132"/>
      <c r="R132" s="119"/>
      <c r="S132" s="119"/>
      <c r="T132" s="119"/>
      <c r="U132" s="82" t="str">
        <f>IF([9]回答表!F18="簡易水道事業",IF([9]回答表!X51="●",[9]回答表!S224,IF([9]回答表!AA51="●",[9]回答表!S304,"")),"")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IF([9]回答表!F18="簡易水道事業",IF([9]回答表!X51="●",[9]回答表!E256,IF([9]回答表!AA51="●",[9]回答表!E335,"")),"")</f>
        <v/>
      </c>
      <c r="BG133" s="151"/>
      <c r="BH133" s="151"/>
      <c r="BI133" s="151"/>
      <c r="BJ133" s="150" t="str">
        <f>IF([9]回答表!F18="簡易水道事業",IF([9]回答表!X51="●",[9]回答表!E257,IF([9]回答表!AA51="●",[9]回答表!E336,"")),"")</f>
        <v/>
      </c>
      <c r="BK133" s="151"/>
      <c r="BL133" s="151"/>
      <c r="BM133" s="151"/>
      <c r="BN133" s="150" t="str">
        <f>IF([9]回答表!F18="簡易水道事業",IF([9]回答表!X51="●",[9]回答表!E258,IF([9]回答表!AA51="●",[9]回答表!E337,"")),"")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IF([9]回答表!F18="簡易水道事業",IF([9]回答表!X51="●",[9]回答表!S225,IF([9]回答表!AA51="●",[9]回答表!S305,"")),"")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IF([9]回答表!F18="簡易水道事業",IF([9]回答表!AA51="●","●",""),"")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IF([9]回答表!F18="簡易水道事業",IF([9]回答表!X51="●",[9]回答表!S226,IF([9]回答表!AA51="●",[9]回答表!S306,"")),"")</f>
        <v/>
      </c>
      <c r="V142" s="83"/>
      <c r="W142" s="83"/>
      <c r="X142" s="83"/>
      <c r="Y142" s="83"/>
      <c r="Z142" s="83"/>
      <c r="AA142" s="83"/>
      <c r="AB142" s="83"/>
      <c r="AC142" s="83"/>
      <c r="AD142" s="83"/>
      <c r="AE142" s="83"/>
      <c r="AF142" s="83"/>
      <c r="AG142" s="83"/>
      <c r="AH142" s="83"/>
      <c r="AI142" s="83"/>
      <c r="AJ142" s="153"/>
      <c r="AK142" s="68"/>
      <c r="AL142" s="68"/>
      <c r="AM142" s="231" t="str">
        <f>IF([9]回答表!F18="簡易水道事業",IF([9]回答表!X51="●",[9]回答表!Y228,IF([9]回答表!AA51="●",[9]回答表!Y308,"")),"")</f>
        <v/>
      </c>
      <c r="AN142" s="231"/>
      <c r="AO142" s="231"/>
      <c r="AP142" s="231"/>
      <c r="AQ142" s="231"/>
      <c r="AR142" s="231"/>
      <c r="AS142" s="231" t="str">
        <f>IF([9]回答表!F18="簡易水道事業",IF([9]回答表!X51="●",[9]回答表!Y229,IF([9]回答表!AA51="●",[9]回答表!Y309,"")),"")</f>
        <v/>
      </c>
      <c r="AT142" s="231"/>
      <c r="AU142" s="231"/>
      <c r="AV142" s="231"/>
      <c r="AW142" s="231"/>
      <c r="AX142" s="231"/>
      <c r="AY142" s="231" t="str">
        <f>IF([9]回答表!F18="簡易水道事業",IF([9]回答表!X51="●",[9]回答表!Y230,IF([9]回答表!AA51="●",[9]回答表!Y310,"")),"")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IF([9]回答表!F18="簡易水道事業",IF([9]回答表!X51="●",[9]回答表!E265,IF([9]回答表!AA51="●",[9]回答表!E344,"")),"")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IF([9]回答表!F18="簡易水道事業",IF([9]回答表!X51="●",[9]回答表!B267,IF([9]回答表!AA51="●",[9]回答表!B346,"")),"")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IF([9]回答表!F18="簡易水道事業",IF([9]回答表!AD51="●","●",""),"")</f>
        <v/>
      </c>
      <c r="O154" s="131"/>
      <c r="P154" s="131"/>
      <c r="Q154" s="132"/>
      <c r="R154" s="119"/>
      <c r="S154" s="119"/>
      <c r="T154" s="119"/>
      <c r="U154" s="133" t="str">
        <f>IF([9]回答表!F18="簡易水道事業",IF([9]回答表!AD51="●",[9]回答表!B354,""),"")</f>
        <v/>
      </c>
      <c r="V154" s="134"/>
      <c r="W154" s="134"/>
      <c r="X154" s="134"/>
      <c r="Y154" s="134"/>
      <c r="Z154" s="134"/>
      <c r="AA154" s="134"/>
      <c r="AB154" s="134"/>
      <c r="AC154" s="134"/>
      <c r="AD154" s="134"/>
      <c r="AE154" s="134"/>
      <c r="AF154" s="134"/>
      <c r="AG154" s="134"/>
      <c r="AH154" s="134"/>
      <c r="AI154" s="134"/>
      <c r="AJ154" s="135"/>
      <c r="AK154" s="189"/>
      <c r="AL154" s="189"/>
      <c r="AM154" s="133" t="str">
        <f>IF([9]回答表!F18="簡易水道事業",IF([9]回答表!AD51="●",[9]回答表!B360,""),"")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IF([9]回答表!F18="下水道事業",IF([9]回答表!X51="●","●",""),"")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IF([9]回答表!F18="下水道事業",IF([9]回答表!X51="●",[9]回答表!B197,IF([9]回答表!AA51="●",[9]回答表!B275,"")),"")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IF([9]回答表!F18="下水道事業",IF([9]回答表!X51="●",[9]回答表!B256,IF([9]回答表!AA51="●",[9]回答表!B335,"")),"")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IF([9]回答表!F18="下水道事業",IF([9]回答表!X51="●",[9]回答表!N234,IF([9]回答表!AA51="●",[9]回答表!N314,"")),"")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IF([9]回答表!F18="下水道事業",IF([9]回答表!X51="●",[9]回答表!E256,IF([9]回答表!AA51="●",[9]回答表!E335,"")),"")</f>
        <v/>
      </c>
      <c r="BG169" s="151"/>
      <c r="BH169" s="151"/>
      <c r="BI169" s="151"/>
      <c r="BJ169" s="150" t="str">
        <f>IF([9]回答表!F18="下水道事業",IF([9]回答表!X51="●",[9]回答表!E257,IF([9]回答表!AA51="●",[9]回答表!E336,"")),"")</f>
        <v/>
      </c>
      <c r="BK169" s="151"/>
      <c r="BL169" s="151"/>
      <c r="BM169" s="151"/>
      <c r="BN169" s="150" t="str">
        <f>IF([9]回答表!F18="下水道事業",IF([9]回答表!X51="●",[9]回答表!E258,IF([9]回答表!AA51="●",[9]回答表!E337,"")),"")</f>
        <v/>
      </c>
      <c r="BO169" s="151"/>
      <c r="BP169" s="151"/>
      <c r="BQ169" s="152"/>
      <c r="BR169" s="112"/>
      <c r="BX169" s="234" t="str">
        <f>IF([9]回答表!AQ21="下水道事業",IF([9]回答表!BI54="○",[9]回答表!AM200,IF([9]回答表!BL54="○",[9]回答表!AM278,"")),"")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IF([9]回答表!F18="下水道事業",IF([9]回答表!X51="●",[9]回答表!Y236,IF([9]回答表!AA51="●",[9]回答表!Y316,"")),"")</f>
        <v/>
      </c>
      <c r="V174" s="83"/>
      <c r="W174" s="83"/>
      <c r="X174" s="83"/>
      <c r="Y174" s="83"/>
      <c r="Z174" s="83"/>
      <c r="AA174" s="83"/>
      <c r="AB174" s="153"/>
      <c r="AC174" s="82" t="str">
        <f>IF([9]回答表!F18="下水道事業",IF([9]回答表!X51="●",[9]回答表!Y237,IF([9]回答表!AA51="●",[9]回答表!Y317,"")),"")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IF([9]回答表!F18="下水道事業",IF([9]回答表!X51="●",[9]回答表!Y239,IF([9]回答表!AA51="●",[9]回答表!Y319,"")),"")</f>
        <v/>
      </c>
      <c r="V180" s="83"/>
      <c r="W180" s="83"/>
      <c r="X180" s="83"/>
      <c r="Y180" s="83"/>
      <c r="Z180" s="83"/>
      <c r="AA180" s="83"/>
      <c r="AB180" s="153"/>
      <c r="AC180" s="82" t="str">
        <f>IF([9]回答表!F18="下水道事業",IF([9]回答表!X51="●",[9]回答表!Y240,IF([9]回答表!AA51="●",[9]回答表!Y320,"")),"")</f>
        <v/>
      </c>
      <c r="AD180" s="83"/>
      <c r="AE180" s="83"/>
      <c r="AF180" s="83"/>
      <c r="AG180" s="83"/>
      <c r="AH180" s="83"/>
      <c r="AI180" s="83"/>
      <c r="AJ180" s="153"/>
      <c r="AK180" s="82" t="str">
        <f>IF([9]回答表!F18="下水道事業",IF([9]回答表!X51="●",[9]回答表!Y241,IF([9]回答表!AA51="●",[9]回答表!Y321,"")),"")</f>
        <v/>
      </c>
      <c r="AL180" s="83"/>
      <c r="AM180" s="83"/>
      <c r="AN180" s="83"/>
      <c r="AO180" s="83"/>
      <c r="AP180" s="83"/>
      <c r="AQ180" s="83"/>
      <c r="AR180" s="153"/>
      <c r="AS180" s="82" t="str">
        <f>IF([9]回答表!F18="下水道事業",IF([9]回答表!X51="●",[9]回答表!Y242,IF([9]回答表!AA51="●",[9]回答表!Y322,"")),"")</f>
        <v/>
      </c>
      <c r="AT180" s="83"/>
      <c r="AU180" s="83"/>
      <c r="AV180" s="83"/>
      <c r="AW180" s="83"/>
      <c r="AX180" s="83"/>
      <c r="AY180" s="83"/>
      <c r="AZ180" s="153"/>
      <c r="BA180" s="82" t="str">
        <f>IF([9]回答表!F18="下水道事業",IF([9]回答表!X51="●",[9]回答表!Y243,IF([9]回答表!AA51="●",[9]回答表!Y323,"")),"")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IF([9]回答表!F18="下水道事業",IF([9]回答表!AA51="●","●",""),"")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IF([9]回答表!F18="下水道事業",IF([9]回答表!X51="●",[9]回答表!N248,IF([9]回答表!AA51="●",[9]回答表!N328,"")),"")</f>
        <v/>
      </c>
      <c r="V186" s="83"/>
      <c r="W186" s="83"/>
      <c r="X186" s="83"/>
      <c r="Y186" s="83"/>
      <c r="Z186" s="83"/>
      <c r="AA186" s="83"/>
      <c r="AB186" s="153"/>
      <c r="AC186" s="82" t="str">
        <f>IF([9]回答表!F18="下水道事業",IF([9]回答表!X51="●",[9]回答表!N249,IF([9]回答表!AA51="●",[9]回答表!N329,"")),"")</f>
        <v/>
      </c>
      <c r="AD186" s="83"/>
      <c r="AE186" s="83"/>
      <c r="AF186" s="83"/>
      <c r="AG186" s="83"/>
      <c r="AH186" s="83"/>
      <c r="AI186" s="83"/>
      <c r="AJ186" s="153"/>
      <c r="AK186" s="82" t="str">
        <f>IF([9]回答表!F18="下水道事業",IF([9]回答表!X51="●",[9]回答表!N250,IF([9]回答表!AA51="●",[9]回答表!N330,"")),"")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IF([9]回答表!F18="下水道事業",IF([9]回答表!X51="●",[9]回答表!E265,IF([9]回答表!AA51="●",[9]回答表!E344,"")),"")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IF([9]回答表!F18="下水道事業",IF([9]回答表!X51="●",[9]回答表!B267,IF([9]回答表!AA51="●",[9]回答表!B346,"")),"")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IF([9]回答表!F18="下水道事業",IF([9]回答表!AD51="●","●",""),"")</f>
        <v/>
      </c>
      <c r="O198" s="131"/>
      <c r="P198" s="131"/>
      <c r="Q198" s="132"/>
      <c r="R198" s="119"/>
      <c r="S198" s="119"/>
      <c r="T198" s="119"/>
      <c r="U198" s="133" t="str">
        <f>IF([9]回答表!F18="下水道事業",IF([9]回答表!AD51="●",[9]回答表!B354,""),"")</f>
        <v/>
      </c>
      <c r="V198" s="134"/>
      <c r="W198" s="134"/>
      <c r="X198" s="134"/>
      <c r="Y198" s="134"/>
      <c r="Z198" s="134"/>
      <c r="AA198" s="134"/>
      <c r="AB198" s="134"/>
      <c r="AC198" s="134"/>
      <c r="AD198" s="134"/>
      <c r="AE198" s="134"/>
      <c r="AF198" s="134"/>
      <c r="AG198" s="134"/>
      <c r="AH198" s="134"/>
      <c r="AI198" s="134"/>
      <c r="AJ198" s="135"/>
      <c r="AK198" s="189"/>
      <c r="AL198" s="189"/>
      <c r="AM198" s="133" t="str">
        <f>IF([9]回答表!F18="下水道事業",IF([9]回答表!AD51="●",[9]回答表!B360,""),"")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IF([9]回答表!BD18="●",IF([9]回答表!X51="●","●",""),"")</f>
        <v/>
      </c>
      <c r="O210" s="131"/>
      <c r="P210" s="131"/>
      <c r="Q210" s="132"/>
      <c r="R210" s="119"/>
      <c r="S210" s="119"/>
      <c r="T210" s="119"/>
      <c r="U210" s="133" t="str">
        <f>IF([9]回答表!BD18="●",IF([9]回答表!X51="●",[9]回答表!B197,IF([9]回答表!AA51="●",[9]回答表!B275,"")),"")</f>
        <v/>
      </c>
      <c r="V210" s="134"/>
      <c r="W210" s="134"/>
      <c r="X210" s="134"/>
      <c r="Y210" s="134"/>
      <c r="Z210" s="134"/>
      <c r="AA210" s="134"/>
      <c r="AB210" s="134"/>
      <c r="AC210" s="134"/>
      <c r="AD210" s="134"/>
      <c r="AE210" s="134"/>
      <c r="AF210" s="134"/>
      <c r="AG210" s="134"/>
      <c r="AH210" s="134"/>
      <c r="AI210" s="134"/>
      <c r="AJ210" s="135"/>
      <c r="AK210" s="136"/>
      <c r="AL210" s="136"/>
      <c r="AM210" s="138" t="str">
        <f>IF([9]回答表!BD18="●",IF([9]回答表!X51="●",[9]回答表!B256,IF([9]回答表!AA51="●",[9]回答表!B335,"")),"")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IF([9]回答表!BD18="●",IF([9]回答表!X51="●",[9]回答表!E256,IF([9]回答表!AA51="●",[9]回答表!E335,"")),"")</f>
        <v/>
      </c>
      <c r="AN213" s="151"/>
      <c r="AO213" s="151"/>
      <c r="AP213" s="151"/>
      <c r="AQ213" s="150" t="str">
        <f>IF([9]回答表!BD18="●",IF([9]回答表!X51="●",[9]回答表!E257,IF([9]回答表!AA51="●",[9]回答表!E336,"")),"")</f>
        <v/>
      </c>
      <c r="AR213" s="151"/>
      <c r="AS213" s="151"/>
      <c r="AT213" s="151"/>
      <c r="AU213" s="150" t="str">
        <f>IF([9]回答表!BD18="●",IF([9]回答表!X51="●",[9]回答表!E258,IF([9]回答表!AA51="●",[9]回答表!E337,"")),"")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IF([9]回答表!BD18="●",IF([9]回答表!AA51="●","●",""),"")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IF([9]回答表!BD18="●",IF([9]回答表!X51="●",[9]回答表!E265,IF([9]回答表!AA51="●",[9]回答表!E344,"")),"")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IF([9]回答表!BD18="●",IF([9]回答表!X51="●",[9]回答表!B267,IF([9]回答表!AA51="●",[9]回答表!B346,"")),"")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IF([9]回答表!BD18="●",IF([9]回答表!AD51="●","●",""),"")</f>
        <v/>
      </c>
      <c r="O229" s="131"/>
      <c r="P229" s="131"/>
      <c r="Q229" s="132"/>
      <c r="R229" s="119"/>
      <c r="S229" s="119"/>
      <c r="T229" s="119"/>
      <c r="U229" s="133" t="str">
        <f>IF([9]回答表!BD18="●",IF([9]回答表!AD51="●",[9]回答表!B354,""),"")</f>
        <v/>
      </c>
      <c r="V229" s="134"/>
      <c r="W229" s="134"/>
      <c r="X229" s="134"/>
      <c r="Y229" s="134"/>
      <c r="Z229" s="134"/>
      <c r="AA229" s="134"/>
      <c r="AB229" s="134"/>
      <c r="AC229" s="134"/>
      <c r="AD229" s="134"/>
      <c r="AE229" s="134"/>
      <c r="AF229" s="134"/>
      <c r="AG229" s="134"/>
      <c r="AH229" s="134"/>
      <c r="AI229" s="134"/>
      <c r="AJ229" s="135"/>
      <c r="AK229" s="249"/>
      <c r="AL229" s="249"/>
      <c r="AM229" s="133" t="str">
        <f>IF([9]回答表!BD18="●",IF([9]回答表!AD51="●",[9]回答表!B360,""),"")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IF([9]回答表!X52="●","●","")</f>
        <v/>
      </c>
      <c r="O241" s="131"/>
      <c r="P241" s="131"/>
      <c r="Q241" s="132"/>
      <c r="R241" s="119"/>
      <c r="S241" s="119"/>
      <c r="T241" s="119"/>
      <c r="U241" s="133" t="str">
        <f>IF([9]回答表!X52="●",[9]回答表!B371,IF([9]回答表!AA52="●",[9]回答表!B396,""))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IF([9]回答表!X52="●",[9]回答表!U377,IF([9]回答表!AA52="●",[9]回答表!U402,""))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IF([9]回答表!X52="●",[9]回答表!G377,IF([9]回答表!AA52="●",[9]回答表!G402,""))</f>
        <v/>
      </c>
      <c r="AN244" s="83"/>
      <c r="AO244" s="83"/>
      <c r="AP244" s="83"/>
      <c r="AQ244" s="83"/>
      <c r="AR244" s="83"/>
      <c r="AS244" s="83"/>
      <c r="AT244" s="153"/>
      <c r="AU244" s="82" t="str">
        <f>IF([9]回答表!X52="●",[9]回答表!G378,IF([9]回答表!AA52="●",[9]回答表!G403,""))</f>
        <v/>
      </c>
      <c r="AV244" s="83"/>
      <c r="AW244" s="83"/>
      <c r="AX244" s="83"/>
      <c r="AY244" s="83"/>
      <c r="AZ244" s="83"/>
      <c r="BA244" s="83"/>
      <c r="BB244" s="153"/>
      <c r="BC244" s="120"/>
      <c r="BD244" s="109"/>
      <c r="BE244" s="109"/>
      <c r="BF244" s="150" t="str">
        <f>IF([9]回答表!X52="●",[9]回答表!X377,IF([9]回答表!AA52="●",[9]回答表!X402,""))</f>
        <v/>
      </c>
      <c r="BG244" s="151"/>
      <c r="BH244" s="151"/>
      <c r="BI244" s="151"/>
      <c r="BJ244" s="150" t="str">
        <f>IF([9]回答表!X52="●",[9]回答表!X378,IF([9]回答表!AA52="●",[9]回答表!X403,""))</f>
        <v/>
      </c>
      <c r="BK244" s="151"/>
      <c r="BL244" s="151"/>
      <c r="BM244" s="152"/>
      <c r="BN244" s="150" t="str">
        <f>IF([9]回答表!X52="●",[9]回答表!X379,IF([9]回答表!AA52="●",[9]回答表!X404,""))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IF([9]回答表!AA52="●","●","")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IF([9]回答表!X52="●",[9]回答表!E386,IF([9]回答表!AA52="●",[9]回答表!E407,""))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IF([9]回答表!X52="●",[9]回答表!B388,IF([9]回答表!AA52="●",[9]回答表!B409,""))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IF([9]回答表!AD52="●","●","")</f>
        <v/>
      </c>
      <c r="O260" s="131"/>
      <c r="P260" s="131"/>
      <c r="Q260" s="132"/>
      <c r="R260" s="119"/>
      <c r="S260" s="119"/>
      <c r="T260" s="119"/>
      <c r="U260" s="133" t="str">
        <f>IF([9]回答表!AD52="●",[9]回答表!B417,"")</f>
        <v/>
      </c>
      <c r="V260" s="134"/>
      <c r="W260" s="134"/>
      <c r="X260" s="134"/>
      <c r="Y260" s="134"/>
      <c r="Z260" s="134"/>
      <c r="AA260" s="134"/>
      <c r="AB260" s="134"/>
      <c r="AC260" s="134"/>
      <c r="AD260" s="134"/>
      <c r="AE260" s="134"/>
      <c r="AF260" s="134"/>
      <c r="AG260" s="134"/>
      <c r="AH260" s="134"/>
      <c r="AI260" s="134"/>
      <c r="AJ260" s="135"/>
      <c r="AK260" s="249"/>
      <c r="AL260" s="249"/>
      <c r="AM260" s="133" t="str">
        <f>IF([9]回答表!AD52="●",[9]回答表!B423,"")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IF([9]回答表!X53="●","●","")</f>
        <v/>
      </c>
      <c r="O272" s="131"/>
      <c r="P272" s="131"/>
      <c r="Q272" s="132"/>
      <c r="R272" s="119"/>
      <c r="S272" s="119"/>
      <c r="T272" s="119"/>
      <c r="U272" s="133" t="str">
        <f>IF([9]回答表!X53="●",[9]回答表!B434,IF([9]回答表!AA53="●",[9]回答表!B465,""))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IF([9]回答表!X53="●",[9]回答表!B440,"")</f>
        <v/>
      </c>
      <c r="AO272" s="262"/>
      <c r="AP272" s="262"/>
      <c r="AQ272" s="262"/>
      <c r="AR272" s="262"/>
      <c r="AS272" s="262"/>
      <c r="AT272" s="262"/>
      <c r="AU272" s="262"/>
      <c r="AV272" s="262"/>
      <c r="AW272" s="262"/>
      <c r="AX272" s="262"/>
      <c r="AY272" s="262"/>
      <c r="AZ272" s="262"/>
      <c r="BA272" s="262"/>
      <c r="BB272" s="263"/>
      <c r="BC272" s="120"/>
      <c r="BD272" s="109"/>
      <c r="BE272" s="109"/>
      <c r="BF272" s="138" t="str">
        <f>IF([9]回答表!X53="●",[9]回答表!B446,IF([9]回答表!AA53="●",[9]回答表!B471,""))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IF([9]回答表!X53="●",[9]回答表!E446,IF([9]回答表!AA53="●",[9]回答表!E471,""))</f>
        <v/>
      </c>
      <c r="BG275" s="151"/>
      <c r="BH275" s="151"/>
      <c r="BI275" s="151"/>
      <c r="BJ275" s="150" t="str">
        <f>IF([9]回答表!X53="●",[9]回答表!E447,IF([9]回答表!AA53="●",[9]回答表!E472,""))</f>
        <v/>
      </c>
      <c r="BK275" s="151"/>
      <c r="BL275" s="151"/>
      <c r="BM275" s="152"/>
      <c r="BN275" s="150" t="str">
        <f>IF([9]回答表!X53="●",[9]回答表!E448,IF([9]回答表!AA53="●",[9]回答表!E473,""))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IF([9]回答表!AA53="●","●","")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IF([9]回答表!X53="●",[9]回答表!E455,IF([9]回答表!AA53="●",[9]回答表!E476,""))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IF([9]回答表!X53="●",[9]回答表!B457,IF([9]回答表!AA53="●",[9]回答表!B478,""))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IF([9]回答表!AD53="●","●","")</f>
        <v/>
      </c>
      <c r="O291" s="131"/>
      <c r="P291" s="131"/>
      <c r="Q291" s="132"/>
      <c r="R291" s="119"/>
      <c r="S291" s="119"/>
      <c r="T291" s="119"/>
      <c r="U291" s="133" t="str">
        <f>IF([9]回答表!AD53="●",[9]回答表!B486,"")</f>
        <v/>
      </c>
      <c r="V291" s="134"/>
      <c r="W291" s="134"/>
      <c r="X291" s="134"/>
      <c r="Y291" s="134"/>
      <c r="Z291" s="134"/>
      <c r="AA291" s="134"/>
      <c r="AB291" s="134"/>
      <c r="AC291" s="134"/>
      <c r="AD291" s="134"/>
      <c r="AE291" s="134"/>
      <c r="AF291" s="134"/>
      <c r="AG291" s="134"/>
      <c r="AH291" s="134"/>
      <c r="AI291" s="134"/>
      <c r="AJ291" s="135"/>
      <c r="AK291" s="249"/>
      <c r="AL291" s="249"/>
      <c r="AM291" s="133" t="str">
        <f>IF([9]回答表!AD53="●",[9]回答表!B492,"")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IF([9]回答表!X54="●","●","")</f>
        <v/>
      </c>
      <c r="O303" s="131"/>
      <c r="P303" s="131"/>
      <c r="Q303" s="132"/>
      <c r="R303" s="119"/>
      <c r="S303" s="119"/>
      <c r="T303" s="119"/>
      <c r="U303" s="133" t="str">
        <f>IF([9]回答表!X54="●",[9]回答表!B503,IF([9]回答表!AA54="●",[9]回答表!B526,""))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IF([9]回答表!X54="●",[9]回答表!BC510,IF([9]回答表!AA54="●",[9]回答表!BC533,""))</f>
        <v/>
      </c>
      <c r="AR303" s="271"/>
      <c r="AS303" s="271"/>
      <c r="AT303" s="271"/>
      <c r="AU303" s="272" t="s">
        <v>74</v>
      </c>
      <c r="AV303" s="273"/>
      <c r="AW303" s="273"/>
      <c r="AX303" s="274"/>
      <c r="AY303" s="271" t="str">
        <f>IF([9]回答表!X54="●",[9]回答表!BC515,IF([9]回答表!AA54="●",[9]回答表!BC538,""))</f>
        <v/>
      </c>
      <c r="AZ303" s="271"/>
      <c r="BA303" s="271"/>
      <c r="BB303" s="271"/>
      <c r="BC303" s="120"/>
      <c r="BD303" s="109"/>
      <c r="BE303" s="109"/>
      <c r="BF303" s="138" t="str">
        <f>IF([9]回答表!X54="●",[9]回答表!S509,IF([9]回答表!AA54="●",[9]回答表!S532,""))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IF([9]回答表!X54="●",[9]回答表!BC511,IF([9]回答表!AA54="●",[9]回答表!BC534,""))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IF([9]回答表!X54="●",[9]回答表!V509,IF([9]回答表!AA54="●",[9]回答表!V532,""))</f>
        <v/>
      </c>
      <c r="BG306" s="151"/>
      <c r="BH306" s="151"/>
      <c r="BI306" s="151"/>
      <c r="BJ306" s="150" t="str">
        <f>IF([9]回答表!X54="●",[9]回答表!V510,IF([9]回答表!AA54="●",[9]回答表!V533,""))</f>
        <v/>
      </c>
      <c r="BK306" s="151"/>
      <c r="BL306" s="151"/>
      <c r="BM306" s="152"/>
      <c r="BN306" s="150" t="str">
        <f>IF([9]回答表!X54="●",[9]回答表!V511,IF([9]回答表!AA54="●",[9]回答表!V534,""))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IF([9]回答表!X54="●",[9]回答表!BC512,IF([9]回答表!AA54="●",[9]回答表!BC535,""))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IF([9]回答表!X54="●",[9]回答表!BC516,IF([9]回答表!AA54="●",[9]回答表!BC539,""))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IF([9]回答表!AA54="●","●","")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IF([9]回答表!X54="●",[9]回答表!BC513,IF([9]回答表!AA54="●",[9]回答表!BC536,""))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IF([9]回答表!X54="●",[9]回答表!BC514,IF([9]回答表!AA54="●",[9]回答表!BC537,""))</f>
        <v/>
      </c>
      <c r="AR311" s="271"/>
      <c r="AS311" s="271"/>
      <c r="AT311" s="271"/>
      <c r="AU311" s="222" t="s">
        <v>80</v>
      </c>
      <c r="AV311" s="223"/>
      <c r="AW311" s="223"/>
      <c r="AX311" s="224"/>
      <c r="AY311" s="281" t="str">
        <f>IF([9]回答表!X54="●",[9]回答表!BC517,IF([9]回答表!AA54="●",[9]回答表!BC540,""))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IF([9]回答表!X54="●",[9]回答表!E516,IF([9]回答表!AA54="●",[9]回答表!E538,""))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IF([9]回答表!X54="●",[9]回答表!B518,IF([9]回答表!AA54="●",[9]回答表!B540,""))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IF([9]回答表!AD54="●","●","")</f>
        <v/>
      </c>
      <c r="O322" s="131"/>
      <c r="P322" s="131"/>
      <c r="Q322" s="132"/>
      <c r="R322" s="119"/>
      <c r="S322" s="119"/>
      <c r="T322" s="119"/>
      <c r="U322" s="133" t="str">
        <f>IF([9]回答表!AD54="●",[9]回答表!B548,"")</f>
        <v/>
      </c>
      <c r="V322" s="134"/>
      <c r="W322" s="134"/>
      <c r="X322" s="134"/>
      <c r="Y322" s="134"/>
      <c r="Z322" s="134"/>
      <c r="AA322" s="134"/>
      <c r="AB322" s="134"/>
      <c r="AC322" s="134"/>
      <c r="AD322" s="134"/>
      <c r="AE322" s="134"/>
      <c r="AF322" s="134"/>
      <c r="AG322" s="134"/>
      <c r="AH322" s="134"/>
      <c r="AI322" s="134"/>
      <c r="AJ322" s="135"/>
      <c r="AK322" s="189"/>
      <c r="AL322" s="189"/>
      <c r="AM322" s="133" t="str">
        <f>IF([9]回答表!AD54="●",[9]回答表!B554,"")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IF([9]回答表!X55="●","●","")</f>
        <v/>
      </c>
      <c r="O333" s="131"/>
      <c r="P333" s="131"/>
      <c r="Q333" s="132"/>
      <c r="R333" s="119"/>
      <c r="S333" s="119"/>
      <c r="T333" s="119"/>
      <c r="U333" s="133" t="str">
        <f>IF([9]回答表!X55="●",[9]回答表!B565,IF([9]回答表!AA55="●",[9]回答表!B590,""))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IF([9]回答表!X55="●",[9]回答表!B575,IF([9]回答表!AA55="●",[9]回答表!B600,""))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IF([9]回答表!X55="●",[9]回答表!G571,IF([9]回答表!AA55="●",[9]回答表!G596,""))</f>
        <v/>
      </c>
      <c r="AN335" s="83"/>
      <c r="AO335" s="83"/>
      <c r="AP335" s="83"/>
      <c r="AQ335" s="83"/>
      <c r="AR335" s="83"/>
      <c r="AS335" s="83"/>
      <c r="AT335" s="153"/>
      <c r="AU335" s="82" t="str">
        <f>IF([9]回答表!X55="●",[9]回答表!G572,IF([9]回答表!AA55="●",[9]回答表!G597,""))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IF([9]回答表!X55="●",[9]回答表!E575,IF([9]回答表!AA55="●",[9]回答表!E600,""))</f>
        <v/>
      </c>
      <c r="BG336" s="151"/>
      <c r="BH336" s="151"/>
      <c r="BI336" s="151"/>
      <c r="BJ336" s="150" t="str">
        <f>IF([9]回答表!X55="●",[9]回答表!E576,IF([9]回答表!AA55="●",[9]回答表!E601,""))</f>
        <v/>
      </c>
      <c r="BK336" s="151"/>
      <c r="BL336" s="151"/>
      <c r="BM336" s="152"/>
      <c r="BN336" s="150" t="str">
        <f>IF([9]回答表!X55="●",[9]回答表!E577,IF([9]回答表!AA55="●",[9]回答表!E602,""))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IF([9]回答表!AA55="●","●","")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IF([9]回答表!X55="●",[9]回答表!E580,IF([9]回答表!AA55="●",[9]回答表!E605,""))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IF([9]回答表!X55="●",[9]回答表!B582,IF([9]回答表!AA55="●",[9]回答表!B607,""))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IF([9]回答表!AD55="●","●","")</f>
        <v/>
      </c>
      <c r="O352" s="131"/>
      <c r="P352" s="131"/>
      <c r="Q352" s="132"/>
      <c r="R352" s="119"/>
      <c r="S352" s="119"/>
      <c r="T352" s="119"/>
      <c r="U352" s="133" t="str">
        <f>IF([9]回答表!AD55="●",[9]回答表!B615,"")</f>
        <v/>
      </c>
      <c r="V352" s="134"/>
      <c r="W352" s="134"/>
      <c r="X352" s="134"/>
      <c r="Y352" s="134"/>
      <c r="Z352" s="134"/>
      <c r="AA352" s="134"/>
      <c r="AB352" s="134"/>
      <c r="AC352" s="134"/>
      <c r="AD352" s="134"/>
      <c r="AE352" s="134"/>
      <c r="AF352" s="134"/>
      <c r="AG352" s="134"/>
      <c r="AH352" s="134"/>
      <c r="AI352" s="134"/>
      <c r="AJ352" s="135"/>
      <c r="AK352" s="136"/>
      <c r="AL352" s="136"/>
      <c r="AM352" s="133" t="str">
        <f>IF([9]回答表!AD55="●",[9]回答表!B621,"")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IF([9]回答表!R56="●",[9]回答表!B634,"")</f>
        <v>　令和2年4月1日より公営企業化し、同年度中に、公共下水道事業や農業集落排水事業など8事業分をまとめた経営戦略を策定している。使用料収入は、年々減収し累積赤字が膨らむため使用料改定の検討を早期に行うこととしている。また、投資については生活排水整備構想のなかで様々な検討したものの、現段階では現行の経営体制・手法が良いと判断した。</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takuzo</vt:lpstr>
      <vt:lpstr>suido</vt:lpstr>
      <vt:lpstr>kanko</vt:lpstr>
      <vt:lpstr>kansui</vt:lpstr>
      <vt:lpstr>kaigo_tanki</vt:lpstr>
      <vt:lpstr>kaigo_dei</vt:lpstr>
      <vt:lpstr>kaigo_sitei</vt:lpstr>
      <vt:lpstr>gesui_nousyu</vt:lpstr>
      <vt:lpstr>gesui_tokuhai</vt:lpstr>
      <vt:lpstr>gesui_tokkan</vt:lpstr>
      <vt:lpstr>gesui_shokibo</vt:lpstr>
      <vt:lpstr>gesui_koukyo</vt:lpstr>
      <vt:lpstr>gesui_kobestu</vt:lpstr>
      <vt:lpstr>gesui_gosyu</vt:lpstr>
      <vt:lpstr>gesui_kanhai</vt:lpstr>
      <vt:lpstr>gas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田村　修平</dc:creator>
  <cp:lastModifiedBy>田村　修平</cp:lastModifiedBy>
  <dcterms:created xsi:type="dcterms:W3CDTF">2022-10-12T23:33:09Z</dcterms:created>
  <dcterms:modified xsi:type="dcterms:W3CDTF">2022-10-13T01:03:25Z</dcterms:modified>
</cp:coreProperties>
</file>