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dmin\02koueikigyo\02 業務\01 共通業務\03 各種調査・照会\07 経営総点検調査・抜本的改革取組状況調査\R04年度作業\01 抜本的な改革の取組状況調査\07公開用ファイル\"/>
    </mc:Choice>
  </mc:AlternateContent>
  <xr:revisionPtr revIDLastSave="0" documentId="13_ncr:1_{154676BC-8CA4-42B0-A4DB-68844AB63DBF}" xr6:coauthVersionLast="47" xr6:coauthVersionMax="47" xr10:uidLastSave="{00000000-0000-0000-0000-000000000000}"/>
  <bookViews>
    <workbookView xWindow="135" yWindow="600" windowWidth="28665" windowHeight="15600" firstSheet="10" activeTab="12" xr2:uid="{BC254DD8-AB24-4553-B0E1-D4723D9F9C95}"/>
  </bookViews>
  <sheets>
    <sheet name="hos" sheetId="1" r:id="rId1"/>
    <sheet name="suido" sheetId="2" r:id="rId2"/>
    <sheet name="kousi" sheetId="3" r:id="rId3"/>
    <sheet name="ichiba" sheetId="4" r:id="rId4"/>
    <sheet name="kansui" sheetId="5" r:id="rId5"/>
    <sheet name="kaigo_tanki" sheetId="6" r:id="rId6"/>
    <sheet name="kaigo_dei" sheetId="7" r:id="rId7"/>
    <sheet name="kaigo_sitei" sheetId="8" r:id="rId8"/>
    <sheet name="gesui_nosyu" sheetId="9" r:id="rId9"/>
    <sheet name="gesui_tokan" sheetId="10" r:id="rId10"/>
    <sheet name="gesui_koukyo" sheetId="11" r:id="rId11"/>
    <sheet name="gesui_tokuhai" sheetId="12" r:id="rId12"/>
    <sheet name="chushajo"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5" i="13" l="1"/>
  <c r="AM352" i="13"/>
  <c r="U352" i="13"/>
  <c r="N352" i="13"/>
  <c r="AM345" i="13"/>
  <c r="U345" i="13"/>
  <c r="N339" i="13"/>
  <c r="BN336" i="13"/>
  <c r="BJ336" i="13"/>
  <c r="BF336" i="13"/>
  <c r="AU335" i="13"/>
  <c r="AM335" i="13"/>
  <c r="BF333" i="13"/>
  <c r="U333" i="13"/>
  <c r="N333" i="13"/>
  <c r="AM322" i="13"/>
  <c r="U322" i="13"/>
  <c r="N322" i="13"/>
  <c r="AM315" i="13"/>
  <c r="U315" i="13"/>
  <c r="AY311" i="13"/>
  <c r="AQ311" i="13"/>
  <c r="AQ309" i="13"/>
  <c r="N309" i="13"/>
  <c r="AY308" i="13"/>
  <c r="AQ307" i="13"/>
  <c r="BN306" i="13"/>
  <c r="BJ306" i="13"/>
  <c r="BF306" i="13"/>
  <c r="AQ305" i="13"/>
  <c r="BF303" i="13"/>
  <c r="AY303" i="13"/>
  <c r="AQ303" i="13"/>
  <c r="U303" i="13"/>
  <c r="N303" i="13"/>
  <c r="AM291" i="13"/>
  <c r="U291" i="13"/>
  <c r="N291" i="13"/>
  <c r="AM284" i="13"/>
  <c r="U284" i="13"/>
  <c r="N278" i="13"/>
  <c r="BN275" i="13"/>
  <c r="BJ275" i="13"/>
  <c r="BF275" i="13"/>
  <c r="BF272" i="13"/>
  <c r="AN272" i="13"/>
  <c r="U272" i="13"/>
  <c r="N272" i="13"/>
  <c r="AM260" i="13"/>
  <c r="U260" i="13"/>
  <c r="N260" i="13"/>
  <c r="AM253" i="13"/>
  <c r="U253" i="13"/>
  <c r="N247" i="13"/>
  <c r="BN244" i="13"/>
  <c r="BJ244" i="13"/>
  <c r="BF244" i="13"/>
  <c r="AU244" i="13"/>
  <c r="AM244" i="13"/>
  <c r="BF241" i="13"/>
  <c r="U241" i="13"/>
  <c r="N241" i="13"/>
  <c r="AM229" i="13"/>
  <c r="U229" i="13"/>
  <c r="N229" i="13"/>
  <c r="AM222" i="13"/>
  <c r="U222" i="13"/>
  <c r="N216" i="13"/>
  <c r="AU213" i="13"/>
  <c r="AQ213" i="13"/>
  <c r="AM213" i="13"/>
  <c r="AM210" i="13"/>
  <c r="U210" i="13"/>
  <c r="N210" i="13"/>
  <c r="AM198" i="13"/>
  <c r="U198" i="13"/>
  <c r="N198" i="13"/>
  <c r="AM191" i="13"/>
  <c r="U191" i="13"/>
  <c r="AK186" i="13"/>
  <c r="AC186" i="13"/>
  <c r="U186" i="13"/>
  <c r="N185" i="13"/>
  <c r="BA180" i="13"/>
  <c r="AS180" i="13"/>
  <c r="AK180" i="13"/>
  <c r="AC180" i="13"/>
  <c r="U180" i="13"/>
  <c r="AC174" i="13"/>
  <c r="U174" i="13"/>
  <c r="BX169" i="13"/>
  <c r="BN169" i="13"/>
  <c r="BJ169" i="13"/>
  <c r="BF169" i="13"/>
  <c r="U168" i="13"/>
  <c r="BF166" i="13"/>
  <c r="AM166" i="13"/>
  <c r="N166" i="13"/>
  <c r="AM154" i="13"/>
  <c r="U154" i="13"/>
  <c r="N154" i="13"/>
  <c r="AM147" i="13"/>
  <c r="U147" i="13"/>
  <c r="AY142" i="13"/>
  <c r="AS142" i="13"/>
  <c r="AM142" i="13"/>
  <c r="U142" i="13"/>
  <c r="N139" i="13"/>
  <c r="U137" i="13"/>
  <c r="BN133" i="13"/>
  <c r="BJ133" i="13"/>
  <c r="BF133" i="13"/>
  <c r="U132" i="13"/>
  <c r="N132" i="13"/>
  <c r="BF130" i="13"/>
  <c r="AM130" i="13"/>
  <c r="AM118" i="13"/>
  <c r="U118" i="13"/>
  <c r="N118" i="13"/>
  <c r="AM111" i="13"/>
  <c r="U111" i="13"/>
  <c r="AC106" i="13"/>
  <c r="U106" i="13"/>
  <c r="N105" i="13"/>
  <c r="BN102" i="13"/>
  <c r="BJ102" i="13"/>
  <c r="BF102" i="13"/>
  <c r="AC101" i="13"/>
  <c r="U101" i="13"/>
  <c r="BF99" i="13"/>
  <c r="AM99" i="13"/>
  <c r="N99" i="13"/>
  <c r="AM87" i="13"/>
  <c r="U87" i="13"/>
  <c r="N87" i="13"/>
  <c r="AM80" i="13"/>
  <c r="U80" i="13"/>
  <c r="N74" i="13"/>
  <c r="BN71" i="13"/>
  <c r="BJ71" i="13"/>
  <c r="BF71" i="13"/>
  <c r="AU71" i="13"/>
  <c r="AM71" i="13"/>
  <c r="BF68" i="13"/>
  <c r="U68" i="13"/>
  <c r="N68" i="13"/>
  <c r="AM57" i="13"/>
  <c r="U57" i="13"/>
  <c r="N57" i="13"/>
  <c r="AM50" i="13"/>
  <c r="U50"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365" i="12" l="1"/>
  <c r="AM352" i="12"/>
  <c r="U352" i="12"/>
  <c r="N352" i="12"/>
  <c r="AM345" i="12"/>
  <c r="U345" i="12"/>
  <c r="N339" i="12"/>
  <c r="BN336" i="12"/>
  <c r="BJ336" i="12"/>
  <c r="BF336" i="12"/>
  <c r="AU335" i="12"/>
  <c r="AM335" i="12"/>
  <c r="BF333" i="12"/>
  <c r="U333" i="12"/>
  <c r="N333" i="12"/>
  <c r="AM322" i="12"/>
  <c r="U322" i="12"/>
  <c r="N322" i="12"/>
  <c r="AM315" i="12"/>
  <c r="U315" i="12"/>
  <c r="AY311" i="12"/>
  <c r="AQ311" i="12"/>
  <c r="AQ309" i="12"/>
  <c r="N309" i="12"/>
  <c r="AY308" i="12"/>
  <c r="AQ307" i="12"/>
  <c r="BN306" i="12"/>
  <c r="BJ306" i="12"/>
  <c r="BF306" i="12"/>
  <c r="AQ305" i="12"/>
  <c r="BF303" i="12"/>
  <c r="AY303" i="12"/>
  <c r="AQ303" i="12"/>
  <c r="U303" i="12"/>
  <c r="N303" i="12"/>
  <c r="AM291" i="12"/>
  <c r="U291" i="12"/>
  <c r="N291" i="12"/>
  <c r="AM284" i="12"/>
  <c r="U284" i="12"/>
  <c r="N278" i="12"/>
  <c r="BN275" i="12"/>
  <c r="BJ275" i="12"/>
  <c r="BF275" i="12"/>
  <c r="BF272" i="12"/>
  <c r="AN272" i="12"/>
  <c r="U272" i="12"/>
  <c r="N272" i="12"/>
  <c r="AM260" i="12"/>
  <c r="U260" i="12"/>
  <c r="N260" i="12"/>
  <c r="AM253" i="12"/>
  <c r="U253" i="12"/>
  <c r="N247" i="12"/>
  <c r="BN244" i="12"/>
  <c r="BJ244" i="12"/>
  <c r="BF244" i="12"/>
  <c r="AU244" i="12"/>
  <c r="AM244" i="12"/>
  <c r="BF241" i="12"/>
  <c r="U241" i="12"/>
  <c r="N241" i="12"/>
  <c r="AM229" i="12"/>
  <c r="U229" i="12"/>
  <c r="N229" i="12"/>
  <c r="AM222" i="12"/>
  <c r="U222" i="12"/>
  <c r="N216" i="12"/>
  <c r="AU213" i="12"/>
  <c r="AQ213" i="12"/>
  <c r="AM213" i="12"/>
  <c r="AM210" i="12"/>
  <c r="U210" i="12"/>
  <c r="N210" i="12"/>
  <c r="AM198" i="12"/>
  <c r="U198" i="12"/>
  <c r="N198" i="12"/>
  <c r="AM191" i="12"/>
  <c r="U191" i="12"/>
  <c r="AK186" i="12"/>
  <c r="AC186" i="12"/>
  <c r="U186" i="12"/>
  <c r="N185" i="12"/>
  <c r="BA180" i="12"/>
  <c r="AS180" i="12"/>
  <c r="AK180" i="12"/>
  <c r="AC180" i="12"/>
  <c r="U180" i="12"/>
  <c r="AC174" i="12"/>
  <c r="U174" i="12"/>
  <c r="BX169" i="12"/>
  <c r="BN169" i="12"/>
  <c r="BJ169" i="12"/>
  <c r="BF169" i="12"/>
  <c r="U168" i="12"/>
  <c r="BF166" i="12"/>
  <c r="AM166" i="12"/>
  <c r="N166" i="12"/>
  <c r="AM154" i="12"/>
  <c r="U154" i="12"/>
  <c r="N154" i="12"/>
  <c r="AM147" i="12"/>
  <c r="U147" i="12"/>
  <c r="AY142" i="12"/>
  <c r="AS142" i="12"/>
  <c r="AM142" i="12"/>
  <c r="U142" i="12"/>
  <c r="N139" i="12"/>
  <c r="U137" i="12"/>
  <c r="BN133" i="12"/>
  <c r="BJ133" i="12"/>
  <c r="BF133" i="12"/>
  <c r="U132" i="12"/>
  <c r="N132" i="12"/>
  <c r="BF130" i="12"/>
  <c r="AM130" i="12"/>
  <c r="AM118" i="12"/>
  <c r="U118" i="12"/>
  <c r="N118" i="12"/>
  <c r="AM111" i="12"/>
  <c r="U111" i="12"/>
  <c r="AC106" i="12"/>
  <c r="U106" i="12"/>
  <c r="N105" i="12"/>
  <c r="BN102" i="12"/>
  <c r="BJ102" i="12"/>
  <c r="BF102" i="12"/>
  <c r="AC101" i="12"/>
  <c r="U101" i="12"/>
  <c r="BF99" i="12"/>
  <c r="AM99" i="12"/>
  <c r="N99" i="12"/>
  <c r="AM87" i="12"/>
  <c r="U87" i="12"/>
  <c r="N87" i="12"/>
  <c r="AM80" i="12"/>
  <c r="U80" i="12"/>
  <c r="N74" i="12"/>
  <c r="BN71" i="12"/>
  <c r="BJ71" i="12"/>
  <c r="BF71" i="12"/>
  <c r="AU71" i="12"/>
  <c r="AM71" i="12"/>
  <c r="BF68" i="12"/>
  <c r="U68" i="12"/>
  <c r="N68" i="12"/>
  <c r="AM57" i="12"/>
  <c r="U57" i="12"/>
  <c r="N57" i="12"/>
  <c r="AM50" i="12"/>
  <c r="U50"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365" i="11" l="1"/>
  <c r="AM352" i="11"/>
  <c r="U352" i="11"/>
  <c r="N352" i="11"/>
  <c r="AM345" i="11"/>
  <c r="U345" i="11"/>
  <c r="N339" i="11"/>
  <c r="BN336" i="11"/>
  <c r="BJ336" i="11"/>
  <c r="BF336" i="11"/>
  <c r="AU335" i="11"/>
  <c r="AM335" i="11"/>
  <c r="BF333" i="11"/>
  <c r="U333" i="11"/>
  <c r="N333" i="11"/>
  <c r="AM322" i="11"/>
  <c r="U322" i="11"/>
  <c r="N322" i="11"/>
  <c r="AM315" i="11"/>
  <c r="U315" i="11"/>
  <c r="AY311" i="11"/>
  <c r="AQ311" i="11"/>
  <c r="AQ309" i="11"/>
  <c r="N309" i="11"/>
  <c r="AY308" i="11"/>
  <c r="AQ307" i="11"/>
  <c r="BN306" i="11"/>
  <c r="BJ306" i="11"/>
  <c r="BF306" i="11"/>
  <c r="AQ305" i="11"/>
  <c r="BF303" i="11"/>
  <c r="AY303" i="11"/>
  <c r="AQ303" i="11"/>
  <c r="U303" i="11"/>
  <c r="N303" i="11"/>
  <c r="AM291" i="11"/>
  <c r="U291" i="11"/>
  <c r="N291" i="11"/>
  <c r="AM284" i="11"/>
  <c r="U284" i="11"/>
  <c r="N278" i="11"/>
  <c r="BN275" i="11"/>
  <c r="BJ275" i="11"/>
  <c r="BF275" i="11"/>
  <c r="BF272" i="11"/>
  <c r="AN272" i="11"/>
  <c r="U272" i="11"/>
  <c r="N272" i="11"/>
  <c r="AM260" i="11"/>
  <c r="U260" i="11"/>
  <c r="N260" i="11"/>
  <c r="AM253" i="11"/>
  <c r="U253" i="11"/>
  <c r="N247" i="11"/>
  <c r="BN244" i="11"/>
  <c r="BJ244" i="11"/>
  <c r="BF244" i="11"/>
  <c r="AU244" i="11"/>
  <c r="AM244" i="11"/>
  <c r="BF241" i="11"/>
  <c r="U241" i="11"/>
  <c r="N241" i="11"/>
  <c r="AM229" i="11"/>
  <c r="U229" i="11"/>
  <c r="N229" i="11"/>
  <c r="AM222" i="11"/>
  <c r="U222" i="11"/>
  <c r="N216" i="11"/>
  <c r="AU213" i="11"/>
  <c r="AQ213" i="11"/>
  <c r="AM213" i="11"/>
  <c r="AM210" i="11"/>
  <c r="U210" i="11"/>
  <c r="N210" i="11"/>
  <c r="AM198" i="11"/>
  <c r="U198" i="11"/>
  <c r="N198" i="11"/>
  <c r="AM191" i="11"/>
  <c r="U191" i="11"/>
  <c r="AK186" i="11"/>
  <c r="AC186" i="11"/>
  <c r="U186" i="11"/>
  <c r="N185" i="11"/>
  <c r="BA180" i="11"/>
  <c r="AS180" i="11"/>
  <c r="AK180" i="11"/>
  <c r="AC180" i="11"/>
  <c r="U180" i="11"/>
  <c r="AC174" i="11"/>
  <c r="U174" i="11"/>
  <c r="BX169" i="11"/>
  <c r="BN169" i="11"/>
  <c r="BJ169" i="11"/>
  <c r="BF169" i="11"/>
  <c r="U168" i="11"/>
  <c r="BF166" i="11"/>
  <c r="AM166" i="11"/>
  <c r="N166" i="11"/>
  <c r="AM154" i="11"/>
  <c r="U154" i="11"/>
  <c r="N154" i="11"/>
  <c r="AM147" i="11"/>
  <c r="U147" i="11"/>
  <c r="AY142" i="11"/>
  <c r="AS142" i="11"/>
  <c r="AM142" i="11"/>
  <c r="U142" i="11"/>
  <c r="N139" i="11"/>
  <c r="U137" i="11"/>
  <c r="BN133" i="11"/>
  <c r="BJ133" i="11"/>
  <c r="BF133" i="11"/>
  <c r="U132" i="11"/>
  <c r="N132" i="11"/>
  <c r="BF130" i="11"/>
  <c r="AM130" i="11"/>
  <c r="AM118" i="11"/>
  <c r="U118" i="11"/>
  <c r="N118" i="11"/>
  <c r="AM111" i="11"/>
  <c r="U111" i="11"/>
  <c r="AC106" i="11"/>
  <c r="U106" i="11"/>
  <c r="N105" i="11"/>
  <c r="BN102" i="11"/>
  <c r="BJ102" i="11"/>
  <c r="BF102" i="11"/>
  <c r="AC101" i="11"/>
  <c r="U101" i="11"/>
  <c r="BF99" i="11"/>
  <c r="AM99" i="11"/>
  <c r="N99" i="11"/>
  <c r="AM87" i="11"/>
  <c r="U87" i="11"/>
  <c r="N87" i="11"/>
  <c r="AM80" i="11"/>
  <c r="U80" i="11"/>
  <c r="N74" i="11"/>
  <c r="BN71" i="11"/>
  <c r="BJ71" i="11"/>
  <c r="BF71" i="11"/>
  <c r="AU71" i="11"/>
  <c r="AM71" i="11"/>
  <c r="BF68" i="11"/>
  <c r="U68" i="11"/>
  <c r="N68" i="11"/>
  <c r="AM57" i="11"/>
  <c r="U57" i="11"/>
  <c r="N57" i="11"/>
  <c r="AM50" i="11"/>
  <c r="U50"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365" i="10" l="1"/>
  <c r="AM352" i="10"/>
  <c r="U352" i="10"/>
  <c r="N352" i="10"/>
  <c r="AM345" i="10"/>
  <c r="U345" i="10"/>
  <c r="N339" i="10"/>
  <c r="BN336" i="10"/>
  <c r="BJ336" i="10"/>
  <c r="BF336" i="10"/>
  <c r="AU335" i="10"/>
  <c r="AM335" i="10"/>
  <c r="BF333" i="10"/>
  <c r="U333" i="10"/>
  <c r="N333" i="10"/>
  <c r="AM322" i="10"/>
  <c r="U322" i="10"/>
  <c r="N322" i="10"/>
  <c r="AM315" i="10"/>
  <c r="U315" i="10"/>
  <c r="AY311" i="10"/>
  <c r="AQ311" i="10"/>
  <c r="AQ309" i="10"/>
  <c r="N309" i="10"/>
  <c r="AY308" i="10"/>
  <c r="AQ307" i="10"/>
  <c r="BN306" i="10"/>
  <c r="BJ306" i="10"/>
  <c r="BF306" i="10"/>
  <c r="AQ305" i="10"/>
  <c r="BF303" i="10"/>
  <c r="AY303" i="10"/>
  <c r="AQ303" i="10"/>
  <c r="U303" i="10"/>
  <c r="N303" i="10"/>
  <c r="AM291" i="10"/>
  <c r="U291" i="10"/>
  <c r="N291" i="10"/>
  <c r="AM284" i="10"/>
  <c r="U284" i="10"/>
  <c r="N278" i="10"/>
  <c r="BN275" i="10"/>
  <c r="BJ275" i="10"/>
  <c r="BF275" i="10"/>
  <c r="BF272" i="10"/>
  <c r="AN272" i="10"/>
  <c r="U272" i="10"/>
  <c r="N272" i="10"/>
  <c r="AM260" i="10"/>
  <c r="U260" i="10"/>
  <c r="N260" i="10"/>
  <c r="AM253" i="10"/>
  <c r="U253" i="10"/>
  <c r="N247" i="10"/>
  <c r="BN244" i="10"/>
  <c r="BJ244" i="10"/>
  <c r="BF244" i="10"/>
  <c r="AU244" i="10"/>
  <c r="AM244" i="10"/>
  <c r="BF241" i="10"/>
  <c r="U241" i="10"/>
  <c r="N241" i="10"/>
  <c r="AM229" i="10"/>
  <c r="U229" i="10"/>
  <c r="N229" i="10"/>
  <c r="AM222" i="10"/>
  <c r="U222" i="10"/>
  <c r="N216" i="10"/>
  <c r="AU213" i="10"/>
  <c r="AQ213" i="10"/>
  <c r="AM213" i="10"/>
  <c r="AM210" i="10"/>
  <c r="U210" i="10"/>
  <c r="N210" i="10"/>
  <c r="AM198" i="10"/>
  <c r="U198" i="10"/>
  <c r="N198" i="10"/>
  <c r="AM191" i="10"/>
  <c r="U191" i="10"/>
  <c r="AK186" i="10"/>
  <c r="AC186" i="10"/>
  <c r="U186" i="10"/>
  <c r="N185" i="10"/>
  <c r="BA180" i="10"/>
  <c r="AS180" i="10"/>
  <c r="AK180" i="10"/>
  <c r="AC180" i="10"/>
  <c r="U180" i="10"/>
  <c r="AC174" i="10"/>
  <c r="U174" i="10"/>
  <c r="BX169" i="10"/>
  <c r="BN169" i="10"/>
  <c r="BJ169" i="10"/>
  <c r="BF169" i="10"/>
  <c r="U168" i="10"/>
  <c r="BF166" i="10"/>
  <c r="AM166" i="10"/>
  <c r="N166" i="10"/>
  <c r="AM154" i="10"/>
  <c r="U154" i="10"/>
  <c r="N154" i="10"/>
  <c r="AM147" i="10"/>
  <c r="U147" i="10"/>
  <c r="AY142" i="10"/>
  <c r="AS142" i="10"/>
  <c r="AM142" i="10"/>
  <c r="U142" i="10"/>
  <c r="N139" i="10"/>
  <c r="U137" i="10"/>
  <c r="BN133" i="10"/>
  <c r="BJ133" i="10"/>
  <c r="BF133" i="10"/>
  <c r="U132" i="10"/>
  <c r="N132" i="10"/>
  <c r="BF130" i="10"/>
  <c r="AM130" i="10"/>
  <c r="AM118" i="10"/>
  <c r="U118" i="10"/>
  <c r="N118" i="10"/>
  <c r="AM111" i="10"/>
  <c r="U111" i="10"/>
  <c r="AC106" i="10"/>
  <c r="U106" i="10"/>
  <c r="N105" i="10"/>
  <c r="BN102" i="10"/>
  <c r="BJ102" i="10"/>
  <c r="BF102" i="10"/>
  <c r="AC101" i="10"/>
  <c r="U101" i="10"/>
  <c r="BF99" i="10"/>
  <c r="AM99" i="10"/>
  <c r="N99" i="10"/>
  <c r="AM87" i="10"/>
  <c r="U87" i="10"/>
  <c r="N87" i="10"/>
  <c r="AM80" i="10"/>
  <c r="U80" i="10"/>
  <c r="N74" i="10"/>
  <c r="BN71" i="10"/>
  <c r="BJ71" i="10"/>
  <c r="BF71" i="10"/>
  <c r="AU71" i="10"/>
  <c r="AM71" i="10"/>
  <c r="BF68" i="10"/>
  <c r="U68" i="10"/>
  <c r="N68" i="10"/>
  <c r="AM57" i="10"/>
  <c r="U57" i="10"/>
  <c r="N57" i="10"/>
  <c r="AM50" i="10"/>
  <c r="U50"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365" i="9" l="1"/>
  <c r="AM352" i="9"/>
  <c r="U352" i="9"/>
  <c r="N352" i="9"/>
  <c r="AM345" i="9"/>
  <c r="U345" i="9"/>
  <c r="N339" i="9"/>
  <c r="BN336" i="9"/>
  <c r="BJ336" i="9"/>
  <c r="BF336" i="9"/>
  <c r="AU335" i="9"/>
  <c r="AM335" i="9"/>
  <c r="BF333" i="9"/>
  <c r="U333" i="9"/>
  <c r="N333" i="9"/>
  <c r="AM322" i="9"/>
  <c r="U322" i="9"/>
  <c r="N322" i="9"/>
  <c r="AM315" i="9"/>
  <c r="U315" i="9"/>
  <c r="AY311" i="9"/>
  <c r="AQ311" i="9"/>
  <c r="AQ309" i="9"/>
  <c r="N309" i="9"/>
  <c r="AY308" i="9"/>
  <c r="AQ307" i="9"/>
  <c r="BN306" i="9"/>
  <c r="BJ306" i="9"/>
  <c r="BF306" i="9"/>
  <c r="AQ305" i="9"/>
  <c r="BF303" i="9"/>
  <c r="AY303" i="9"/>
  <c r="AQ303" i="9"/>
  <c r="U303" i="9"/>
  <c r="N303" i="9"/>
  <c r="AM291" i="9"/>
  <c r="U291" i="9"/>
  <c r="N291" i="9"/>
  <c r="AM284" i="9"/>
  <c r="U284" i="9"/>
  <c r="N278" i="9"/>
  <c r="BN275" i="9"/>
  <c r="BJ275" i="9"/>
  <c r="BF275" i="9"/>
  <c r="BF272" i="9"/>
  <c r="AN272" i="9"/>
  <c r="U272" i="9"/>
  <c r="N272" i="9"/>
  <c r="AM260" i="9"/>
  <c r="U260" i="9"/>
  <c r="N260" i="9"/>
  <c r="AM253" i="9"/>
  <c r="U253" i="9"/>
  <c r="N247" i="9"/>
  <c r="BN244" i="9"/>
  <c r="BJ244" i="9"/>
  <c r="BF244" i="9"/>
  <c r="AU244" i="9"/>
  <c r="AM244" i="9"/>
  <c r="BF241" i="9"/>
  <c r="U241" i="9"/>
  <c r="N241" i="9"/>
  <c r="AM229" i="9"/>
  <c r="U229" i="9"/>
  <c r="N229" i="9"/>
  <c r="AM222" i="9"/>
  <c r="U222" i="9"/>
  <c r="N216" i="9"/>
  <c r="AU213" i="9"/>
  <c r="AQ213" i="9"/>
  <c r="AM213" i="9"/>
  <c r="AM210" i="9"/>
  <c r="U210" i="9"/>
  <c r="N210" i="9"/>
  <c r="AM198" i="9"/>
  <c r="U198" i="9"/>
  <c r="N198" i="9"/>
  <c r="AM191" i="9"/>
  <c r="U191" i="9"/>
  <c r="AK186" i="9"/>
  <c r="AC186" i="9"/>
  <c r="U186" i="9"/>
  <c r="N185" i="9"/>
  <c r="BA180" i="9"/>
  <c r="AS180" i="9"/>
  <c r="AK180" i="9"/>
  <c r="AC180" i="9"/>
  <c r="U180" i="9"/>
  <c r="AC174" i="9"/>
  <c r="U174" i="9"/>
  <c r="BX169" i="9"/>
  <c r="BN169" i="9"/>
  <c r="BJ169" i="9"/>
  <c r="BF169" i="9"/>
  <c r="U168" i="9"/>
  <c r="BF166" i="9"/>
  <c r="AM166" i="9"/>
  <c r="N166" i="9"/>
  <c r="AM154" i="9"/>
  <c r="U154" i="9"/>
  <c r="N154" i="9"/>
  <c r="AM147" i="9"/>
  <c r="U147" i="9"/>
  <c r="AY142" i="9"/>
  <c r="AS142" i="9"/>
  <c r="AM142" i="9"/>
  <c r="U142" i="9"/>
  <c r="N139" i="9"/>
  <c r="U137" i="9"/>
  <c r="BN133" i="9"/>
  <c r="BJ133" i="9"/>
  <c r="BF133" i="9"/>
  <c r="U132" i="9"/>
  <c r="N132" i="9"/>
  <c r="BF130" i="9"/>
  <c r="AM130" i="9"/>
  <c r="AM118" i="9"/>
  <c r="U118" i="9"/>
  <c r="N118" i="9"/>
  <c r="AM111" i="9"/>
  <c r="U111" i="9"/>
  <c r="AC106" i="9"/>
  <c r="U106" i="9"/>
  <c r="N105" i="9"/>
  <c r="BN102" i="9"/>
  <c r="BJ102" i="9"/>
  <c r="BF102" i="9"/>
  <c r="AC101" i="9"/>
  <c r="U101" i="9"/>
  <c r="BF99" i="9"/>
  <c r="AM99" i="9"/>
  <c r="N99" i="9"/>
  <c r="AM87" i="9"/>
  <c r="U87" i="9"/>
  <c r="N87" i="9"/>
  <c r="AM80" i="9"/>
  <c r="U80" i="9"/>
  <c r="N74" i="9"/>
  <c r="BN71" i="9"/>
  <c r="BJ71" i="9"/>
  <c r="BF71" i="9"/>
  <c r="AU71" i="9"/>
  <c r="AM71" i="9"/>
  <c r="BF68" i="9"/>
  <c r="U68" i="9"/>
  <c r="N68" i="9"/>
  <c r="AM57" i="9"/>
  <c r="U57" i="9"/>
  <c r="N57" i="9"/>
  <c r="AM50" i="9"/>
  <c r="U50"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365" i="8" l="1"/>
  <c r="AM352" i="8"/>
  <c r="U352" i="8"/>
  <c r="N352" i="8"/>
  <c r="AM345" i="8"/>
  <c r="U345" i="8"/>
  <c r="N339" i="8"/>
  <c r="BN336" i="8"/>
  <c r="BJ336" i="8"/>
  <c r="BF336" i="8"/>
  <c r="AU335" i="8"/>
  <c r="AM335" i="8"/>
  <c r="BF333" i="8"/>
  <c r="U333" i="8"/>
  <c r="N333" i="8"/>
  <c r="AM322" i="8"/>
  <c r="U322" i="8"/>
  <c r="N322" i="8"/>
  <c r="AM315" i="8"/>
  <c r="U315" i="8"/>
  <c r="AY311" i="8"/>
  <c r="AQ311" i="8"/>
  <c r="AQ309" i="8"/>
  <c r="N309" i="8"/>
  <c r="AY308" i="8"/>
  <c r="AQ307" i="8"/>
  <c r="BN306" i="8"/>
  <c r="BJ306" i="8"/>
  <c r="BF306" i="8"/>
  <c r="AQ305" i="8"/>
  <c r="BF303" i="8"/>
  <c r="AY303" i="8"/>
  <c r="AQ303" i="8"/>
  <c r="U303" i="8"/>
  <c r="N303" i="8"/>
  <c r="AM291" i="8"/>
  <c r="U291" i="8"/>
  <c r="N291" i="8"/>
  <c r="AM284" i="8"/>
  <c r="U284" i="8"/>
  <c r="N278" i="8"/>
  <c r="BN275" i="8"/>
  <c r="BJ275" i="8"/>
  <c r="BF275" i="8"/>
  <c r="BF272" i="8"/>
  <c r="AN272" i="8"/>
  <c r="U272" i="8"/>
  <c r="N272" i="8"/>
  <c r="AM260" i="8"/>
  <c r="U260" i="8"/>
  <c r="N260" i="8"/>
  <c r="AM253" i="8"/>
  <c r="U253" i="8"/>
  <c r="N247" i="8"/>
  <c r="BN244" i="8"/>
  <c r="BJ244" i="8"/>
  <c r="BF244" i="8"/>
  <c r="AU244" i="8"/>
  <c r="AM244" i="8"/>
  <c r="BF241" i="8"/>
  <c r="U241" i="8"/>
  <c r="N241" i="8"/>
  <c r="AM229" i="8"/>
  <c r="U229" i="8"/>
  <c r="N229" i="8"/>
  <c r="AM222" i="8"/>
  <c r="U222" i="8"/>
  <c r="N216" i="8"/>
  <c r="AU213" i="8"/>
  <c r="AQ213" i="8"/>
  <c r="AM213" i="8"/>
  <c r="AM210" i="8"/>
  <c r="U210" i="8"/>
  <c r="N210" i="8"/>
  <c r="AM198" i="8"/>
  <c r="U198" i="8"/>
  <c r="N198" i="8"/>
  <c r="AM191" i="8"/>
  <c r="U191" i="8"/>
  <c r="AK186" i="8"/>
  <c r="AC186" i="8"/>
  <c r="U186" i="8"/>
  <c r="N185" i="8"/>
  <c r="BA180" i="8"/>
  <c r="AS180" i="8"/>
  <c r="AK180" i="8"/>
  <c r="AC180" i="8"/>
  <c r="U180" i="8"/>
  <c r="AC174" i="8"/>
  <c r="U174" i="8"/>
  <c r="BX169" i="8"/>
  <c r="BN169" i="8"/>
  <c r="BJ169" i="8"/>
  <c r="BF169" i="8"/>
  <c r="U168" i="8"/>
  <c r="BF166" i="8"/>
  <c r="AM166" i="8"/>
  <c r="N166" i="8"/>
  <c r="AM154" i="8"/>
  <c r="U154" i="8"/>
  <c r="N154" i="8"/>
  <c r="AM147" i="8"/>
  <c r="U147" i="8"/>
  <c r="AY142" i="8"/>
  <c r="AS142" i="8"/>
  <c r="AM142" i="8"/>
  <c r="U142" i="8"/>
  <c r="N139" i="8"/>
  <c r="U137" i="8"/>
  <c r="BN133" i="8"/>
  <c r="BJ133" i="8"/>
  <c r="BF133" i="8"/>
  <c r="U132" i="8"/>
  <c r="N132" i="8"/>
  <c r="BF130" i="8"/>
  <c r="AM130" i="8"/>
  <c r="AM118" i="8"/>
  <c r="U118" i="8"/>
  <c r="N118" i="8"/>
  <c r="AM111" i="8"/>
  <c r="U111" i="8"/>
  <c r="AC106" i="8"/>
  <c r="U106" i="8"/>
  <c r="N105" i="8"/>
  <c r="BN102" i="8"/>
  <c r="BJ102" i="8"/>
  <c r="BF102" i="8"/>
  <c r="AC101" i="8"/>
  <c r="U101" i="8"/>
  <c r="BF99" i="8"/>
  <c r="AM99" i="8"/>
  <c r="N99" i="8"/>
  <c r="AM87" i="8"/>
  <c r="U87" i="8"/>
  <c r="N87" i="8"/>
  <c r="AM80" i="8"/>
  <c r="U80" i="8"/>
  <c r="N74" i="8"/>
  <c r="BN71" i="8"/>
  <c r="BJ71" i="8"/>
  <c r="BF71" i="8"/>
  <c r="AU71" i="8"/>
  <c r="AM71" i="8"/>
  <c r="BF68" i="8"/>
  <c r="U68" i="8"/>
  <c r="N68" i="8"/>
  <c r="AM57" i="8"/>
  <c r="U57" i="8"/>
  <c r="N57" i="8"/>
  <c r="AM50" i="8"/>
  <c r="U50"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365" i="7" l="1"/>
  <c r="AM352" i="7"/>
  <c r="U352" i="7"/>
  <c r="N352" i="7"/>
  <c r="AM345" i="7"/>
  <c r="U345" i="7"/>
  <c r="N339" i="7"/>
  <c r="BN336" i="7"/>
  <c r="BJ336" i="7"/>
  <c r="BF336" i="7"/>
  <c r="AU335" i="7"/>
  <c r="AM335" i="7"/>
  <c r="BF333" i="7"/>
  <c r="U333" i="7"/>
  <c r="N333" i="7"/>
  <c r="AM322" i="7"/>
  <c r="U322" i="7"/>
  <c r="N322" i="7"/>
  <c r="AM315" i="7"/>
  <c r="U315" i="7"/>
  <c r="AY311" i="7"/>
  <c r="AQ311" i="7"/>
  <c r="AQ309" i="7"/>
  <c r="N309" i="7"/>
  <c r="AY308" i="7"/>
  <c r="AQ307" i="7"/>
  <c r="BN306" i="7"/>
  <c r="BJ306" i="7"/>
  <c r="BF306" i="7"/>
  <c r="AQ305" i="7"/>
  <c r="BF303" i="7"/>
  <c r="AY303" i="7"/>
  <c r="AQ303" i="7"/>
  <c r="U303" i="7"/>
  <c r="N303" i="7"/>
  <c r="AM291" i="7"/>
  <c r="U291" i="7"/>
  <c r="N291" i="7"/>
  <c r="AM284" i="7"/>
  <c r="U284" i="7"/>
  <c r="N278" i="7"/>
  <c r="BN275" i="7"/>
  <c r="BJ275" i="7"/>
  <c r="BF275" i="7"/>
  <c r="BF272" i="7"/>
  <c r="AN272" i="7"/>
  <c r="U272" i="7"/>
  <c r="N272" i="7"/>
  <c r="AM260" i="7"/>
  <c r="U260" i="7"/>
  <c r="N260" i="7"/>
  <c r="AM253" i="7"/>
  <c r="U253" i="7"/>
  <c r="N247" i="7"/>
  <c r="BN244" i="7"/>
  <c r="BJ244" i="7"/>
  <c r="BF244" i="7"/>
  <c r="AU244" i="7"/>
  <c r="AM244" i="7"/>
  <c r="BF241" i="7"/>
  <c r="U241" i="7"/>
  <c r="N241" i="7"/>
  <c r="AM229" i="7"/>
  <c r="U229" i="7"/>
  <c r="N229" i="7"/>
  <c r="AM222" i="7"/>
  <c r="U222" i="7"/>
  <c r="N216" i="7"/>
  <c r="AU213" i="7"/>
  <c r="AQ213" i="7"/>
  <c r="AM213" i="7"/>
  <c r="AM210" i="7"/>
  <c r="U210" i="7"/>
  <c r="N210" i="7"/>
  <c r="AM198" i="7"/>
  <c r="U198" i="7"/>
  <c r="N198" i="7"/>
  <c r="AM191" i="7"/>
  <c r="U191" i="7"/>
  <c r="AK186" i="7"/>
  <c r="AC186" i="7"/>
  <c r="U186" i="7"/>
  <c r="N185" i="7"/>
  <c r="BA180" i="7"/>
  <c r="AS180" i="7"/>
  <c r="AK180" i="7"/>
  <c r="AC180" i="7"/>
  <c r="U180" i="7"/>
  <c r="AC174" i="7"/>
  <c r="U174" i="7"/>
  <c r="BX169" i="7"/>
  <c r="BN169" i="7"/>
  <c r="BJ169" i="7"/>
  <c r="BF169" i="7"/>
  <c r="U168" i="7"/>
  <c r="BF166" i="7"/>
  <c r="AM166" i="7"/>
  <c r="N166" i="7"/>
  <c r="AM154" i="7"/>
  <c r="U154" i="7"/>
  <c r="N154" i="7"/>
  <c r="AM147" i="7"/>
  <c r="U147" i="7"/>
  <c r="AY142" i="7"/>
  <c r="AS142" i="7"/>
  <c r="AM142" i="7"/>
  <c r="U142" i="7"/>
  <c r="N139" i="7"/>
  <c r="U137" i="7"/>
  <c r="BN133" i="7"/>
  <c r="BJ133" i="7"/>
  <c r="BF133" i="7"/>
  <c r="U132" i="7"/>
  <c r="N132" i="7"/>
  <c r="BF130" i="7"/>
  <c r="AM130" i="7"/>
  <c r="AM118" i="7"/>
  <c r="U118" i="7"/>
  <c r="N118" i="7"/>
  <c r="AM111" i="7"/>
  <c r="U111" i="7"/>
  <c r="AC106" i="7"/>
  <c r="U106" i="7"/>
  <c r="N105" i="7"/>
  <c r="BN102" i="7"/>
  <c r="BJ102" i="7"/>
  <c r="BF102" i="7"/>
  <c r="AC101" i="7"/>
  <c r="U101" i="7"/>
  <c r="BF99" i="7"/>
  <c r="AM99" i="7"/>
  <c r="N99" i="7"/>
  <c r="AM87" i="7"/>
  <c r="U87" i="7"/>
  <c r="N87" i="7"/>
  <c r="AM80" i="7"/>
  <c r="U80" i="7"/>
  <c r="N74" i="7"/>
  <c r="BN71" i="7"/>
  <c r="BJ71" i="7"/>
  <c r="BF71" i="7"/>
  <c r="AU71" i="7"/>
  <c r="AM71" i="7"/>
  <c r="BF68" i="7"/>
  <c r="U68" i="7"/>
  <c r="N68" i="7"/>
  <c r="AM57" i="7"/>
  <c r="U57" i="7"/>
  <c r="N57" i="7"/>
  <c r="AM50" i="7"/>
  <c r="U50"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365" i="6" l="1"/>
  <c r="AM352" i="6"/>
  <c r="U352" i="6"/>
  <c r="N352" i="6"/>
  <c r="AM345" i="6"/>
  <c r="U345" i="6"/>
  <c r="N339" i="6"/>
  <c r="BN336" i="6"/>
  <c r="BJ336" i="6"/>
  <c r="BF336" i="6"/>
  <c r="AU335" i="6"/>
  <c r="AM335" i="6"/>
  <c r="BF333" i="6"/>
  <c r="U333" i="6"/>
  <c r="N333" i="6"/>
  <c r="AM322" i="6"/>
  <c r="U322" i="6"/>
  <c r="N322" i="6"/>
  <c r="AM315" i="6"/>
  <c r="U315" i="6"/>
  <c r="AY311" i="6"/>
  <c r="AQ311" i="6"/>
  <c r="AQ309" i="6"/>
  <c r="N309" i="6"/>
  <c r="AY308" i="6"/>
  <c r="AQ307" i="6"/>
  <c r="BN306" i="6"/>
  <c r="BJ306" i="6"/>
  <c r="BF306" i="6"/>
  <c r="AQ305" i="6"/>
  <c r="BF303" i="6"/>
  <c r="AY303" i="6"/>
  <c r="AQ303" i="6"/>
  <c r="U303" i="6"/>
  <c r="N303" i="6"/>
  <c r="AM291" i="6"/>
  <c r="U291" i="6"/>
  <c r="N291" i="6"/>
  <c r="AM284" i="6"/>
  <c r="U284" i="6"/>
  <c r="N278" i="6"/>
  <c r="BN275" i="6"/>
  <c r="BJ275" i="6"/>
  <c r="BF275" i="6"/>
  <c r="BF272" i="6"/>
  <c r="AN272" i="6"/>
  <c r="U272" i="6"/>
  <c r="N272" i="6"/>
  <c r="AM260" i="6"/>
  <c r="U260" i="6"/>
  <c r="N260" i="6"/>
  <c r="AM253" i="6"/>
  <c r="U253" i="6"/>
  <c r="N247" i="6"/>
  <c r="BN244" i="6"/>
  <c r="BJ244" i="6"/>
  <c r="BF244" i="6"/>
  <c r="AU244" i="6"/>
  <c r="AM244" i="6"/>
  <c r="BF241" i="6"/>
  <c r="U241" i="6"/>
  <c r="N241" i="6"/>
  <c r="AM229" i="6"/>
  <c r="U229" i="6"/>
  <c r="N229" i="6"/>
  <c r="AM222" i="6"/>
  <c r="U222" i="6"/>
  <c r="N216" i="6"/>
  <c r="AU213" i="6"/>
  <c r="AQ213" i="6"/>
  <c r="AM213" i="6"/>
  <c r="AM210" i="6"/>
  <c r="U210" i="6"/>
  <c r="N210" i="6"/>
  <c r="AM198" i="6"/>
  <c r="U198" i="6"/>
  <c r="N198" i="6"/>
  <c r="AM191" i="6"/>
  <c r="U191" i="6"/>
  <c r="AK186" i="6"/>
  <c r="AC186" i="6"/>
  <c r="U186" i="6"/>
  <c r="N185" i="6"/>
  <c r="BA180" i="6"/>
  <c r="AS180" i="6"/>
  <c r="AK180" i="6"/>
  <c r="AC180" i="6"/>
  <c r="U180" i="6"/>
  <c r="AC174" i="6"/>
  <c r="U174" i="6"/>
  <c r="BX169" i="6"/>
  <c r="BN169" i="6"/>
  <c r="BJ169" i="6"/>
  <c r="BF169" i="6"/>
  <c r="U168" i="6"/>
  <c r="BF166" i="6"/>
  <c r="AM166" i="6"/>
  <c r="N166" i="6"/>
  <c r="AM154" i="6"/>
  <c r="U154" i="6"/>
  <c r="N154" i="6"/>
  <c r="AM147" i="6"/>
  <c r="U147" i="6"/>
  <c r="AY142" i="6"/>
  <c r="AS142" i="6"/>
  <c r="AM142" i="6"/>
  <c r="U142" i="6"/>
  <c r="N139" i="6"/>
  <c r="U137" i="6"/>
  <c r="BN133" i="6"/>
  <c r="BJ133" i="6"/>
  <c r="BF133" i="6"/>
  <c r="U132" i="6"/>
  <c r="N132" i="6"/>
  <c r="BF130" i="6"/>
  <c r="AM130" i="6"/>
  <c r="AM118" i="6"/>
  <c r="U118" i="6"/>
  <c r="N118" i="6"/>
  <c r="AM111" i="6"/>
  <c r="U111" i="6"/>
  <c r="AC106" i="6"/>
  <c r="U106" i="6"/>
  <c r="N105" i="6"/>
  <c r="BN102" i="6"/>
  <c r="BJ102" i="6"/>
  <c r="BF102" i="6"/>
  <c r="AC101" i="6"/>
  <c r="U101" i="6"/>
  <c r="BF99" i="6"/>
  <c r="AM99" i="6"/>
  <c r="N99" i="6"/>
  <c r="AM87" i="6"/>
  <c r="U87" i="6"/>
  <c r="N87" i="6"/>
  <c r="AM80" i="6"/>
  <c r="U80" i="6"/>
  <c r="N74" i="6"/>
  <c r="BN71" i="6"/>
  <c r="BJ71" i="6"/>
  <c r="BF71" i="6"/>
  <c r="AU71" i="6"/>
  <c r="AM71" i="6"/>
  <c r="BF68" i="6"/>
  <c r="U68" i="6"/>
  <c r="N68" i="6"/>
  <c r="AM57" i="6"/>
  <c r="U57" i="6"/>
  <c r="N57" i="6"/>
  <c r="AM50" i="6"/>
  <c r="U50"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365" i="5" l="1"/>
  <c r="AM352" i="5"/>
  <c r="U352" i="5"/>
  <c r="N352" i="5"/>
  <c r="AM345" i="5"/>
  <c r="U345" i="5"/>
  <c r="N339" i="5"/>
  <c r="BN336" i="5"/>
  <c r="BJ336" i="5"/>
  <c r="BF336" i="5"/>
  <c r="AU335" i="5"/>
  <c r="AM335" i="5"/>
  <c r="BF333" i="5"/>
  <c r="U333" i="5"/>
  <c r="N333" i="5"/>
  <c r="AM322" i="5"/>
  <c r="U322" i="5"/>
  <c r="N322" i="5"/>
  <c r="AM315" i="5"/>
  <c r="U315" i="5"/>
  <c r="AY311" i="5"/>
  <c r="AQ311" i="5"/>
  <c r="AQ309" i="5"/>
  <c r="N309" i="5"/>
  <c r="AY308" i="5"/>
  <c r="AQ307" i="5"/>
  <c r="BN306" i="5"/>
  <c r="BJ306" i="5"/>
  <c r="BF306" i="5"/>
  <c r="AQ305" i="5"/>
  <c r="BF303" i="5"/>
  <c r="AY303" i="5"/>
  <c r="AQ303" i="5"/>
  <c r="U303" i="5"/>
  <c r="N303" i="5"/>
  <c r="AM291" i="5"/>
  <c r="U291" i="5"/>
  <c r="N291" i="5"/>
  <c r="AM284" i="5"/>
  <c r="U284" i="5"/>
  <c r="N278" i="5"/>
  <c r="BN275" i="5"/>
  <c r="BJ275" i="5"/>
  <c r="BF275" i="5"/>
  <c r="BF272" i="5"/>
  <c r="AN272" i="5"/>
  <c r="U272" i="5"/>
  <c r="N272" i="5"/>
  <c r="AM260" i="5"/>
  <c r="U260" i="5"/>
  <c r="N260" i="5"/>
  <c r="AM253" i="5"/>
  <c r="U253" i="5"/>
  <c r="N247" i="5"/>
  <c r="BN244" i="5"/>
  <c r="BJ244" i="5"/>
  <c r="BF244" i="5"/>
  <c r="AU244" i="5"/>
  <c r="AM244" i="5"/>
  <c r="BF241" i="5"/>
  <c r="U241" i="5"/>
  <c r="N241" i="5"/>
  <c r="AM229" i="5"/>
  <c r="U229" i="5"/>
  <c r="N229" i="5"/>
  <c r="AM222" i="5"/>
  <c r="U222" i="5"/>
  <c r="N216" i="5"/>
  <c r="AU213" i="5"/>
  <c r="AQ213" i="5"/>
  <c r="AM213" i="5"/>
  <c r="AM210" i="5"/>
  <c r="U210" i="5"/>
  <c r="N210" i="5"/>
  <c r="AM198" i="5"/>
  <c r="U198" i="5"/>
  <c r="N198" i="5"/>
  <c r="AM191" i="5"/>
  <c r="U191" i="5"/>
  <c r="AK186" i="5"/>
  <c r="AC186" i="5"/>
  <c r="U186" i="5"/>
  <c r="N185" i="5"/>
  <c r="BA180" i="5"/>
  <c r="AS180" i="5"/>
  <c r="AK180" i="5"/>
  <c r="AC180" i="5"/>
  <c r="U180" i="5"/>
  <c r="AC174" i="5"/>
  <c r="U174" i="5"/>
  <c r="BX169" i="5"/>
  <c r="BN169" i="5"/>
  <c r="BJ169" i="5"/>
  <c r="BF169" i="5"/>
  <c r="U168" i="5"/>
  <c r="BF166" i="5"/>
  <c r="AM166" i="5"/>
  <c r="N166" i="5"/>
  <c r="AM154" i="5"/>
  <c r="U154" i="5"/>
  <c r="N154" i="5"/>
  <c r="AM147" i="5"/>
  <c r="U147" i="5"/>
  <c r="AY142" i="5"/>
  <c r="AS142" i="5"/>
  <c r="AM142" i="5"/>
  <c r="U142" i="5"/>
  <c r="N139" i="5"/>
  <c r="U137" i="5"/>
  <c r="BN133" i="5"/>
  <c r="BJ133" i="5"/>
  <c r="BF133" i="5"/>
  <c r="U132" i="5"/>
  <c r="N132" i="5"/>
  <c r="BF130" i="5"/>
  <c r="AM130" i="5"/>
  <c r="AM118" i="5"/>
  <c r="U118" i="5"/>
  <c r="N118" i="5"/>
  <c r="AM111" i="5"/>
  <c r="U111" i="5"/>
  <c r="AC106" i="5"/>
  <c r="U106" i="5"/>
  <c r="N105" i="5"/>
  <c r="BN102" i="5"/>
  <c r="BJ102" i="5"/>
  <c r="BF102" i="5"/>
  <c r="AC101" i="5"/>
  <c r="U101" i="5"/>
  <c r="BF99" i="5"/>
  <c r="AM99" i="5"/>
  <c r="N99" i="5"/>
  <c r="AM87" i="5"/>
  <c r="U87" i="5"/>
  <c r="N87" i="5"/>
  <c r="AM80" i="5"/>
  <c r="U80" i="5"/>
  <c r="N74" i="5"/>
  <c r="BN71" i="5"/>
  <c r="BJ71" i="5"/>
  <c r="BF71" i="5"/>
  <c r="AU71" i="5"/>
  <c r="AM71" i="5"/>
  <c r="BF68" i="5"/>
  <c r="U68" i="5"/>
  <c r="N68" i="5"/>
  <c r="AM57" i="5"/>
  <c r="U57" i="5"/>
  <c r="N57" i="5"/>
  <c r="AM50" i="5"/>
  <c r="U50"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365" i="4" l="1"/>
  <c r="AM352" i="4"/>
  <c r="U352" i="4"/>
  <c r="N352" i="4"/>
  <c r="AM345" i="4"/>
  <c r="U345" i="4"/>
  <c r="N339" i="4"/>
  <c r="BN336" i="4"/>
  <c r="BJ336" i="4"/>
  <c r="BF336" i="4"/>
  <c r="AU335" i="4"/>
  <c r="AM335" i="4"/>
  <c r="BF333" i="4"/>
  <c r="U333" i="4"/>
  <c r="N333" i="4"/>
  <c r="AM322" i="4"/>
  <c r="U322" i="4"/>
  <c r="N322" i="4"/>
  <c r="AM315" i="4"/>
  <c r="U315" i="4"/>
  <c r="AY311" i="4"/>
  <c r="AQ311" i="4"/>
  <c r="AQ309" i="4"/>
  <c r="N309" i="4"/>
  <c r="AY308" i="4"/>
  <c r="AQ307" i="4"/>
  <c r="BN306" i="4"/>
  <c r="BJ306" i="4"/>
  <c r="BF306" i="4"/>
  <c r="AQ305" i="4"/>
  <c r="BF303" i="4"/>
  <c r="AY303" i="4"/>
  <c r="AQ303" i="4"/>
  <c r="U303" i="4"/>
  <c r="N303" i="4"/>
  <c r="AM291" i="4"/>
  <c r="U291" i="4"/>
  <c r="N291" i="4"/>
  <c r="AM284" i="4"/>
  <c r="U284" i="4"/>
  <c r="N278" i="4"/>
  <c r="BN275" i="4"/>
  <c r="BJ275" i="4"/>
  <c r="BF275" i="4"/>
  <c r="BF272" i="4"/>
  <c r="AN272" i="4"/>
  <c r="U272" i="4"/>
  <c r="N272" i="4"/>
  <c r="AM260" i="4"/>
  <c r="U260" i="4"/>
  <c r="N260" i="4"/>
  <c r="AM253" i="4"/>
  <c r="U253" i="4"/>
  <c r="N247" i="4"/>
  <c r="BN244" i="4"/>
  <c r="BJ244" i="4"/>
  <c r="BF244" i="4"/>
  <c r="AU244" i="4"/>
  <c r="AM244" i="4"/>
  <c r="BF241" i="4"/>
  <c r="U241" i="4"/>
  <c r="N241" i="4"/>
  <c r="AM229" i="4"/>
  <c r="U229" i="4"/>
  <c r="N229" i="4"/>
  <c r="AM222" i="4"/>
  <c r="U222" i="4"/>
  <c r="N216" i="4"/>
  <c r="AU213" i="4"/>
  <c r="AQ213" i="4"/>
  <c r="AM213" i="4"/>
  <c r="AM210" i="4"/>
  <c r="U210" i="4"/>
  <c r="N210" i="4"/>
  <c r="AM198" i="4"/>
  <c r="U198" i="4"/>
  <c r="N198" i="4"/>
  <c r="AM191" i="4"/>
  <c r="U191" i="4"/>
  <c r="AK186" i="4"/>
  <c r="AC186" i="4"/>
  <c r="U186" i="4"/>
  <c r="N185" i="4"/>
  <c r="BA180" i="4"/>
  <c r="AS180" i="4"/>
  <c r="AK180" i="4"/>
  <c r="AC180" i="4"/>
  <c r="U180" i="4"/>
  <c r="AC174" i="4"/>
  <c r="U174" i="4"/>
  <c r="BX169" i="4"/>
  <c r="BN169" i="4"/>
  <c r="BJ169" i="4"/>
  <c r="BF169" i="4"/>
  <c r="U168" i="4"/>
  <c r="BF166" i="4"/>
  <c r="AM166" i="4"/>
  <c r="N166" i="4"/>
  <c r="AM154" i="4"/>
  <c r="U154" i="4"/>
  <c r="N154" i="4"/>
  <c r="AM147" i="4"/>
  <c r="U147" i="4"/>
  <c r="AY142" i="4"/>
  <c r="AS142" i="4"/>
  <c r="AM142" i="4"/>
  <c r="U142" i="4"/>
  <c r="N139" i="4"/>
  <c r="U137" i="4"/>
  <c r="BN133" i="4"/>
  <c r="BJ133" i="4"/>
  <c r="BF133" i="4"/>
  <c r="U132" i="4"/>
  <c r="N132" i="4"/>
  <c r="BF130" i="4"/>
  <c r="AM130" i="4"/>
  <c r="AM118" i="4"/>
  <c r="U118" i="4"/>
  <c r="N118" i="4"/>
  <c r="AM111" i="4"/>
  <c r="U111" i="4"/>
  <c r="AC106" i="4"/>
  <c r="U106" i="4"/>
  <c r="N105" i="4"/>
  <c r="BN102" i="4"/>
  <c r="BJ102" i="4"/>
  <c r="BF102" i="4"/>
  <c r="AC101" i="4"/>
  <c r="U101" i="4"/>
  <c r="BF99" i="4"/>
  <c r="AM99" i="4"/>
  <c r="N99" i="4"/>
  <c r="AM87" i="4"/>
  <c r="U87" i="4"/>
  <c r="N87" i="4"/>
  <c r="AM80" i="4"/>
  <c r="U80" i="4"/>
  <c r="N74" i="4"/>
  <c r="BN71" i="4"/>
  <c r="BJ71" i="4"/>
  <c r="BF71" i="4"/>
  <c r="AU71" i="4"/>
  <c r="AM71" i="4"/>
  <c r="BF68" i="4"/>
  <c r="U68" i="4"/>
  <c r="N68" i="4"/>
  <c r="AM57" i="4"/>
  <c r="U57" i="4"/>
  <c r="N57" i="4"/>
  <c r="AM50" i="4"/>
  <c r="U50"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365" i="3" l="1"/>
  <c r="AM352" i="3"/>
  <c r="U352" i="3"/>
  <c r="N352" i="3"/>
  <c r="AM345" i="3"/>
  <c r="U345" i="3"/>
  <c r="N339" i="3"/>
  <c r="BN336" i="3"/>
  <c r="BJ336" i="3"/>
  <c r="BF336" i="3"/>
  <c r="AU335" i="3"/>
  <c r="AM335" i="3"/>
  <c r="BF333" i="3"/>
  <c r="U333" i="3"/>
  <c r="N333" i="3"/>
  <c r="AM322" i="3"/>
  <c r="U322" i="3"/>
  <c r="N322" i="3"/>
  <c r="AM315" i="3"/>
  <c r="U315" i="3"/>
  <c r="AY311" i="3"/>
  <c r="AQ311" i="3"/>
  <c r="AQ309" i="3"/>
  <c r="N309" i="3"/>
  <c r="AY308" i="3"/>
  <c r="AQ307" i="3"/>
  <c r="BN306" i="3"/>
  <c r="BJ306" i="3"/>
  <c r="BF306" i="3"/>
  <c r="AQ305" i="3"/>
  <c r="BF303" i="3"/>
  <c r="AY303" i="3"/>
  <c r="AQ303" i="3"/>
  <c r="U303" i="3"/>
  <c r="N303" i="3"/>
  <c r="AM291" i="3"/>
  <c r="U291" i="3"/>
  <c r="N291" i="3"/>
  <c r="AM284" i="3"/>
  <c r="U284" i="3"/>
  <c r="N278" i="3"/>
  <c r="BN275" i="3"/>
  <c r="BJ275" i="3"/>
  <c r="BF275" i="3"/>
  <c r="BF272" i="3"/>
  <c r="AN272" i="3"/>
  <c r="U272" i="3"/>
  <c r="N272" i="3"/>
  <c r="AM260" i="3"/>
  <c r="U260" i="3"/>
  <c r="N260" i="3"/>
  <c r="AM253" i="3"/>
  <c r="U253" i="3"/>
  <c r="N247" i="3"/>
  <c r="BN244" i="3"/>
  <c r="BJ244" i="3"/>
  <c r="BF244" i="3"/>
  <c r="AU244" i="3"/>
  <c r="AM244" i="3"/>
  <c r="BF241" i="3"/>
  <c r="U241" i="3"/>
  <c r="N241" i="3"/>
  <c r="AM229" i="3"/>
  <c r="U229" i="3"/>
  <c r="N229" i="3"/>
  <c r="AM222" i="3"/>
  <c r="U222" i="3"/>
  <c r="N216" i="3"/>
  <c r="AU213" i="3"/>
  <c r="AQ213" i="3"/>
  <c r="AM213" i="3"/>
  <c r="AM210" i="3"/>
  <c r="U210" i="3"/>
  <c r="N210" i="3"/>
  <c r="AM198" i="3"/>
  <c r="U198" i="3"/>
  <c r="N198" i="3"/>
  <c r="AM191" i="3"/>
  <c r="U191" i="3"/>
  <c r="AK186" i="3"/>
  <c r="AC186" i="3"/>
  <c r="U186" i="3"/>
  <c r="N185" i="3"/>
  <c r="BA180" i="3"/>
  <c r="AS180" i="3"/>
  <c r="AK180" i="3"/>
  <c r="AC180" i="3"/>
  <c r="U180" i="3"/>
  <c r="AC174" i="3"/>
  <c r="U174" i="3"/>
  <c r="BX169" i="3"/>
  <c r="BN169" i="3"/>
  <c r="BJ169" i="3"/>
  <c r="BF169" i="3"/>
  <c r="U168" i="3"/>
  <c r="BF166" i="3"/>
  <c r="AM166" i="3"/>
  <c r="N166" i="3"/>
  <c r="AM154" i="3"/>
  <c r="U154" i="3"/>
  <c r="N154" i="3"/>
  <c r="AM147" i="3"/>
  <c r="U147" i="3"/>
  <c r="AY142" i="3"/>
  <c r="AS142" i="3"/>
  <c r="AM142" i="3"/>
  <c r="U142" i="3"/>
  <c r="N139" i="3"/>
  <c r="U137" i="3"/>
  <c r="BN133" i="3"/>
  <c r="BJ133" i="3"/>
  <c r="BF133" i="3"/>
  <c r="U132" i="3"/>
  <c r="N132" i="3"/>
  <c r="BF130" i="3"/>
  <c r="AM130" i="3"/>
  <c r="AM118" i="3"/>
  <c r="U118" i="3"/>
  <c r="N118" i="3"/>
  <c r="AM111" i="3"/>
  <c r="U111" i="3"/>
  <c r="AC106" i="3"/>
  <c r="U106" i="3"/>
  <c r="N105" i="3"/>
  <c r="BN102" i="3"/>
  <c r="BJ102" i="3"/>
  <c r="BF102" i="3"/>
  <c r="AC101" i="3"/>
  <c r="U101" i="3"/>
  <c r="BF99" i="3"/>
  <c r="AM99" i="3"/>
  <c r="N99" i="3"/>
  <c r="AM87" i="3"/>
  <c r="U87" i="3"/>
  <c r="N87" i="3"/>
  <c r="AM80" i="3"/>
  <c r="U80" i="3"/>
  <c r="N74" i="3"/>
  <c r="BN71" i="3"/>
  <c r="BJ71" i="3"/>
  <c r="BF71" i="3"/>
  <c r="AU71" i="3"/>
  <c r="AM71" i="3"/>
  <c r="BF68" i="3"/>
  <c r="U68" i="3"/>
  <c r="N68" i="3"/>
  <c r="AM57" i="3"/>
  <c r="U57" i="3"/>
  <c r="N57" i="3"/>
  <c r="AM50" i="3"/>
  <c r="U50"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365" i="2" l="1"/>
  <c r="AM352" i="2"/>
  <c r="U352" i="2"/>
  <c r="N352" i="2"/>
  <c r="AM345" i="2"/>
  <c r="U345" i="2"/>
  <c r="N339" i="2"/>
  <c r="BN336" i="2"/>
  <c r="BJ336" i="2"/>
  <c r="BF336" i="2"/>
  <c r="AU335" i="2"/>
  <c r="AM335" i="2"/>
  <c r="BF333" i="2"/>
  <c r="U333" i="2"/>
  <c r="N333" i="2"/>
  <c r="AM322" i="2"/>
  <c r="U322" i="2"/>
  <c r="N322" i="2"/>
  <c r="AM315" i="2"/>
  <c r="U315" i="2"/>
  <c r="AY311" i="2"/>
  <c r="AQ311" i="2"/>
  <c r="AQ309" i="2"/>
  <c r="N309" i="2"/>
  <c r="AY308" i="2"/>
  <c r="AQ307" i="2"/>
  <c r="BN306" i="2"/>
  <c r="BJ306" i="2"/>
  <c r="BF306" i="2"/>
  <c r="AQ305" i="2"/>
  <c r="BF303" i="2"/>
  <c r="AY303" i="2"/>
  <c r="AQ303" i="2"/>
  <c r="U303" i="2"/>
  <c r="N303" i="2"/>
  <c r="AM291" i="2"/>
  <c r="U291" i="2"/>
  <c r="N291" i="2"/>
  <c r="AM284" i="2"/>
  <c r="U284" i="2"/>
  <c r="N278" i="2"/>
  <c r="BN275" i="2"/>
  <c r="BJ275" i="2"/>
  <c r="BF275" i="2"/>
  <c r="BF272" i="2"/>
  <c r="AN272" i="2"/>
  <c r="U272" i="2"/>
  <c r="N272" i="2"/>
  <c r="AM260" i="2"/>
  <c r="U260" i="2"/>
  <c r="N260" i="2"/>
  <c r="AM253" i="2"/>
  <c r="U253" i="2"/>
  <c r="N247" i="2"/>
  <c r="BN244" i="2"/>
  <c r="BJ244" i="2"/>
  <c r="BF244" i="2"/>
  <c r="AU244" i="2"/>
  <c r="AM244" i="2"/>
  <c r="BF241" i="2"/>
  <c r="U241" i="2"/>
  <c r="N241" i="2"/>
  <c r="AM229" i="2"/>
  <c r="U229" i="2"/>
  <c r="N229" i="2"/>
  <c r="AM222" i="2"/>
  <c r="U222" i="2"/>
  <c r="N216" i="2"/>
  <c r="AU213" i="2"/>
  <c r="AQ213" i="2"/>
  <c r="AM213" i="2"/>
  <c r="AM210" i="2"/>
  <c r="U210" i="2"/>
  <c r="N210" i="2"/>
  <c r="AM198" i="2"/>
  <c r="U198" i="2"/>
  <c r="N198" i="2"/>
  <c r="AM191" i="2"/>
  <c r="U191" i="2"/>
  <c r="AK186" i="2"/>
  <c r="AC186" i="2"/>
  <c r="U186" i="2"/>
  <c r="N185" i="2"/>
  <c r="BA180" i="2"/>
  <c r="AS180" i="2"/>
  <c r="AK180" i="2"/>
  <c r="AC180" i="2"/>
  <c r="U180" i="2"/>
  <c r="AC174" i="2"/>
  <c r="U174" i="2"/>
  <c r="BX169" i="2"/>
  <c r="BN169" i="2"/>
  <c r="BJ169" i="2"/>
  <c r="BF169" i="2"/>
  <c r="U168" i="2"/>
  <c r="BF166" i="2"/>
  <c r="AM166" i="2"/>
  <c r="N166" i="2"/>
  <c r="AM154" i="2"/>
  <c r="U154" i="2"/>
  <c r="N154" i="2"/>
  <c r="AM147" i="2"/>
  <c r="U147" i="2"/>
  <c r="AY142" i="2"/>
  <c r="AS142" i="2"/>
  <c r="AM142" i="2"/>
  <c r="U142" i="2"/>
  <c r="N139" i="2"/>
  <c r="U137" i="2"/>
  <c r="BN133" i="2"/>
  <c r="BJ133" i="2"/>
  <c r="BF133" i="2"/>
  <c r="U132" i="2"/>
  <c r="N132" i="2"/>
  <c r="BF130" i="2"/>
  <c r="AM130" i="2"/>
  <c r="AM118" i="2"/>
  <c r="U118" i="2"/>
  <c r="N118" i="2"/>
  <c r="AM111" i="2"/>
  <c r="U111" i="2"/>
  <c r="AC106" i="2"/>
  <c r="U106" i="2"/>
  <c r="N105" i="2"/>
  <c r="BN102" i="2"/>
  <c r="BJ102" i="2"/>
  <c r="BF102" i="2"/>
  <c r="AC101" i="2"/>
  <c r="U101" i="2"/>
  <c r="BF99" i="2"/>
  <c r="AM99" i="2"/>
  <c r="N99" i="2"/>
  <c r="AM87" i="2"/>
  <c r="U87" i="2"/>
  <c r="N87" i="2"/>
  <c r="AM80" i="2"/>
  <c r="U80" i="2"/>
  <c r="N74" i="2"/>
  <c r="BN71" i="2"/>
  <c r="BJ71" i="2"/>
  <c r="BF71" i="2"/>
  <c r="AU71" i="2"/>
  <c r="AM71" i="2"/>
  <c r="BF68" i="2"/>
  <c r="U68" i="2"/>
  <c r="N68" i="2"/>
  <c r="AM57" i="2"/>
  <c r="U57" i="2"/>
  <c r="N57" i="2"/>
  <c r="AM50" i="2"/>
  <c r="U50"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365" i="1" l="1"/>
  <c r="AM352" i="1"/>
  <c r="U352" i="1"/>
  <c r="N352" i="1"/>
  <c r="AM345" i="1"/>
  <c r="U345" i="1"/>
  <c r="N339" i="1"/>
  <c r="BN336" i="1"/>
  <c r="BJ336" i="1"/>
  <c r="BF336" i="1"/>
  <c r="AU335" i="1"/>
  <c r="AM335" i="1"/>
  <c r="BF333" i="1"/>
  <c r="U333" i="1"/>
  <c r="N333" i="1"/>
  <c r="AM322" i="1"/>
  <c r="U322" i="1"/>
  <c r="N322" i="1"/>
  <c r="AM315" i="1"/>
  <c r="U315" i="1"/>
  <c r="AY311" i="1"/>
  <c r="AQ311" i="1"/>
  <c r="AQ309" i="1"/>
  <c r="N309" i="1"/>
  <c r="AY308" i="1"/>
  <c r="AQ307" i="1"/>
  <c r="BN306" i="1"/>
  <c r="BJ306" i="1"/>
  <c r="BF306" i="1"/>
  <c r="AQ305" i="1"/>
  <c r="BF303" i="1"/>
  <c r="AY303" i="1"/>
  <c r="AQ303" i="1"/>
  <c r="U303" i="1"/>
  <c r="N303" i="1"/>
  <c r="AM291" i="1"/>
  <c r="U291" i="1"/>
  <c r="N291" i="1"/>
  <c r="AM284" i="1"/>
  <c r="U284" i="1"/>
  <c r="N278" i="1"/>
  <c r="BN275" i="1"/>
  <c r="BJ275" i="1"/>
  <c r="BF275" i="1"/>
  <c r="BF272" i="1"/>
  <c r="AN272" i="1"/>
  <c r="U272" i="1"/>
  <c r="N272" i="1"/>
  <c r="AM260" i="1"/>
  <c r="U260" i="1"/>
  <c r="N260" i="1"/>
  <c r="AM253" i="1"/>
  <c r="U253" i="1"/>
  <c r="N247" i="1"/>
  <c r="BN244" i="1"/>
  <c r="BJ244" i="1"/>
  <c r="BF244" i="1"/>
  <c r="AU244" i="1"/>
  <c r="AM244" i="1"/>
  <c r="BF241" i="1"/>
  <c r="U241" i="1"/>
  <c r="N241" i="1"/>
  <c r="AM229" i="1"/>
  <c r="U229" i="1"/>
  <c r="N229" i="1"/>
  <c r="AM222" i="1"/>
  <c r="U222" i="1"/>
  <c r="N216" i="1"/>
  <c r="AU213" i="1"/>
  <c r="AQ213" i="1"/>
  <c r="AM213" i="1"/>
  <c r="AM210" i="1"/>
  <c r="U210" i="1"/>
  <c r="N210" i="1"/>
  <c r="AM198" i="1"/>
  <c r="U198" i="1"/>
  <c r="N198" i="1"/>
  <c r="AM191" i="1"/>
  <c r="U191" i="1"/>
  <c r="AK186" i="1"/>
  <c r="AC186" i="1"/>
  <c r="U186" i="1"/>
  <c r="N185" i="1"/>
  <c r="BA180" i="1"/>
  <c r="AS180" i="1"/>
  <c r="AK180" i="1"/>
  <c r="AC180" i="1"/>
  <c r="U180" i="1"/>
  <c r="AC174" i="1"/>
  <c r="U174" i="1"/>
  <c r="BX169" i="1"/>
  <c r="BN169" i="1"/>
  <c r="BJ169" i="1"/>
  <c r="BF169" i="1"/>
  <c r="U168" i="1"/>
  <c r="BF166" i="1"/>
  <c r="AM166" i="1"/>
  <c r="N166" i="1"/>
  <c r="AM154" i="1"/>
  <c r="U154" i="1"/>
  <c r="N154" i="1"/>
  <c r="AM147" i="1"/>
  <c r="U147" i="1"/>
  <c r="AY142" i="1"/>
  <c r="AS142" i="1"/>
  <c r="AM142" i="1"/>
  <c r="U142" i="1"/>
  <c r="N139" i="1"/>
  <c r="U137" i="1"/>
  <c r="BN133" i="1"/>
  <c r="BJ133" i="1"/>
  <c r="BF133" i="1"/>
  <c r="U132" i="1"/>
  <c r="N132" i="1"/>
  <c r="BF130" i="1"/>
  <c r="AM130" i="1"/>
  <c r="AM118" i="1"/>
  <c r="U118" i="1"/>
  <c r="N118" i="1"/>
  <c r="AM111" i="1"/>
  <c r="U111" i="1"/>
  <c r="AC106" i="1"/>
  <c r="U106" i="1"/>
  <c r="N105" i="1"/>
  <c r="BN102" i="1"/>
  <c r="BJ102" i="1"/>
  <c r="BF102" i="1"/>
  <c r="AC101" i="1"/>
  <c r="U101" i="1"/>
  <c r="BF99" i="1"/>
  <c r="AM99" i="1"/>
  <c r="N99" i="1"/>
  <c r="AM87" i="1"/>
  <c r="U87" i="1"/>
  <c r="N87" i="1"/>
  <c r="AM80" i="1"/>
  <c r="U80" i="1"/>
  <c r="N74" i="1"/>
  <c r="BN71" i="1"/>
  <c r="BJ71" i="1"/>
  <c r="BF71" i="1"/>
  <c r="AU71" i="1"/>
  <c r="AM71" i="1"/>
  <c r="BF68" i="1"/>
  <c r="U68" i="1"/>
  <c r="N68" i="1"/>
  <c r="AM57" i="1"/>
  <c r="U57" i="1"/>
  <c r="N57" i="1"/>
  <c r="AM50" i="1"/>
  <c r="U50"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<sst xmlns="http://schemas.openxmlformats.org/spreadsheetml/2006/main" count="2821" uniqueCount="86">
  <si>
    <t>団体名</t>
    <rPh sb="0" eb="3">
      <t>ダンタイメイ</t>
    </rPh>
    <phoneticPr fontId="8"/>
  </si>
  <si>
    <t>業種名</t>
    <rPh sb="0" eb="2">
      <t>ギョウシュ</t>
    </rPh>
    <rPh sb="2" eb="3">
      <t>メイ</t>
    </rPh>
    <phoneticPr fontId="8"/>
  </si>
  <si>
    <t>事業名</t>
    <rPh sb="0" eb="2">
      <t>ジギョウ</t>
    </rPh>
    <rPh sb="2" eb="3">
      <t>メイ</t>
    </rPh>
    <phoneticPr fontId="8"/>
  </si>
  <si>
    <t>施設名</t>
    <rPh sb="0" eb="2">
      <t>シセツ</t>
    </rPh>
    <rPh sb="2" eb="3">
      <t>メイ</t>
    </rPh>
    <phoneticPr fontId="8"/>
  </si>
  <si>
    <t>抜本的な改革の取組</t>
    <phoneticPr fontId="8"/>
  </si>
  <si>
    <t>事業廃止</t>
    <rPh sb="0" eb="2">
      <t>ジギョウ</t>
    </rPh>
    <rPh sb="2" eb="4">
      <t>ハイシ</t>
    </rPh>
    <phoneticPr fontId="8"/>
  </si>
  <si>
    <t>民営化・
民間譲渡</t>
    <rPh sb="0" eb="3">
      <t>ミンエイカ</t>
    </rPh>
    <rPh sb="5" eb="7">
      <t>ミンカン</t>
    </rPh>
    <rPh sb="7" eb="9">
      <t>ジョウト</t>
    </rPh>
    <phoneticPr fontId="8"/>
  </si>
  <si>
    <t>広域化等</t>
    <rPh sb="0" eb="3">
      <t>コウイキカ</t>
    </rPh>
    <rPh sb="3" eb="4">
      <t>トウ</t>
    </rPh>
    <phoneticPr fontId="8"/>
  </si>
  <si>
    <t>民間活用</t>
    <rPh sb="0" eb="2">
      <t>ミンカン</t>
    </rPh>
    <rPh sb="2" eb="4">
      <t>カツヨウ</t>
    </rPh>
    <phoneticPr fontId="8"/>
  </si>
  <si>
    <t>現行の経営
体制を継続</t>
    <rPh sb="0" eb="2">
      <t>ゲンコウ</t>
    </rPh>
    <rPh sb="3" eb="5">
      <t>ケイエイ</t>
    </rPh>
    <rPh sb="6" eb="8">
      <t>タイセイ</t>
    </rPh>
    <rPh sb="9" eb="11">
      <t>ケイゾク</t>
    </rPh>
    <phoneticPr fontId="8"/>
  </si>
  <si>
    <t>指定管理者
制度</t>
    <rPh sb="0" eb="2">
      <t>シテイ</t>
    </rPh>
    <rPh sb="2" eb="5">
      <t>カンリシャ</t>
    </rPh>
    <rPh sb="6" eb="8">
      <t>セイド</t>
    </rPh>
    <phoneticPr fontId="8"/>
  </si>
  <si>
    <t>包括的
民間委託</t>
    <rPh sb="0" eb="3">
      <t>ホウカツテキ</t>
    </rPh>
    <rPh sb="4" eb="6">
      <t>ミンカン</t>
    </rPh>
    <rPh sb="6" eb="8">
      <t>イタク</t>
    </rPh>
    <phoneticPr fontId="8"/>
  </si>
  <si>
    <t>PPP/PFI方式
の活用</t>
    <rPh sb="7" eb="9">
      <t>ホウシキ</t>
    </rPh>
    <rPh sb="11" eb="13">
      <t>カツヨウ</t>
    </rPh>
    <phoneticPr fontId="8"/>
  </si>
  <si>
    <t>地方独立行政法人への移行</t>
    <rPh sb="0" eb="2">
      <t>チホウ</t>
    </rPh>
    <rPh sb="2" eb="4">
      <t>ドクリツ</t>
    </rPh>
    <rPh sb="4" eb="6">
      <t>ギョウセイ</t>
    </rPh>
    <rPh sb="6" eb="8">
      <t>ホウジン</t>
    </rPh>
    <rPh sb="10" eb="12">
      <t>イコウ</t>
    </rPh>
    <phoneticPr fontId="8"/>
  </si>
  <si>
    <t>取組事項</t>
    <rPh sb="0" eb="2">
      <t>トリクミ</t>
    </rPh>
    <rPh sb="2" eb="4">
      <t>ジコウ</t>
    </rPh>
    <phoneticPr fontId="8"/>
  </si>
  <si>
    <t>（取組の概要）</t>
    <rPh sb="1" eb="2">
      <t>ト</t>
    </rPh>
    <rPh sb="2" eb="3">
      <t>ク</t>
    </rPh>
    <rPh sb="4" eb="6">
      <t>ガイヨウ</t>
    </rPh>
    <phoneticPr fontId="8"/>
  </si>
  <si>
    <t>（全部と一部の別）</t>
    <rPh sb="1" eb="3">
      <t>ゼンブ</t>
    </rPh>
    <rPh sb="4" eb="6">
      <t>イチブ</t>
    </rPh>
    <rPh sb="7" eb="8">
      <t>ベツ</t>
    </rPh>
    <phoneticPr fontId="8"/>
  </si>
  <si>
    <t>（実施（予定）時期）</t>
    <rPh sb="1" eb="3">
      <t>ジッシ</t>
    </rPh>
    <rPh sb="4" eb="6">
      <t>ヨテイ</t>
    </rPh>
    <rPh sb="7" eb="9">
      <t>ジキ</t>
    </rPh>
    <phoneticPr fontId="8"/>
  </si>
  <si>
    <t>実施済</t>
    <rPh sb="0" eb="2">
      <t>ジッシ</t>
    </rPh>
    <rPh sb="2" eb="3">
      <t>ズ</t>
    </rPh>
    <phoneticPr fontId="8"/>
  </si>
  <si>
    <t>全部廃止</t>
    <rPh sb="0" eb="2">
      <t>ゼンブ</t>
    </rPh>
    <rPh sb="2" eb="4">
      <t>ハイシ</t>
    </rPh>
    <phoneticPr fontId="8"/>
  </si>
  <si>
    <t>一部廃止</t>
    <rPh sb="0" eb="2">
      <t>イチブ</t>
    </rPh>
    <rPh sb="2" eb="4">
      <t>ハイシ</t>
    </rPh>
    <phoneticPr fontId="8"/>
  </si>
  <si>
    <t>①診療所化・介護施設化</t>
    <rPh sb="1" eb="4">
      <t>シンリョウジョ</t>
    </rPh>
    <rPh sb="4" eb="5">
      <t>カ</t>
    </rPh>
    <rPh sb="6" eb="8">
      <t>カイゴ</t>
    </rPh>
    <rPh sb="8" eb="10">
      <t>シセツ</t>
    </rPh>
    <rPh sb="10" eb="11">
      <t>カ</t>
    </rPh>
    <phoneticPr fontId="8"/>
  </si>
  <si>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8"/>
  </si>
  <si>
    <t>年</t>
    <rPh sb="0" eb="1">
      <t>ネン</t>
    </rPh>
    <phoneticPr fontId="8"/>
  </si>
  <si>
    <t>月</t>
    <rPh sb="0" eb="1">
      <t>ガツ</t>
    </rPh>
    <phoneticPr fontId="8"/>
  </si>
  <si>
    <t>日</t>
    <rPh sb="0" eb="1">
      <t>ニチ</t>
    </rPh>
    <phoneticPr fontId="8"/>
  </si>
  <si>
    <t>実施予定</t>
    <rPh sb="0" eb="2">
      <t>ジッシ</t>
    </rPh>
    <rPh sb="2" eb="4">
      <t>ヨテイ</t>
    </rPh>
    <phoneticPr fontId="8"/>
  </si>
  <si>
    <t>③事業目的の完了</t>
    <rPh sb="1" eb="3">
      <t>ジギョウ</t>
    </rPh>
    <rPh sb="3" eb="5">
      <t>モクテキ</t>
    </rPh>
    <rPh sb="6" eb="8">
      <t>カンリョウ</t>
    </rPh>
    <phoneticPr fontId="8"/>
  </si>
  <si>
    <t>④民営化・民間譲渡による廃止</t>
    <rPh sb="1" eb="4">
      <t>ミンエイカ</t>
    </rPh>
    <rPh sb="5" eb="7">
      <t>ミンカン</t>
    </rPh>
    <rPh sb="7" eb="9">
      <t>ジョウト</t>
    </rPh>
    <rPh sb="12" eb="14">
      <t>ハイシ</t>
    </rPh>
    <phoneticPr fontId="8"/>
  </si>
  <si>
    <t>⑤広域化による廃止</t>
    <rPh sb="1" eb="4">
      <t>コウイキカ</t>
    </rPh>
    <rPh sb="7" eb="9">
      <t>ハイシ</t>
    </rPh>
    <phoneticPr fontId="8"/>
  </si>
  <si>
    <t>⑥その他</t>
    <rPh sb="3" eb="4">
      <t>タ</t>
    </rPh>
    <phoneticPr fontId="8"/>
  </si>
  <si>
    <t>（取組の効果額）</t>
    <rPh sb="1" eb="2">
      <t>ト</t>
    </rPh>
    <rPh sb="2" eb="3">
      <t>ク</t>
    </rPh>
    <rPh sb="4" eb="6">
      <t>コウカ</t>
    </rPh>
    <rPh sb="6" eb="7">
      <t>ガク</t>
    </rPh>
    <phoneticPr fontId="8"/>
  </si>
  <si>
    <t>（取組の効果額内訳）</t>
    <rPh sb="1" eb="3">
      <t>トリクミ</t>
    </rPh>
    <rPh sb="4" eb="6">
      <t>コウカ</t>
    </rPh>
    <rPh sb="6" eb="7">
      <t>ガク</t>
    </rPh>
    <rPh sb="7" eb="9">
      <t>ウチワケ</t>
    </rPh>
    <phoneticPr fontId="8"/>
  </si>
  <si>
    <t>百万円(年)</t>
    <rPh sb="0" eb="2">
      <t>ヒャクマン</t>
    </rPh>
    <rPh sb="2" eb="3">
      <t>エン</t>
    </rPh>
    <rPh sb="4" eb="5">
      <t>ネン</t>
    </rPh>
    <phoneticPr fontId="8"/>
  </si>
  <si>
    <t>（検討状況・課題）</t>
    <rPh sb="1" eb="3">
      <t>ケントウ</t>
    </rPh>
    <rPh sb="3" eb="5">
      <t>ジョウキョウ</t>
    </rPh>
    <rPh sb="6" eb="8">
      <t>カダイ</t>
    </rPh>
    <phoneticPr fontId="8"/>
  </si>
  <si>
    <t>検討中</t>
    <rPh sb="0" eb="3">
      <t>ケントウチュウ</t>
    </rPh>
    <phoneticPr fontId="8"/>
  </si>
  <si>
    <t>民営化・民間譲渡</t>
    <rPh sb="0" eb="3">
      <t>ミンエイカ</t>
    </rPh>
    <rPh sb="4" eb="6">
      <t>ミンカン</t>
    </rPh>
    <rPh sb="6" eb="8">
      <t>ジョウト</t>
    </rPh>
    <phoneticPr fontId="8"/>
  </si>
  <si>
    <t>全部民営化・
全部民間譲渡</t>
    <rPh sb="0" eb="2">
      <t>ゼンブ</t>
    </rPh>
    <rPh sb="2" eb="5">
      <t>ミンエイカ</t>
    </rPh>
    <rPh sb="7" eb="9">
      <t>ゼンブ</t>
    </rPh>
    <rPh sb="9" eb="11">
      <t>ミンカン</t>
    </rPh>
    <rPh sb="11" eb="13">
      <t>ジョウト</t>
    </rPh>
    <phoneticPr fontId="8"/>
  </si>
  <si>
    <t>一部民営化・
一部民間譲渡</t>
    <rPh sb="0" eb="2">
      <t>イチブ</t>
    </rPh>
    <rPh sb="2" eb="5">
      <t>ミンエイカ</t>
    </rPh>
    <rPh sb="7" eb="8">
      <t>イチ</t>
    </rPh>
    <rPh sb="8" eb="9">
      <t>ブ</t>
    </rPh>
    <rPh sb="9" eb="11">
      <t>ミンカン</t>
    </rPh>
    <rPh sb="11" eb="13">
      <t>ジョウト</t>
    </rPh>
    <phoneticPr fontId="8"/>
  </si>
  <si>
    <t>（水道事業）広域化等</t>
    <rPh sb="1" eb="3">
      <t>スイドウ</t>
    </rPh>
    <rPh sb="3" eb="5">
      <t>ジギョウ</t>
    </rPh>
    <phoneticPr fontId="8"/>
  </si>
  <si>
    <t>（実施類型）</t>
    <rPh sb="1" eb="3">
      <t>ジッシ</t>
    </rPh>
    <rPh sb="3" eb="5">
      <t>ルイケイ</t>
    </rPh>
    <phoneticPr fontId="8"/>
  </si>
  <si>
    <t>経営統合</t>
    <rPh sb="0" eb="2">
      <t>ケイエイ</t>
    </rPh>
    <rPh sb="2" eb="4">
      <t>トウゴウ</t>
    </rPh>
    <phoneticPr fontId="8"/>
  </si>
  <si>
    <t>施設の
共同設置・利用</t>
    <rPh sb="0" eb="2">
      <t>シセツ</t>
    </rPh>
    <rPh sb="4" eb="6">
      <t>キョウドウ</t>
    </rPh>
    <rPh sb="6" eb="8">
      <t>セッチ</t>
    </rPh>
    <rPh sb="9" eb="11">
      <t>リヨウ</t>
    </rPh>
    <phoneticPr fontId="8"/>
  </si>
  <si>
    <t>施設管理の
共同化</t>
    <rPh sb="0" eb="2">
      <t>シセツ</t>
    </rPh>
    <rPh sb="2" eb="4">
      <t>カンリ</t>
    </rPh>
    <rPh sb="6" eb="9">
      <t>キョウドウカ</t>
    </rPh>
    <phoneticPr fontId="8"/>
  </si>
  <si>
    <t>管理の一体化</t>
    <rPh sb="0" eb="2">
      <t>カンリ</t>
    </rPh>
    <rPh sb="3" eb="6">
      <t>イッタイカ</t>
    </rPh>
    <phoneticPr fontId="8"/>
  </si>
  <si>
    <t>（簡易水道事業）広域化等</t>
    <rPh sb="1" eb="3">
      <t>カンイ</t>
    </rPh>
    <rPh sb="3" eb="5">
      <t>スイドウ</t>
    </rPh>
    <rPh sb="5" eb="7">
      <t>ジギョウ</t>
    </rPh>
    <phoneticPr fontId="8"/>
  </si>
  <si>
    <t>簡易水道事業統合(市町村内)</t>
    <rPh sb="0" eb="2">
      <t>カンイ</t>
    </rPh>
    <rPh sb="2" eb="4">
      <t>スイドウ</t>
    </rPh>
    <rPh sb="4" eb="6">
      <t>ジギョウ</t>
    </rPh>
    <rPh sb="6" eb="8">
      <t>トウゴウ</t>
    </rPh>
    <rPh sb="9" eb="12">
      <t>シチョウソン</t>
    </rPh>
    <rPh sb="12" eb="13">
      <t>ナイ</t>
    </rPh>
    <phoneticPr fontId="8"/>
  </si>
  <si>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8"/>
  </si>
  <si>
    <t>簡易水道事業統合以外</t>
    <rPh sb="0" eb="2">
      <t>カンイ</t>
    </rPh>
    <rPh sb="2" eb="4">
      <t>スイドウ</t>
    </rPh>
    <rPh sb="4" eb="6">
      <t>ジギョウ</t>
    </rPh>
    <rPh sb="6" eb="8">
      <t>トウゴウ</t>
    </rPh>
    <rPh sb="8" eb="10">
      <t>イガイ</t>
    </rPh>
    <phoneticPr fontId="8"/>
  </si>
  <si>
    <t>施設の共同
設置・利用</t>
    <rPh sb="0" eb="2">
      <t>シセツ</t>
    </rPh>
    <rPh sb="3" eb="5">
      <t>キョウドウ</t>
    </rPh>
    <rPh sb="6" eb="8">
      <t>セッチ</t>
    </rPh>
    <rPh sb="9" eb="11">
      <t>リヨウ</t>
    </rPh>
    <phoneticPr fontId="8"/>
  </si>
  <si>
    <t>施設管理の
共同化</t>
    <rPh sb="0" eb="2">
      <t>シセツ</t>
    </rPh>
    <rPh sb="2" eb="4">
      <t>カンリ</t>
    </rPh>
    <rPh sb="6" eb="8">
      <t>キョウドウ</t>
    </rPh>
    <rPh sb="8" eb="9">
      <t>カ</t>
    </rPh>
    <phoneticPr fontId="8"/>
  </si>
  <si>
    <t>管理の一体化</t>
    <rPh sb="0" eb="2">
      <t>カンリ</t>
    </rPh>
    <rPh sb="3" eb="5">
      <t>イッタイ</t>
    </rPh>
    <rPh sb="5" eb="6">
      <t>カ</t>
    </rPh>
    <phoneticPr fontId="8"/>
  </si>
  <si>
    <t>（下水道事業）広域化等</t>
    <rPh sb="1" eb="2">
      <t>シタ</t>
    </rPh>
    <rPh sb="2" eb="4">
      <t>スイドウ</t>
    </rPh>
    <rPh sb="4" eb="6">
      <t>ジギョウ</t>
    </rPh>
    <phoneticPr fontId="8"/>
  </si>
  <si>
    <t>汚水処理施設の統廃合</t>
    <rPh sb="0" eb="2">
      <t>オスイ</t>
    </rPh>
    <rPh sb="2" eb="4">
      <t>ショリ</t>
    </rPh>
    <rPh sb="4" eb="6">
      <t>シセツ</t>
    </rPh>
    <rPh sb="7" eb="10">
      <t>トウハイゴウ</t>
    </rPh>
    <phoneticPr fontId="8"/>
  </si>
  <si>
    <t>処理場廃止あり</t>
    <rPh sb="0" eb="3">
      <t>ショリジョウ</t>
    </rPh>
    <rPh sb="3" eb="5">
      <t>ハイシ</t>
    </rPh>
    <phoneticPr fontId="8"/>
  </si>
  <si>
    <t>処理場廃止なし</t>
    <rPh sb="0" eb="3">
      <t>ショリジョウ</t>
    </rPh>
    <rPh sb="3" eb="5">
      <t>ハイシ</t>
    </rPh>
    <phoneticPr fontId="8"/>
  </si>
  <si>
    <t>公共下水･流域下水の統合</t>
    <rPh sb="0" eb="2">
      <t>コウキョウ</t>
    </rPh>
    <rPh sb="2" eb="4">
      <t>ゲスイ</t>
    </rPh>
    <rPh sb="5" eb="7">
      <t>リュウイキ</t>
    </rPh>
    <rPh sb="7" eb="9">
      <t>ゲスイ</t>
    </rPh>
    <rPh sb="10" eb="12">
      <t>トウゴウ</t>
    </rPh>
    <phoneticPr fontId="8"/>
  </si>
  <si>
    <t>公共下水同士
の統合</t>
    <rPh sb="0" eb="2">
      <t>コウキョウ</t>
    </rPh>
    <rPh sb="2" eb="4">
      <t>ゲスイ</t>
    </rPh>
    <rPh sb="4" eb="6">
      <t>ドウシ</t>
    </rPh>
    <rPh sb="8" eb="10">
      <t>トウゴウ</t>
    </rPh>
    <phoneticPr fontId="8"/>
  </si>
  <si>
    <t>集落排水･公共下水との統合</t>
    <rPh sb="0" eb="2">
      <t>シュウラク</t>
    </rPh>
    <rPh sb="2" eb="4">
      <t>ハイスイ</t>
    </rPh>
    <rPh sb="5" eb="7">
      <t>コウキョウ</t>
    </rPh>
    <rPh sb="7" eb="9">
      <t>ゲスイ</t>
    </rPh>
    <rPh sb="11" eb="13">
      <t>トウゴウ</t>
    </rPh>
    <phoneticPr fontId="8"/>
  </si>
  <si>
    <t>特環下水と公共下水との結合</t>
    <rPh sb="0" eb="1">
      <t>トク</t>
    </rPh>
    <rPh sb="2" eb="4">
      <t>ゲスイ</t>
    </rPh>
    <rPh sb="5" eb="7">
      <t>コウキョウ</t>
    </rPh>
    <rPh sb="7" eb="9">
      <t>ゲスイ</t>
    </rPh>
    <rPh sb="11" eb="13">
      <t>ケツゴウ</t>
    </rPh>
    <phoneticPr fontId="8"/>
  </si>
  <si>
    <t>その他</t>
    <rPh sb="2" eb="3">
      <t>ホカ</t>
    </rPh>
    <phoneticPr fontId="8"/>
  </si>
  <si>
    <t>汚泥処理の
共同化</t>
    <rPh sb="0" eb="2">
      <t>オデイ</t>
    </rPh>
    <rPh sb="2" eb="4">
      <t>ショリ</t>
    </rPh>
    <rPh sb="6" eb="9">
      <t>キョウドウカ</t>
    </rPh>
    <phoneticPr fontId="8"/>
  </si>
  <si>
    <t>維持管理・事務
の共同化</t>
    <rPh sb="0" eb="2">
      <t>イジ</t>
    </rPh>
    <rPh sb="2" eb="4">
      <t>カンリ</t>
    </rPh>
    <rPh sb="5" eb="7">
      <t>ジム</t>
    </rPh>
    <rPh sb="9" eb="12">
      <t>キョウドウカ</t>
    </rPh>
    <phoneticPr fontId="8"/>
  </si>
  <si>
    <t>最適な汚水処理施設の選択（最適化）</t>
    <rPh sb="0" eb="2">
      <t>サイテキ</t>
    </rPh>
    <rPh sb="3" eb="5">
      <t>オスイ</t>
    </rPh>
    <rPh sb="5" eb="7">
      <t>ショリ</t>
    </rPh>
    <rPh sb="7" eb="9">
      <t>シセツ</t>
    </rPh>
    <rPh sb="10" eb="12">
      <t>センタク</t>
    </rPh>
    <rPh sb="13" eb="16">
      <t>サイテキカ</t>
    </rPh>
    <phoneticPr fontId="8"/>
  </si>
  <si>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8"/>
  </si>
  <si>
    <t>民間活用（指定管理者制度）</t>
    <rPh sb="0" eb="2">
      <t>ミンカン</t>
    </rPh>
    <rPh sb="2" eb="4">
      <t>カツヨウ</t>
    </rPh>
    <rPh sb="5" eb="7">
      <t>シテイ</t>
    </rPh>
    <rPh sb="7" eb="10">
      <t>カンリシャ</t>
    </rPh>
    <rPh sb="10" eb="12">
      <t>セイド</t>
    </rPh>
    <phoneticPr fontId="8"/>
  </si>
  <si>
    <t>（方式）</t>
    <rPh sb="1" eb="3">
      <t>ホウシキ</t>
    </rPh>
    <phoneticPr fontId="8"/>
  </si>
  <si>
    <t>代行制</t>
    <rPh sb="0" eb="3">
      <t>ダイコウセイ</t>
    </rPh>
    <phoneticPr fontId="8"/>
  </si>
  <si>
    <t>利用料金制</t>
    <rPh sb="0" eb="2">
      <t>リヨウ</t>
    </rPh>
    <rPh sb="2" eb="5">
      <t>リョウキンセイ</t>
    </rPh>
    <phoneticPr fontId="8"/>
  </si>
  <si>
    <t>民間活用（包括的民間委託）</t>
    <rPh sb="0" eb="2">
      <t>ミンカン</t>
    </rPh>
    <rPh sb="2" eb="4">
      <t>カツヨウ</t>
    </rPh>
    <rPh sb="5" eb="8">
      <t>ホウカツテキ</t>
    </rPh>
    <rPh sb="8" eb="10">
      <t>ミンカン</t>
    </rPh>
    <rPh sb="10" eb="12">
      <t>イタク</t>
    </rPh>
    <phoneticPr fontId="8"/>
  </si>
  <si>
    <t>（（実施済のみ）性能発注内容）</t>
    <rPh sb="2" eb="4">
      <t>ジッシ</t>
    </rPh>
    <rPh sb="4" eb="5">
      <t>ズ</t>
    </rPh>
    <rPh sb="8" eb="10">
      <t>セイノウ</t>
    </rPh>
    <rPh sb="10" eb="12">
      <t>ハッチュウ</t>
    </rPh>
    <rPh sb="12" eb="14">
      <t>ナイヨウ</t>
    </rPh>
    <phoneticPr fontId="8"/>
  </si>
  <si>
    <t>民間活用（ＰＰＰ/ＰＦＩ方式の活用）</t>
    <rPh sb="0" eb="2">
      <t>ミンカン</t>
    </rPh>
    <rPh sb="2" eb="4">
      <t>カツヨウ</t>
    </rPh>
    <rPh sb="12" eb="14">
      <t>ホウシキ</t>
    </rPh>
    <rPh sb="15" eb="17">
      <t>カツヨウ</t>
    </rPh>
    <phoneticPr fontId="8"/>
  </si>
  <si>
    <t>（導入・契約（予定）時期）</t>
    <rPh sb="1" eb="3">
      <t>ドウニュウ</t>
    </rPh>
    <rPh sb="4" eb="6">
      <t>ケイヤク</t>
    </rPh>
    <rPh sb="7" eb="9">
      <t>ヨテイ</t>
    </rPh>
    <rPh sb="10" eb="12">
      <t>ジキ</t>
    </rPh>
    <phoneticPr fontId="8"/>
  </si>
  <si>
    <t>BTO方式</t>
    <rPh sb="3" eb="5">
      <t>ホウシキ</t>
    </rPh>
    <phoneticPr fontId="8"/>
  </si>
  <si>
    <t>公共施設等運営権方式（コンセッション方式）</t>
    <rPh sb="0" eb="2">
      <t>コウキョウ</t>
    </rPh>
    <rPh sb="2" eb="4">
      <t>シセツ</t>
    </rPh>
    <rPh sb="4" eb="5">
      <t>トウ</t>
    </rPh>
    <rPh sb="5" eb="8">
      <t>ウンエイケン</t>
    </rPh>
    <rPh sb="8" eb="10">
      <t>ホウシキ</t>
    </rPh>
    <rPh sb="18" eb="20">
      <t>ホウシキ</t>
    </rPh>
    <phoneticPr fontId="8"/>
  </si>
  <si>
    <t>BOT方式</t>
    <rPh sb="3" eb="5">
      <t>ホウシキ</t>
    </rPh>
    <phoneticPr fontId="8"/>
  </si>
  <si>
    <t>BOO方式</t>
    <rPh sb="3" eb="5">
      <t>ホウシキ</t>
    </rPh>
    <phoneticPr fontId="8"/>
  </si>
  <si>
    <t>港湾運営会社制度</t>
    <rPh sb="0" eb="2">
      <t>コウワン</t>
    </rPh>
    <rPh sb="2" eb="4">
      <t>ウンエイ</t>
    </rPh>
    <rPh sb="4" eb="6">
      <t>ガイシャ</t>
    </rPh>
    <rPh sb="6" eb="8">
      <t>セイド</t>
    </rPh>
    <phoneticPr fontId="8"/>
  </si>
  <si>
    <t>DB方式</t>
    <rPh sb="2" eb="4">
      <t>ホウシキ</t>
    </rPh>
    <phoneticPr fontId="8"/>
  </si>
  <si>
    <t>DBO方式</t>
    <rPh sb="3" eb="5">
      <t>ホウシキ</t>
    </rPh>
    <phoneticPr fontId="8"/>
  </si>
  <si>
    <t>その他</t>
    <rPh sb="2" eb="3">
      <t>タ</t>
    </rPh>
    <phoneticPr fontId="8"/>
  </si>
  <si>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8"/>
  </si>
  <si>
    <t>（公務員型と非公務員型の別）</t>
    <rPh sb="1" eb="5">
      <t>コウムインガタ</t>
    </rPh>
    <rPh sb="6" eb="7">
      <t>ヒ</t>
    </rPh>
    <rPh sb="7" eb="11">
      <t>コウムインガタ</t>
    </rPh>
    <rPh sb="12" eb="13">
      <t>ベツ</t>
    </rPh>
    <phoneticPr fontId="8"/>
  </si>
  <si>
    <t>公務員型</t>
    <rPh sb="0" eb="3">
      <t>コウムイン</t>
    </rPh>
    <rPh sb="3" eb="4">
      <t>ガタ</t>
    </rPh>
    <phoneticPr fontId="8"/>
  </si>
  <si>
    <t>非公務員型</t>
    <rPh sb="0" eb="1">
      <t>ヒ</t>
    </rPh>
    <rPh sb="1" eb="4">
      <t>コウムイン</t>
    </rPh>
    <rPh sb="4" eb="5">
      <t>ガタ</t>
    </rPh>
    <phoneticPr fontId="8"/>
  </si>
  <si>
    <t>抜本的な改革に取り組まず、現行の経営体制・手法を継続する理由及び現在の経営状況・経営戦略等における中長期的な将来見通しを踏まえた、今後の経営改革の方向性</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</si>
</sst>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charset val="128"/>
    </font>
    <font>
      <sz val="6"/>
      <name val="Yu Gothic"/>
      <family val="2"/>
      <charset val="128"/>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2" fillId="0" borderId="0" xfId="0" applyFont="1">
      <alignment vertical="center"/>
    </xf>
    <xf numFmtId="0" fontId="13" fillId="2" borderId="2" xfId="0" applyFont="1" applyFill="1" applyBorder="1" applyAlignment="1"/>
    <xf numFmtId="0" fontId="13" fillId="2" borderId="3" xfId="0" applyFont="1" applyFill="1" applyBorder="1" applyAlignment="1"/>
    <xf numFmtId="0" fontId="13" fillId="2" borderId="4" xfId="0" applyFont="1" applyFill="1" applyBorder="1" applyAlignment="1"/>
    <xf numFmtId="0" fontId="13" fillId="0" borderId="0" xfId="0" applyFont="1" applyAlignment="1"/>
    <xf numFmtId="0" fontId="13"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2" borderId="0" xfId="0" applyFont="1" applyFill="1" applyAlignment="1"/>
    <xf numFmtId="0" fontId="13"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2" borderId="0" xfId="0" applyFont="1" applyFill="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6" fillId="0" borderId="0" xfId="0" applyFont="1" applyAlignment="1"/>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2" borderId="0" xfId="0" applyFont="1" applyFill="1">
      <alignment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8" fillId="0" borderId="5"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0" xfId="0" applyFont="1" applyFill="1">
      <alignment vertical="center"/>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6" fillId="2" borderId="7" xfId="0" applyFont="1" applyFill="1" applyBorder="1" applyAlignment="1"/>
    <xf numFmtId="0" fontId="16" fillId="2" borderId="8" xfId="0" applyFont="1" applyFill="1" applyBorder="1" applyAlignment="1"/>
    <xf numFmtId="0" fontId="13" fillId="2" borderId="8" xfId="0" applyFont="1" applyFill="1" applyBorder="1" applyAlignment="1"/>
    <xf numFmtId="0" fontId="13" fillId="2" borderId="9" xfId="0" applyFont="1" applyFill="1" applyBorder="1" applyAlignment="1"/>
    <xf numFmtId="0" fontId="17" fillId="0" borderId="0" xfId="0" applyFont="1">
      <alignment vertical="center"/>
    </xf>
    <xf numFmtId="0" fontId="16" fillId="0" borderId="0" xfId="0" applyFont="1">
      <alignment vertical="center"/>
    </xf>
    <xf numFmtId="0" fontId="17" fillId="2" borderId="2" xfId="0" applyFont="1" applyFill="1" applyBorder="1">
      <alignment vertical="center"/>
    </xf>
    <xf numFmtId="0" fontId="17" fillId="2" borderId="3" xfId="0" applyFont="1" applyFill="1" applyBorder="1">
      <alignment vertical="center"/>
    </xf>
    <xf numFmtId="0" fontId="16" fillId="2" borderId="10" xfId="0" applyFont="1" applyFill="1" applyBorder="1" applyAlignment="1">
      <alignment horizontal="left" wrapText="1"/>
    </xf>
    <xf numFmtId="0" fontId="16" fillId="2" borderId="3" xfId="0" applyFont="1" applyFill="1" applyBorder="1" applyAlignment="1">
      <alignment wrapText="1"/>
    </xf>
    <xf numFmtId="0" fontId="16" fillId="2" borderId="3" xfId="0" applyFont="1" applyFill="1" applyBorder="1" applyAlignment="1">
      <alignment shrinkToFit="1"/>
    </xf>
    <xf numFmtId="0" fontId="17" fillId="2" borderId="4" xfId="0" applyFont="1" applyFill="1" applyBorder="1">
      <alignment vertical="center"/>
    </xf>
    <xf numFmtId="0" fontId="19" fillId="0" borderId="0" xfId="0" applyFont="1">
      <alignment vertical="center"/>
    </xf>
    <xf numFmtId="0" fontId="17" fillId="2" borderId="5" xfId="0"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6" fillId="2" borderId="0" xfId="0" applyFont="1" applyFill="1" applyAlignment="1">
      <alignment wrapText="1"/>
    </xf>
    <xf numFmtId="0" fontId="16" fillId="2" borderId="0" xfId="0" applyFont="1" applyFill="1" applyAlignment="1"/>
    <xf numFmtId="0" fontId="20" fillId="2" borderId="0" xfId="0" applyFont="1" applyFill="1" applyAlignment="1"/>
    <xf numFmtId="0" fontId="3" fillId="2" borderId="0" xfId="0" applyFont="1" applyFill="1" applyAlignment="1">
      <alignment horizontal="left" vertical="center" wrapText="1"/>
    </xf>
    <xf numFmtId="0" fontId="17" fillId="2" borderId="6" xfId="0" applyFont="1" applyFill="1" applyBorder="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20" fillId="2" borderId="0" xfId="0" applyFont="1" applyFill="1">
      <alignment vertical="center"/>
    </xf>
    <xf numFmtId="0" fontId="16" fillId="2" borderId="0" xfId="0" applyFont="1" applyFill="1" applyAlignment="1">
      <alignment shrinkToFit="1"/>
    </xf>
    <xf numFmtId="0" fontId="3" fillId="2" borderId="0" xfId="0" applyFont="1" applyFill="1" applyAlignment="1">
      <alignment vertical="center" wrapText="1"/>
    </xf>
    <xf numFmtId="0" fontId="16" fillId="2" borderId="0" xfId="0" applyFont="1" applyFill="1" applyAlignment="1">
      <alignment horizontal="left" wrapText="1"/>
    </xf>
    <xf numFmtId="0" fontId="21" fillId="2" borderId="0" xfId="0" applyFont="1" applyFill="1">
      <alignment vertical="center"/>
    </xf>
    <xf numFmtId="0" fontId="20" fillId="2" borderId="0" xfId="0" applyFont="1" applyFill="1" applyAlignment="1">
      <alignment shrinkToFit="1"/>
    </xf>
    <xf numFmtId="0" fontId="20" fillId="2" borderId="0" xfId="0" applyFont="1" applyFill="1" applyAlignment="1">
      <alignment horizontal="left" vertical="center" wrapText="1"/>
    </xf>
    <xf numFmtId="0" fontId="20" fillId="2" borderId="0" xfId="0" applyFont="1" applyFill="1" applyAlignment="1">
      <alignment vertical="center" wrapText="1"/>
    </xf>
    <xf numFmtId="0" fontId="20" fillId="2" borderId="8" xfId="0" applyFont="1" applyFill="1" applyBorder="1" applyAlignment="1">
      <alignment wrapText="1"/>
    </xf>
    <xf numFmtId="0" fontId="20" fillId="2" borderId="0" xfId="0" applyFont="1" applyFill="1" applyAlignment="1">
      <alignment wrapText="1"/>
    </xf>
    <xf numFmtId="0" fontId="21" fillId="2" borderId="0" xfId="0" applyFont="1" applyFill="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3" fillId="2" borderId="0" xfId="0" applyFont="1" applyFill="1" applyAlignment="1">
      <alignment vertical="center" wrapText="1"/>
    </xf>
    <xf numFmtId="0" fontId="24" fillId="0" borderId="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6" xfId="0" applyFont="1" applyBorder="1" applyAlignment="1">
      <alignment horizontal="center"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0" borderId="6" xfId="0" applyFont="1" applyBorder="1" applyAlignment="1">
      <alignment horizontal="left" vertical="center" wrapText="1"/>
    </xf>
    <xf numFmtId="0" fontId="18" fillId="0" borderId="5" xfId="0" applyFont="1" applyBorder="1" applyAlignment="1">
      <alignment horizontal="center" vertical="center" shrinkToFit="1"/>
    </xf>
    <xf numFmtId="0" fontId="18" fillId="0" borderId="0" xfId="0" applyFont="1" applyAlignment="1">
      <alignment horizontal="center" vertical="center" shrinkToFit="1"/>
    </xf>
    <xf numFmtId="0" fontId="18" fillId="0" borderId="6" xfId="0" applyFont="1" applyBorder="1" applyAlignment="1">
      <alignment horizontal="center" vertical="center" shrinkToFit="1"/>
    </xf>
    <xf numFmtId="0" fontId="18" fillId="0" borderId="4"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4" fillId="2" borderId="0" xfId="0" applyFont="1" applyFill="1" applyAlignment="1">
      <alignment horizontal="center"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26" fillId="0" borderId="10" xfId="0" applyFont="1" applyBorder="1">
      <alignment vertical="center"/>
    </xf>
    <xf numFmtId="0" fontId="26" fillId="0" borderId="12" xfId="0" applyFont="1" applyBorder="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25" fillId="0" borderId="10" xfId="0" applyFont="1" applyBorder="1" applyAlignment="1">
      <alignment vertical="center" wrapText="1"/>
    </xf>
    <xf numFmtId="0" fontId="27" fillId="2" borderId="0" xfId="0" applyFont="1" applyFill="1">
      <alignment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0" fillId="2" borderId="3" xfId="0" applyFill="1" applyBorder="1">
      <alignment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23" fillId="2" borderId="0" xfId="0" applyFont="1" applyFill="1">
      <alignment vertical="center"/>
    </xf>
    <xf numFmtId="0" fontId="17" fillId="2" borderId="7" xfId="0" applyFont="1" applyFill="1" applyBorder="1">
      <alignment vertical="center"/>
    </xf>
    <xf numFmtId="0" fontId="17" fillId="2" borderId="8" xfId="0" applyFont="1" applyFill="1" applyBorder="1">
      <alignment vertical="center"/>
    </xf>
    <xf numFmtId="0" fontId="17" fillId="2" borderId="9" xfId="0" applyFont="1" applyFill="1" applyBorder="1">
      <alignment vertical="center"/>
    </xf>
    <xf numFmtId="0" fontId="20" fillId="2" borderId="8" xfId="0" applyFont="1" applyFill="1" applyBorder="1" applyAlignment="1"/>
    <xf numFmtId="0" fontId="24" fillId="0" borderId="1" xfId="0" applyFont="1" applyBorder="1" applyAlignment="1">
      <alignment horizontal="center" vertical="center" wrapText="1" shrinkToFit="1"/>
    </xf>
    <xf numFmtId="0" fontId="18" fillId="0" borderId="7"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9" xfId="0" applyFont="1" applyBorder="1" applyAlignment="1">
      <alignment horizontal="center" vertical="center" shrinkToFit="1"/>
    </xf>
    <xf numFmtId="0" fontId="0" fillId="2" borderId="0" xfId="0" applyFill="1">
      <alignment vertical="center"/>
    </xf>
    <xf numFmtId="0" fontId="16" fillId="2" borderId="3" xfId="0" applyFont="1" applyFill="1" applyBorder="1" applyAlignment="1">
      <alignment horizontal="left" wrapText="1"/>
    </xf>
    <xf numFmtId="0" fontId="16" fillId="2" borderId="0" xfId="0" applyFont="1" applyFill="1" applyAlignment="1">
      <alignment horizontal="left" wrapText="1"/>
    </xf>
    <xf numFmtId="0" fontId="1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20" fillId="2" borderId="6" xfId="0" applyFont="1" applyFill="1" applyBorder="1">
      <alignment vertical="center"/>
    </xf>
    <xf numFmtId="0" fontId="14" fillId="2" borderId="8" xfId="0" applyFont="1" applyFill="1" applyBorder="1" applyAlignment="1">
      <alignment horizontal="center" vertical="center"/>
    </xf>
    <xf numFmtId="0" fontId="22"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6" fillId="2" borderId="0" xfId="0" applyFont="1" applyFill="1" applyAlignment="1">
      <alignment horizontal="left" vertical="center" wrapTex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0" xfId="0" applyFont="1" applyAlignment="1">
      <alignment horizontal="center" vertical="center" shrinkToFit="1"/>
    </xf>
    <xf numFmtId="0" fontId="24" fillId="0" borderId="6"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9" xfId="0" applyFont="1" applyBorder="1" applyAlignment="1">
      <alignment horizontal="center" vertical="center" shrinkToFit="1"/>
    </xf>
    <xf numFmtId="0" fontId="16" fillId="2" borderId="8" xfId="0" applyFont="1" applyFill="1" applyBorder="1" applyAlignment="1">
      <alignment horizontal="left" wrapText="1"/>
    </xf>
    <xf numFmtId="0" fontId="24" fillId="2" borderId="0" xfId="0" applyFont="1" applyFill="1" applyAlignment="1">
      <alignment horizontal="left" vertical="center"/>
    </xf>
    <xf numFmtId="0" fontId="12" fillId="2" borderId="0" xfId="0" applyFont="1" applyFill="1">
      <alignmen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2" fillId="0" borderId="0" xfId="0" applyFont="1" applyAlignment="1">
      <alignment horizontal="left" vertical="center" wrapText="1"/>
    </xf>
    <xf numFmtId="0" fontId="0" fillId="2" borderId="2" xfId="0" applyFill="1" applyBorder="1">
      <alignment vertical="center"/>
    </xf>
    <xf numFmtId="0" fontId="12"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1EBC805-300A-46AF-B4BD-DD35F7B5761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E923029-703D-4153-B9AD-CBEC98D773C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4490A01-AD18-4F85-8A27-AB552172E2E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B150BB2-3538-437C-8E39-1A37282B5344}"/>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76DD12F-6C9E-46F5-A9A8-FB8106AB709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2D934B9-03C4-4A19-9FA1-507CE6798F8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E689A88-FC28-417D-B753-66427BCC8C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F90CF992-12E7-43AB-80ED-F1467B71A45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758AABF8-E072-470B-8D6D-DB3888CA9223}"/>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A190633D-982D-4345-978C-0003E37E20EF}"/>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1EE1B639-4E50-4563-93AE-E9461D5DBCDB}"/>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B8FD727-BA1E-491D-BC06-5E4E6CA5568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62E4FEE-7FB1-4D12-9575-781447FDBACA}"/>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393842E-25E6-4E56-8EB7-D8CB5AD8331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262C57D6-E13A-4A11-BB8D-F6FD787B72B9}"/>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D7AF8F4C-37EF-4FDB-90FC-29D1B6F0E81F}"/>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611FECE-F6EA-41BD-9E44-855998B907F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42F821E-2527-4269-A01B-52EE40A23173}"/>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1E8EDCBB-1DB7-4541-90AE-E644341DCEF2}"/>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9FA74003-8D24-4B7D-ADA4-00B68DF867E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5A4EBDF-5408-4989-8C63-5D9D825F8AF9}"/>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C933D472-4EBA-4131-97BC-8F2A4523F1A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C5563C1-20BF-4E37-BB45-FEF70DF891A8}"/>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7B158C14-ADB6-45BD-B810-59B5E66F05F1}"/>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E4898BB-598C-42A7-81EF-499D396842C6}"/>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85D1DED-4F8A-4B77-9C94-6019050A142F}"/>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76EA040-AD91-458B-A2CC-4C49AB4AA82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FDC65DE-1102-4EE7-BEF1-3D00ED8BBE1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850255D-3D15-4482-A405-79FDAFD56B4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20FBC40-2930-4605-94F0-252D3455B7A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3ADFB84-9A31-4A85-93EF-3B35BE60C20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1D47E0C-4799-4CE3-9C8A-46AC563B221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2B3047AF-5E2B-4830-B6B1-00C502E1152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5F59C10A-7FCC-4131-9376-53FC0A2DA7BC}"/>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88E9C7BC-0232-432F-97FD-4B73F4F7B2A6}"/>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79B0AC0D-8A12-4471-BC56-8BC9B88EAE83}"/>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CDD557CA-7ED0-4063-88EF-D8289F75D93B}"/>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F9B86A09-4E8B-44A9-ACAF-0D6E0BA655D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FF4015B3-D766-4339-BB56-4D98B62A0495}"/>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274AB95A-F8DA-4BBE-B9E3-304E5BD240A9}"/>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105B0603-49EF-4129-A45D-9E825F29C821}"/>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CD131E2-7A4C-48B9-866E-E13B69CD4BEE}"/>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23D08A9-CF17-4457-BA92-338835A159D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10397C9-B349-436B-8E8B-4A24CE84586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7890915F-45A1-47D3-821A-DD2FAF7855D4}"/>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14805363-60C7-4D9C-B4A3-02B4467C471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E74E2C52-ACF4-4997-A889-D51D92426493}"/>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46E7724F-0629-4E58-986E-32B00D714D6E}"/>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A5FD34A4-3116-41B4-AC58-F6EDB3EADD8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408985F0-05A0-4B4F-A936-0572C83F1CA5}"/>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44B8DF8-FF67-410C-A1EE-4A2728A93F1D}"/>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9CE331B4-DDBA-45F2-BA65-6A743462DCF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EC6F87D-84EC-4A23-848F-AF4BA477698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44CCA10-B354-447D-B33C-F46D33E231D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9C52E7E-9B87-433F-917F-2D5061AE872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860A984-405A-481C-92A8-F53419A3B42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DF85066-0AC3-49B0-B256-3C2045FEDBE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163A0FB9-AE6E-4E3F-B5EE-FF15BD56971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5AD1C6A-D455-410D-81DE-524261C2DC9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96D28C83-DA12-437F-9893-4EB839EF6A9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20A0E5C-7609-4E4E-B36E-EAA2B9FFFBC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9D5096B0-116D-4D13-9D1B-B4B286B35E57}"/>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0ECCDF7-1004-4163-BDE4-E4127A6BADB4}"/>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5381540-2FAC-4CC0-AA58-BE5AFBDB7CCE}"/>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B220DA3D-129D-40DB-B2A9-D4551A368607}"/>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FD17EC7-6A24-489F-8FC9-786B56EB63EB}"/>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F7A04010-04D4-4A52-A85B-F34EFF23DFA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BBCAC78-CA20-4297-BBE0-C2F7341C1AAD}"/>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AA80AEFA-E75A-4DD4-B2EB-38FAB9C26CF3}"/>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12A77DC-371F-48D7-9D7A-17A3CA2B68CF}"/>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968890C4-0EE6-4212-930C-E18DFB81CC9F}"/>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C1832949-BF2F-4210-814B-58B3343991B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F9C8797B-4FB3-45FF-A7CA-5ED350074208}"/>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93EF075-41DA-4397-9960-B29D02CD1A19}"/>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667E415B-725B-40D2-8535-B6704E3E9D0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4DCF598D-D719-4259-BCB6-EFE958905FBF}"/>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6B2EE5DB-0F37-459F-B60F-6D9AD483568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DEA2E250-D949-4666-8FB2-632C4F94FB25}"/>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EBCE1A5-C435-4E58-A564-45D8B61348D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F148D8A-7164-4F8D-B302-BAED8959616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302D8B7-3624-474F-A14F-24693E8F4D3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0060EE5-5563-4FFC-8D93-3BEC8521472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B2C7FB7-862A-4B45-9110-0A71051516B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B6588E5-6E00-49E5-A88D-E8145C60976F}"/>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9FE85C1-D5B3-4722-AF53-30AE76A3D33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B374DF5A-8999-4AD5-B95D-EED94F803589}"/>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15AB68BA-DE80-4196-BE27-FEEC9C083C45}"/>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5620A6CB-9E14-45B9-BBCD-DB802E0AAE6C}"/>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12810876-1ADA-4BC6-ACF9-7B9ED4093C3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4859D40-68EF-4D07-8701-85494D6FBC22}"/>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F4EF7159-27EA-41DC-8DA1-3AE295746D9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13BFE51-AF56-476D-8FCB-C801EA4AFA42}"/>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723865A-D726-43A2-A386-61CB780EB9F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D50E1F4-190F-4818-8EF2-ADC808BD65C5}"/>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5255C551-8219-43FC-A8BE-588E4DC0DA4C}"/>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FBBECA5B-13EE-4BED-8FCC-F7CD6F74F3E3}"/>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0F9C53F-10FA-46D7-84C9-262E405E6AF5}"/>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E475796-D26B-47E2-8DFF-F055DF1B317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AFBDD7D-775B-4AB5-9585-BE4DD1B36119}"/>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66029AAF-810C-4C98-B539-B49B17CE5D17}"/>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EB687D46-3BE4-496E-B503-E5766F906DE6}"/>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280235CD-F2D6-4883-AEFF-94788F2BFE81}"/>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BB7A1940-4C84-4BC9-A7E0-6BF3AC938895}"/>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F97A19CD-0EC4-4CEA-B4A6-5BA1FA879802}"/>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8CA56C9-C5C4-4E0C-B8A5-178D9E4F6B0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E7EC140-7197-4AE6-9B63-089240AD9A3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F95DF81-258C-40E8-A844-DC3116C758F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7D667B7-A1F5-4AE9-AD58-BF1F5EC00A1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3A4330F-9AD8-494E-AA51-079E6F51B5A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1C7B04B-0F29-468F-A06C-E10953BB909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7BA682A-C759-4F02-A4BB-AC074F2B0E75}"/>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30016E38-3C46-41C0-9F4A-AA6AD17989F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7F525844-1EB0-4FAC-9453-98B4A12F034F}"/>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7E34A04-F951-435E-9C0A-BA6ED91C564B}"/>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74752BF-36E8-476E-953F-2554BD4217F8}"/>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15B6F30-2220-4215-A78C-01A16F549B3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D129E9EF-0D4B-402D-B906-498F5B50170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7F41C161-B320-468A-9BC0-63631BA3B38E}"/>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D2D4EF81-0087-41B0-8AEC-85D1A1A7DDBB}"/>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F73F4A8-246E-4D52-8C7B-552F24AE5F6D}"/>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25AC2B62-EDBD-41DF-8B84-D9986D089FB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676D16F-2D54-441C-BDA7-E6CF53A15065}"/>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794D357-A979-49D1-A799-D09387173018}"/>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C4989103-AF4F-4A59-9DB3-4375451AEC1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ED070849-E5A2-4021-8AE3-E4432C837F68}"/>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C57818C9-05D9-4F8E-8EC5-E0196D89D38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42C785A-C482-4B23-A352-289B02A5CD78}"/>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561930FA-1D60-4362-A24E-983DDA2C5C4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2F4FBDF8-5787-4E5E-AE54-725524034642}"/>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02EF3FD-0884-4D2A-9ED8-C77817178649}"/>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E17D9B2-995F-4E71-9417-F5D56D0CF1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3C9A327-7B00-4586-94FB-82316C5347D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AD512EE-CED5-4479-9343-51D9C3159AB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2F490D1-14BF-473C-BC04-7646A278F0B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319FF46-6ED1-4267-83D5-32A05552727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A5DE042-98FB-41B1-97C6-5DCCDC76511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ECEADB1-1402-4EF4-B2CE-9B00A51954F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364F48E4-B417-4FAC-8C93-F3690A50CE9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21924AB-B577-45B8-88DD-50FC01F686A7}"/>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752B8F0B-AFEC-4420-8098-FADEE96A06F3}"/>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A62BD98-C035-4527-9CFD-14C40A7E0ADB}"/>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B0D60A4-E07A-46AA-80C3-F0DC50462051}"/>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C909734-2936-4BA0-B2A2-B9185F3C16B5}"/>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7C0A5B36-726E-48D1-9193-8C624879351D}"/>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577CFCA0-4B87-43AF-8656-52E82F927C7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A9F5A79-87FA-4FC3-9733-715C97EDB1DA}"/>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F72F7766-4CFF-478B-B671-4FB4BCD2B4E6}"/>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EC8CCA8-5871-4AAA-9A32-E682237AFBEE}"/>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1051B967-E155-46F7-A959-8E78BA01898E}"/>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4F455322-BF3F-4CDD-B753-F860F4702F42}"/>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997C8E8C-96D0-4E9B-9865-51783A0682C6}"/>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A525DBA1-A559-4CB1-AF48-351EB3C952E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862186DB-FFBA-4094-B62D-0722D2B9A6C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F2EB24A8-82D2-4CDB-99EF-4E28C7C9A2E4}"/>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5E216CDB-06A1-4A8E-B38A-CFF32C2650C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886E571-AE0C-4A44-AC8C-4D9CAB67EDAF}"/>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39F6A91-5A14-4A5E-AEFC-C76D3BA5C39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DDAF8F0-CED9-4BA7-AB76-768DDA96BBD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C70CF6F-0534-465D-9E40-EA36C53E6B5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2A209E2-F342-49D9-BEEA-10BDA31C340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EAA3580-0D3F-46B9-B35C-92292A0CB59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D77A358-C503-4DE5-B825-1A3350B1D27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155CF27-D99C-487E-B31E-DA706C3AD05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7CAF08C-0AA7-4AC0-9BA7-5E52E00D2C7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7B16CAC7-2F37-4542-B26B-A5E9ED295565}"/>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DDB83BC0-2650-4172-B0D5-56860A0BAB37}"/>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4C40C3EF-1935-4BCE-BBE2-2B1022163998}"/>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FFE2CC6-CEE5-43CB-ACB0-C63C822F1778}"/>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D77BD91D-9FEE-49A8-8DCD-57D971D7D4E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C7F02DE-612E-4FD9-A880-FCDC3641F9A1}"/>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183D63FB-7DC2-4767-BA4F-6BA169BC269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92C1D11A-5747-4250-A7A0-A2946F09EBD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99829818-E952-444B-B487-29B55B57792F}"/>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AF2B16F-11CE-4902-B618-C5C2EA08F10E}"/>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1B6F7A9D-36D4-47C8-845C-A7B6F8E94E66}"/>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F417A247-E1BB-4168-99A1-1BD5007C67AC}"/>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D83DB4A8-333C-4ECB-8568-7A0F3C57B5D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454F043-16F0-4E0C-8A69-365DAA60600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48565E99-245F-4DAA-A1BA-55BD846C89EC}"/>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9DEB2F89-E532-4FE2-AE8C-576AF6299609}"/>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6923BA84-8D14-4AD2-99DA-49B665186DF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9884A325-403F-4C05-9CD7-5F18CD3B4724}"/>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9CA0230-82B5-4E23-B8B3-79B8C307C45B}"/>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023651F-FCB4-4CEA-9E3C-42B4B330108D}"/>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649CF78-8C6E-4970-AA39-763B6A9A744A}"/>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9C272C1-A485-40F7-B423-261F5F25D38C}"/>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7A1E52F-EFB6-485D-B63B-CA44C0795130}"/>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6C25A40-B832-4247-8E65-950B402DDAC8}"/>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32B7CFB-58B0-49B0-BE82-DBC9E0D55A3A}"/>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10FB143A-4E8D-4CC9-A8F0-F4097C345D6C}"/>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FEF3E34E-F190-4A65-96BA-1C993021ECDC}"/>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1C82169-3598-4702-9AF3-AE8E70E5F7DB}"/>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6B9AC516-21E5-451E-B53C-7A12C17B21D7}"/>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D91C6D9-CE89-42D3-B933-BFB538A67B01}"/>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A909A20-C52A-4BC6-B6CA-0AAE40AD2652}"/>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A9F62C9-E2D9-465B-9A5B-62AFD5BF23ED}"/>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4B001F10-0AF3-42C5-99C8-27C3104E5BFD}"/>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AC3B368E-8B8E-45C1-9EFA-62E05D872E93}"/>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63D6352B-DF68-4904-B779-2DDA054DB81A}"/>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D1AD182B-C004-40C4-BA17-668103832FCB}"/>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44E6A267-A22A-4DE8-9AA4-F6C877432708}"/>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0B143A1-549A-4432-9D4D-A0B4131EC810}"/>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E4FC59C4-F644-4282-ABFF-465F0D7F2A97}"/>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8EC76C9-1E05-484E-B271-A0866B9A30D1}"/>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461D1DEF-D373-4A8E-8964-ACA91FED8964}"/>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F23E3E0D-9779-4FB6-8223-03288347D524}"/>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781DB0A4-F53A-49C7-9E20-CD8E30EA9E44}"/>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CC16D15-70A0-48F3-A323-7C6435C72720}"/>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BF63656-BAE8-457C-94B9-68ECDD8CE2D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A7B6080-7CC3-4766-A5AB-4919663DA6E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BF1D372-B80E-4493-A7BB-DAEA1D98423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90D9A0E-9442-494C-AE53-B891E6C90088}"/>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6F3B2C1-2603-4590-8EC2-92EF4323E01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985BE7E-CC68-4C8D-8AB3-FAD48E38C0C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9866E80-0AB9-4D0C-A07B-192C7A560075}"/>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8F70C28D-662A-44FB-8178-5FCA52F44C9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C5FF29E2-B311-40C7-94FB-04FB912FA4CC}"/>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A978015D-B879-4FEC-BE57-C9D3B8136C61}"/>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D5BB15B3-F75A-4BF4-A85D-ABE4CE9142D1}"/>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13600A9-B523-4466-A23A-4FCC0F7E5CC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F84758A-FA18-4126-B4D7-D70557C77DD2}"/>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709052F3-4E95-41AF-97F2-8A5460575B5E}"/>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65131421-5C37-46E3-B5B3-87FE9A8A38C3}"/>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983870BC-6497-43BD-A4D9-6B57A60FEFBE}"/>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E18D56D5-3FD3-4788-B14F-B0814235F4DE}"/>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19CD7C7A-B1BF-4D64-8BB3-D2AF045B62D6}"/>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BB3B290-685C-47DC-9883-09A3B1FFCD2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4C8CDAF1-8A40-4374-9FCC-A73F456D939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CAAB10BB-3113-4726-ABA1-78E585D98A7C}"/>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316CB1C-3676-4A9C-B470-6BA48F4461AB}"/>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F0DF193-6EA3-4629-8266-B43E0A15C2B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46DD4953-C7DD-4C2A-A619-6C454F99BA49}"/>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299A5523-C056-4528-BF69-419D9F2C428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8AAAFC8-8948-43D6-9C12-D0B325C92E2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BCD735E-8DB6-49CB-9CDD-A90D2E54ECB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C81B803-D398-472B-8E1F-B1FA2FB6434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F35D5E7-5F2E-4B92-A9BB-9CC3A345875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19F078A-EBE9-4CCC-9075-343949523CB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01CDBED-2E8D-4A20-AC2F-CC627E33D12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60A13EFF-87AB-43BE-AF72-2DF507BDB2DE}"/>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F1BFCFE5-BAE1-4454-A5C8-531C48E4F91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85DBF263-C231-48EF-BABD-BC86529C93D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387CC35-DBC8-490F-A785-D6CF8DDC6D73}"/>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333EA5DB-70C7-4445-8136-1A8906C3181E}"/>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2367F21-7CDB-4FF5-B587-67472934B957}"/>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B56CE31-8EA1-4751-A6CC-FEC55C6E32A4}"/>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7F5AE48B-E183-4721-BC04-B7841EE9C0D5}"/>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9DD30F9-D812-47C9-99A1-791C278E27A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E049BDDA-4805-483D-8F05-9DFA8FB3325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5B151011-D39A-4759-8C1B-81745C1ED015}"/>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C20E642C-5B16-489E-8E41-4B63E9C7CDCF}"/>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7FF3D4B5-184B-4C0F-B944-05487BEC2F3E}"/>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C782CF2-77D9-4F4E-A0D8-0BBC76F520B5}"/>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882F0F3B-60BE-4A22-A043-526C9DA1C698}"/>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5A2944F2-670F-4238-A48B-8132C7BB772E}"/>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EBC18AE2-DB41-4099-A07E-A2C3E67AFE74}"/>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015BDD0-7CD2-463C-97DA-FEAD5775F2B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A19E181-8395-4D39-B1A7-A2FC46202768}"/>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7247BB8D-860B-4EE8-9659-D461B0ECF0A8}"/>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0E8A6F0-FABC-414F-979F-B12F43EAC65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9C8F7E0-F829-4B52-88BB-A99B1E0FCEA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A938A71-619D-4A10-B006-51335508547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7F37361-332A-43E8-88C4-58C78E94E13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C86DE42-9B75-43BF-9323-01B3C6680BC6}"/>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508724E-AEE9-488C-9A7E-4F70D603015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DF80478-373E-45D8-840B-2D968A13B4D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F76A09E6-0B35-4EAB-8CC2-DCA57D13DA18}"/>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18C71C-5F92-4E3B-A70E-0F2C5F5E926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ED6E59DB-6F12-4F4B-A9F3-4BA77E066C3E}"/>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38BA7B3B-BFDC-45B0-B44A-F8BABE3C895D}"/>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515F8FC-7077-4D30-9D83-1D1B3686D8C1}"/>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A4A5807-D912-4F51-B22C-4BDE29D0F0E8}"/>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C885590-50CC-4E59-8332-15EBB636FD52}"/>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C2DDB62-3098-4AEC-96ED-5AE9CFA20A22}"/>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D9E15746-84D3-428A-9AD8-8DEDA4D931BD}"/>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9EAC38AF-570B-4EE3-B53A-5E3B65BCF3EE}"/>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C9C41955-4B88-41ED-A156-4E0F5DEADD1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6C59857-AC80-4931-95AC-727C18DB71DF}"/>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9718459E-69CF-47D8-9553-F03B8AC71B76}"/>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3A0AB7B9-12B7-4027-BF6B-A09FBE25BA4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C25FC86F-E0E2-4C04-B61A-806D6B25190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9CB6062D-BFF2-40B1-A596-6A9812149F24}"/>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E1184FBD-2AE4-474D-A9BE-053EC6491908}"/>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CF0962D8-F313-48FB-8329-80AFF0E43A69}"/>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B7F79-1305-4D37-B57B-018045E2189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BC09101-97B5-4AC9-A842-92908D1A75BE}"/>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BED55CD-4332-4E1C-B649-2E4B045DC19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F3D55B4-41F8-4673-AB21-A3092FBE760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1D54760-8FA0-4108-A01E-D88C6AF5412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D78CBB9-4A96-4E4B-B83D-961A47DAC0F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76EE019-53F5-4A47-8073-F7C1B001A5F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80DCA26-736E-4561-9C70-8E6C4E34E41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66042BA-9139-4199-8B08-B7260AA6F8C1}"/>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BDB63F4D-E6C0-4A82-8DFF-19A71315C2A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6B85C31E-A825-4886-AD2A-6D3D6290A465}"/>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7CB68EC5-96D5-4F31-9B46-AA2EDB11E87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419387E2-3E27-4DA4-9089-D6F9D8405C2D}"/>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2004EA9-228C-45C9-B88A-5C9F962193C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30B92C6C-789F-439A-B079-5B298DA3ACF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107AA50-9539-4E1E-97C5-278656714F9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8B4F827A-2CCB-4270-A7C0-C0131014C193}"/>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0F193A8-7253-4ECF-B13C-EAA37BD014C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9690FC1-7EFC-4A45-97D6-0C775C00E836}"/>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A6E0ECF-C994-485E-BA0A-5CD7611C1D66}"/>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B181BE9D-F502-48D4-94A8-C6FC1EE5C1E9}"/>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8D3B1919-447A-4EC6-8E7C-168DAD48CE7E}"/>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CD6383D2-F8D3-4941-A24C-D07E285F526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74EBE97-BF35-4040-B458-F3677D3FBFE9}"/>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CCE7102A-3D39-4BEB-9FF8-D1372607471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4E313565-976A-4D24-B62F-1810241706DA}"/>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058B31F-DF46-4192-9068-0004DAE91002}"/>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ED5317C-E0C6-4401-AB3E-8532E67B34F2}"/>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028282A-3CB0-4A74-9AFD-94BD9CEBF5B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20AE6A5-DEE8-47A9-953C-90E0ADBD5ED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3FE50F9-9224-47B8-9EFF-24E650CF999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673F320-FCA2-40BD-8DA5-0BDF77D9E29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4D18B87-7879-4312-92A3-D6CC5344E88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647C257C-53CF-4E03-A131-3C235C92450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BF84A4F-D62C-4F4B-8E61-F7FC0F256E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41B50FC-936F-49CD-AFCF-7D0C0EAA706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B77DE10-CE44-40ED-B4A9-444C46FCE5BE}"/>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D930DB2-F352-496D-BBDC-E7B099F6CFE8}"/>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828B473-C6BF-4D44-818E-E31480569ED6}"/>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8B6E33A-62B9-44A8-91A2-5DB0A42B781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F0F2F6D-718A-42B0-80D9-383D0C418FD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1147C1B-BACA-403E-9B5F-18B4DD2495D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ECA920FE-955E-46CE-95C8-024E863EDA1B}"/>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5922E761-F461-42D6-B583-45C1264093A4}"/>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8E11054C-41C7-46F4-9BD6-45667596997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DAF0E13D-CA85-4EA4-9D5C-E579F9037C7B}"/>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B617476-82F8-4D54-BFDE-7C8FC158C1B4}"/>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CE011816-86BC-43F2-8B9B-7895BB035074}"/>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BBFAAFEE-849B-40A8-8AA3-BCD93EED89C1}"/>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40CA98E-341A-4D93-971D-00B1C2185EC7}"/>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8CF280D2-724D-4F33-8562-978E5756719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5193D78E-48A3-4093-B48F-AE5483BEF989}"/>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B903CDA-1EDB-4FA4-B1F2-77E02B77ED51}"/>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59D2B428-C98E-479C-BB3E-478277D4CF0D}"/>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30149;&#38498;&#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19979;&#27700;&#36947;&#20107;&#26989;&#12539;&#29305;&#29872;&#19979;&#27700;&#36947;&#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19979;&#27700;&#36947;&#20107;&#26989;&#12539;&#20844;&#20849;&#19979;&#27700;&#36947;&#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19979;&#27700;&#36947;&#20107;&#26989;&#12539;&#25144;&#2102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20&#35519;&#26619;&#34920;&#65288;&#22823;&#39208;&#24066;&#12539;&#39376;&#36554;&#22580;&#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27700;&#36947;&#20107;&#2698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24037;&#26989;&#29992;&#27700;&#36947;&#20107;&#2698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20844;&#35373;&#21368;&#22770;&#24066;&#22580;&#20107;&#2698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31777;&#26131;&#27700;&#36947;&#20553;&#2698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20171;&#35703;&#12469;&#12540;&#12499;&#12473;&#20107;&#26989;&#12539;&#32769;&#20154;&#30701;&#2639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20171;&#35703;&#12469;&#12540;&#12499;&#12473;&#20107;&#26989;&#12539;&#32769;&#20154;&#12487;&#12452;&#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20171;&#35703;&#12469;&#12540;&#12499;&#12473;&#20107;&#26989;&#12539;&#25351;&#23450;&#20171;&#35703;&#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09010\Desktop\&#12304;&#22823;&#39208;&#24066;&#12305;&#22238;&#31572;\03_&#35519;&#26619;&#34920;&#65288;&#22823;&#39208;&#24066;&#12539;&#19979;&#27700;&#36947;&#20107;&#26989;&#12539;&#36786;&#3859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病院事業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扇田病院の患者数の減少等による経営状況の悪化から資金不足が発生しており、現行の体制では収益の改善は難しく、施設の老朽化も進んでいることから、現在、経営層で構成される「経営戦略会議」において将来の方向性を協議中である。</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下水道事業</v>
          </cell>
          <cell r="W18" t="str">
            <v>特定環境保全公共下水道</v>
          </cell>
          <cell r="BD18" t="str">
            <v>×</v>
          </cell>
        </row>
        <row r="20">
          <cell r="F20" t="str">
            <v>ー</v>
          </cell>
        </row>
        <row r="49">
          <cell r="AA49" t="str">
            <v xml:space="preserve"> </v>
          </cell>
        </row>
        <row r="50">
          <cell r="X50" t="str">
            <v xml:space="preserve"> </v>
          </cell>
          <cell r="AD50" t="str">
            <v xml:space="preserve"> </v>
          </cell>
        </row>
        <row r="51">
          <cell r="R51" t="str">
            <v>●</v>
          </cell>
          <cell r="X51" t="str">
            <v xml:space="preserve"> </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v>
          </cell>
          <cell r="X54" t="str">
            <v>●</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6">
          <cell r="Y236" t="str">
            <v xml:space="preserve"> </v>
          </cell>
        </row>
        <row r="237">
          <cell r="Y237" t="str">
            <v xml:space="preserve"> </v>
          </cell>
        </row>
        <row r="239">
          <cell r="Y239" t="str">
            <v xml:space="preserve"> </v>
          </cell>
        </row>
        <row r="240">
          <cell r="Y240" t="str">
            <v xml:space="preserve"> </v>
          </cell>
        </row>
        <row r="242">
          <cell r="Y242" t="str">
            <v xml:space="preserve"> </v>
          </cell>
        </row>
        <row r="243">
          <cell r="Y243" t="str">
            <v xml:space="preserve"> </v>
          </cell>
        </row>
        <row r="249">
          <cell r="N249" t="str">
            <v xml:space="preserve"> </v>
          </cell>
        </row>
        <row r="250">
          <cell r="N250" t="str">
            <v xml:space="preserve"> </v>
          </cell>
        </row>
        <row r="256">
          <cell r="B256" t="str">
            <v>令和</v>
          </cell>
        </row>
        <row r="275">
          <cell r="B275" t="str">
            <v>　真中地区農業集落排水施設の終末処理場の老朽化に伴い大館処理区の終末処理場へ接続管等を整備する。現在の同等施設の更新建設事業費と大館処理区終末処理場への接続管渠等の整備事業と比較すると220百万円の削減が見込まれるほか、維持管理費等も6百万円/年の削減が見込まれ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5">
          <cell r="B335" t="str">
            <v>令和</v>
          </cell>
          <cell r="E335">
            <v>5</v>
          </cell>
        </row>
        <row r="336">
          <cell r="E336">
            <v>3</v>
          </cell>
        </row>
        <row r="337">
          <cell r="E337">
            <v>31</v>
          </cell>
        </row>
        <row r="344">
          <cell r="E344">
            <v>10.54</v>
          </cell>
        </row>
        <row r="346">
          <cell r="B346" t="str">
            <v>●建設事業費　227百万円（耐用年数50年/年4.54百万円）の削減見込み
●維持管理費　6百万円/年の削減見込み</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03">
          <cell r="B503" t="str">
            <v>　PPP手法を導入したことにより、市が行う住民説明会、道路占用申請、工事設計の積算を民が行うことにより市の負担が軽減された。また、従来の工事は手続きの関係もあり7月から3月までの工期となり、実質工期は9か月に対し、複数年で発注したことにより工期設定が最大36か月の施工となり、完成までの工期の短縮効果が期待される。通常(単年度)発注では工事費が1,680百万円に対し、DB発注では1,510百万円となり170百万円の削減が見込まれる。</v>
          </cell>
        </row>
        <row r="509">
          <cell r="S509" t="str">
            <v>令和</v>
          </cell>
          <cell r="V509">
            <v>1</v>
          </cell>
        </row>
        <row r="510">
          <cell r="V510">
            <v>5</v>
          </cell>
          <cell r="BC510" t="str">
            <v>　</v>
          </cell>
        </row>
        <row r="511">
          <cell r="V511">
            <v>28</v>
          </cell>
          <cell r="BC511" t="str">
            <v>　</v>
          </cell>
        </row>
        <row r="512">
          <cell r="BC512" t="str">
            <v>　</v>
          </cell>
        </row>
        <row r="513">
          <cell r="BC513" t="str">
            <v>●</v>
          </cell>
        </row>
        <row r="514">
          <cell r="BC514" t="str">
            <v>　</v>
          </cell>
        </row>
        <row r="515">
          <cell r="BC515" t="str">
            <v>　</v>
          </cell>
        </row>
        <row r="516">
          <cell r="E516">
            <v>3.4</v>
          </cell>
          <cell r="BC516" t="str">
            <v>　</v>
          </cell>
        </row>
        <row r="517">
          <cell r="BC517" t="str">
            <v>　</v>
          </cell>
        </row>
        <row r="518">
          <cell r="B518" t="str">
            <v>建設改良費  170百万円の削減見込み
　(管渠耐用年数/50年：年3.4百万円)</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R51" t="str">
            <v>●</v>
          </cell>
          <cell r="X51" t="str">
            <v xml:space="preserve"> </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9">
          <cell r="N249" t="str">
            <v xml:space="preserve"> </v>
          </cell>
        </row>
        <row r="250">
          <cell r="N250" t="str">
            <v xml:space="preserve"> </v>
          </cell>
        </row>
        <row r="275">
          <cell r="B275" t="str">
            <v>　　当市の現し尿処理施設は昭和59年に建設・稼働し、稼働以来35年以上が経過しており、老朽化が著しく新施設の整備が必要となった。その際に、し尿受入施設を下水道終末処理場施設内に建設し、搬入されたし尿等を無希釈投入後に下水汚泥とし尿等を共同処理する方式が最も安価で有利であるため。</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 xml:space="preserve"> </v>
          </cell>
        </row>
        <row r="317">
          <cell r="Y317" t="str">
            <v>●</v>
          </cell>
        </row>
        <row r="319">
          <cell r="Y319" t="str">
            <v xml:space="preserve"> </v>
          </cell>
        </row>
        <row r="320">
          <cell r="Y320" t="str">
            <v xml:space="preserve"> </v>
          </cell>
        </row>
        <row r="321">
          <cell r="Y321" t="str">
            <v xml:space="preserve"> </v>
          </cell>
        </row>
        <row r="322">
          <cell r="Y322" t="str">
            <v xml:space="preserve"> </v>
          </cell>
        </row>
        <row r="323">
          <cell r="Y323" t="str">
            <v>●</v>
          </cell>
        </row>
        <row r="328">
          <cell r="N328" t="str">
            <v>●</v>
          </cell>
        </row>
        <row r="329">
          <cell r="N329" t="str">
            <v xml:space="preserve"> </v>
          </cell>
        </row>
        <row r="330">
          <cell r="N330" t="str">
            <v xml:space="preserve"> </v>
          </cell>
        </row>
        <row r="335">
          <cell r="B335" t="str">
            <v>令和</v>
          </cell>
          <cell r="E335">
            <v>6</v>
          </cell>
        </row>
        <row r="336">
          <cell r="E336">
            <v>4</v>
          </cell>
        </row>
        <row r="337">
          <cell r="E337">
            <v>1</v>
          </cell>
        </row>
        <row r="344">
          <cell r="E344">
            <v>91.74</v>
          </cell>
        </row>
        <row r="346">
          <cell r="B346" t="str">
            <v>●建設事業費(R4～R5)　937百万円(耐用年数50年/年18.74百万円)
　の削減見込み
●維持管理費　73百万円/年の削減見込み</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下水道事業</v>
          </cell>
          <cell r="W18" t="str">
            <v>特定地域排水処理施設</v>
          </cell>
          <cell r="BD18" t="str">
            <v>×</v>
          </cell>
        </row>
        <row r="20">
          <cell r="F20" t="str">
            <v>ー</v>
          </cell>
        </row>
        <row r="49">
          <cell r="R49" t="str">
            <v>●</v>
          </cell>
          <cell r="AA49" t="str">
            <v xml:space="preserve"> </v>
          </cell>
          <cell r="AD49" t="str">
            <v>●</v>
          </cell>
        </row>
        <row r="50">
          <cell r="R50" t="str">
            <v>●</v>
          </cell>
          <cell r="X50" t="str">
            <v xml:space="preserve"> </v>
          </cell>
          <cell r="AD50" t="str">
            <v>●</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23">
          <cell r="B123" t="str">
            <v xml:space="preserve">当市の特定地域生活排水処理地域の町設置浄化槽について、合併した際、他の市町は、設置費補助としてきたが1町だけ町設置浄化槽としていたため、農集の廃止が進んできた際、浄化槽を民間譲渡し事業廃止を検討
</v>
          </cell>
        </row>
        <row r="128">
          <cell r="B128" t="str">
            <v>現在、法定検査実施率１００％であるが、民間譲渡することにより実施率が低下する。機器の更新の際に残価設定・補助対応について検討が必要</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80">
          <cell r="B180" t="str">
            <v>当市の特定地域生活排水処理地域の町設置浄化槽について、合併した際、他の市町は、設置費補助としてきたが1町だけ町設置浄化槽としていたため、農集の廃止が進んできた際、浄化槽の民間譲渡を検討</v>
          </cell>
        </row>
        <row r="186">
          <cell r="B186" t="str">
            <v>現在、法定検査実施率１００％であるが、民間譲渡することにより実施率が低下する。機器の更新の際に残価設定・補助対応について検討が必要。また、民間譲渡した際、現在設置浄化槽が建築面積に応じた浄化槽なため、過大な人槽の浄化槽が設置されており譲渡後の維持管理費の対応をどうするかの検討も必要</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駐車場整備事業</v>
          </cell>
          <cell r="W18" t="str">
            <v>―</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t="str">
            <v>特別会計を設置して公設駐車場の運営及び建設事業債の償還を行っていたが、指定管理者制度の導入及び借入金の償還終了に伴い、事業廃止を実施した。また、事業廃止後に管理方法を見直し、現在は月極めの有料駐車場として管理している。</v>
          </cell>
        </row>
        <row r="73">
          <cell r="G73" t="str">
            <v>●</v>
          </cell>
          <cell r="S73" t="str">
            <v>平成</v>
          </cell>
          <cell r="V73">
            <v>27</v>
          </cell>
        </row>
        <row r="74">
          <cell r="G74" t="str">
            <v xml:space="preserve"> </v>
          </cell>
          <cell r="V74">
            <v>3</v>
          </cell>
        </row>
        <row r="75">
          <cell r="V75">
            <v>31</v>
          </cell>
        </row>
        <row r="79">
          <cell r="O79" t="str">
            <v xml:space="preserve"> </v>
          </cell>
          <cell r="AG79" t="str">
            <v xml:space="preserve"> </v>
          </cell>
        </row>
        <row r="80">
          <cell r="O80" t="str">
            <v xml:space="preserve"> </v>
          </cell>
          <cell r="AG80" t="str">
            <v>●</v>
          </cell>
        </row>
        <row r="81">
          <cell r="O81" t="str">
            <v xml:space="preserve"> </v>
          </cell>
        </row>
        <row r="82">
          <cell r="O82" t="str">
            <v xml:space="preserve"> </v>
          </cell>
        </row>
        <row r="85">
          <cell r="E85">
            <v>4</v>
          </cell>
        </row>
        <row r="87">
          <cell r="B87" t="str">
            <v>管理運営費　年▲4百万円
（H26年度3月補正予算後予算額とR4年度当初予算額対比）</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水道事業</v>
          </cell>
          <cell r="W18" t="str">
            <v>―</v>
          </cell>
          <cell r="BD18" t="str">
            <v>×</v>
          </cell>
        </row>
        <row r="20">
          <cell r="F20" t="str">
            <v>ー</v>
          </cell>
        </row>
        <row r="49">
          <cell r="AA49" t="str">
            <v xml:space="preserve"> </v>
          </cell>
        </row>
        <row r="50">
          <cell r="X50" t="str">
            <v xml:space="preserve"> </v>
          </cell>
          <cell r="AD50" t="str">
            <v xml:space="preserve"> </v>
          </cell>
        </row>
        <row r="51">
          <cell r="R51" t="str">
            <v>●</v>
          </cell>
          <cell r="AA51" t="str">
            <v xml:space="preserve"> </v>
          </cell>
          <cell r="AD51" t="str">
            <v>●</v>
          </cell>
        </row>
        <row r="52">
          <cell r="AA52" t="str">
            <v xml:space="preserve"> </v>
          </cell>
          <cell r="AD52" t="str">
            <v xml:space="preserve"> </v>
          </cell>
        </row>
        <row r="53">
          <cell r="R53" t="str">
            <v>●</v>
          </cell>
          <cell r="X53" t="str">
            <v xml:space="preserve"> </v>
          </cell>
          <cell r="AA53" t="str">
            <v xml:space="preserve"> </v>
          </cell>
          <cell r="AD53" t="str">
            <v>●</v>
          </cell>
        </row>
        <row r="54">
          <cell r="R54" t="str">
            <v>●</v>
          </cell>
          <cell r="X54" t="str">
            <v xml:space="preserve"> </v>
          </cell>
          <cell r="AA54" t="str">
            <v xml:space="preserve"> </v>
          </cell>
          <cell r="AD54" t="str">
            <v>●</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54">
          <cell r="B354" t="str">
            <v>市水道ビジョンにおける広域連携の推進
「秋田県水道広域化推進プラン」策定に伴う、他市町村との経営面などソフト部門の検討</v>
          </cell>
        </row>
        <row r="360">
          <cell r="B360" t="str">
            <v>「秋田県水道広域化推進プラン」策定では、秋田県が主導となり、秋田県内を５ブロックに分け、各ブロックごとの基礎資料を基にした、現状把握と施設整備、管理業務における広域連携シミュレーションを実施中</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486">
          <cell r="B486" t="str">
            <v>市水道ビジョン等における民間活用の推進、対象は料金等徴収業務</v>
          </cell>
        </row>
        <row r="492">
          <cell r="B492" t="str">
            <v>徴収料金の適正な管理や会計システムとの連携</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48">
          <cell r="B548" t="str">
            <v>市水道ビジョン等による検討、コンセッション方式の導入</v>
          </cell>
        </row>
        <row r="554">
          <cell r="B554" t="str">
            <v>研修会に参加するなど情報収集に努めているが、デメリットなど水道事業の不利益が生じないかを含めて慎重に検討している。</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工業用水道事業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row>
        <row r="52">
          <cell r="AA52" t="str">
            <v xml:space="preserve"> </v>
          </cell>
          <cell r="AD52" t="str">
            <v xml:space="preserve"> </v>
          </cell>
        </row>
        <row r="53">
          <cell r="X53" t="str">
            <v xml:space="preserve"> </v>
          </cell>
          <cell r="AA53" t="str">
            <v xml:space="preserve"> </v>
          </cell>
        </row>
        <row r="54">
          <cell r="X54" t="str">
            <v xml:space="preserve"> </v>
          </cell>
          <cell r="AA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現行の経営体制・手法では一般会計からの繰り入れにより、事業運営は問題が無い状況であり、大きな改革の予定はない。
今後の方向性
①専門的な知識や技術を持った人材の育成とその知識や技術を継承していくために研修等を実施し、安全性の強化をする。
②逓減型従量制料金制度による安価な料金体制を継続することで、企業誘致に貢献し、雇用確保、税収の増加を図る。</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市場事業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現時点で人件費の計上がないこと、工事費（資本的支出）の計上がないこと、販売料金等の収入は全て施設の維持費に充当していること、一般会計からの繰入金はないこと、予算規模はＲ4当初予算案で450万弱で比較的小規模であることから、経営体制に問題がないと判断される。</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簡易水道事業</v>
          </cell>
          <cell r="W18" t="str">
            <v>―</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AA51" t="str">
            <v xml:space="preserve"> </v>
          </cell>
        </row>
        <row r="52">
          <cell r="AA52" t="str">
            <v xml:space="preserve"> </v>
          </cell>
        </row>
        <row r="53">
          <cell r="X53" t="str">
            <v xml:space="preserve"> </v>
          </cell>
          <cell r="AA53" t="str">
            <v xml:space="preserve"> </v>
          </cell>
        </row>
        <row r="54">
          <cell r="X54" t="str">
            <v xml:space="preserve"> </v>
          </cell>
          <cell r="AA54" t="str">
            <v xml:space="preserve"> </v>
          </cell>
        </row>
        <row r="55">
          <cell r="X55" t="str">
            <v xml:space="preserve"> </v>
          </cell>
          <cell r="AA55" t="str">
            <v xml:space="preserve"> </v>
          </cell>
          <cell r="AD55" t="str">
            <v xml:space="preserve"> </v>
          </cell>
        </row>
        <row r="67">
          <cell r="B67" t="str">
            <v>上水道と簡易水道に分かれていたため契約や決算など事務処理が繁雑であったが、統合したことにより迅速に処理できるようになった。</v>
          </cell>
        </row>
        <row r="73">
          <cell r="G73" t="str">
            <v>●</v>
          </cell>
          <cell r="S73" t="str">
            <v>平成</v>
          </cell>
          <cell r="V73">
            <v>29</v>
          </cell>
        </row>
        <row r="74">
          <cell r="G74" t="str">
            <v xml:space="preserve"> </v>
          </cell>
          <cell r="V74">
            <v>3</v>
          </cell>
        </row>
        <row r="75">
          <cell r="V75">
            <v>31</v>
          </cell>
        </row>
        <row r="79">
          <cell r="O79" t="str">
            <v xml:space="preserve"> </v>
          </cell>
          <cell r="AG79" t="str">
            <v>●</v>
          </cell>
        </row>
        <row r="80">
          <cell r="O80" t="str">
            <v xml:space="preserve"> </v>
          </cell>
          <cell r="AG80" t="str">
            <v xml:space="preserve"> </v>
          </cell>
        </row>
        <row r="81">
          <cell r="O81" t="str">
            <v xml:space="preserve"> </v>
          </cell>
        </row>
        <row r="82">
          <cell r="O82" t="str">
            <v xml:space="preserve"> </v>
          </cell>
        </row>
        <row r="87">
          <cell r="B87" t="str">
            <v>資産、維持管理は上水道に引き継がれたため、実質的な効果額は見込めない。</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介護サービス事業</v>
          </cell>
          <cell r="W18" t="str">
            <v>老人短期入所施設</v>
          </cell>
          <cell r="BD18" t="str">
            <v>●</v>
          </cell>
        </row>
        <row r="20">
          <cell r="F20" t="str">
            <v>ー</v>
          </cell>
        </row>
        <row r="49">
          <cell r="AA49" t="str">
            <v xml:space="preserve"> </v>
          </cell>
        </row>
        <row r="50">
          <cell r="R50" t="str">
            <v>●</v>
          </cell>
          <cell r="X50" t="str">
            <v xml:space="preserve"> </v>
          </cell>
          <cell r="AD50" t="str">
            <v>●</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80">
          <cell r="B180" t="str">
            <v>大館市介護保険事業計画第９期で民間への譲渡を検討している。
公共施設等総合管理計画を策定し、議会への報告、ホームページで公開済み。</v>
          </cell>
        </row>
        <row r="186">
          <cell r="B186" t="str">
            <v>令和６年４月を目途に譲渡することで検討。
施設の老朽化もあり、経費が増大しないよう譲渡方法を検討している。</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短期入所施設（定員１０人）の管理・運営。
住民サービスの充実、介護サービスの質の向上が図られた。</v>
          </cell>
        </row>
        <row r="377">
          <cell r="G377" t="str">
            <v xml:space="preserve"> </v>
          </cell>
          <cell r="U377" t="str">
            <v>平成</v>
          </cell>
          <cell r="X377">
            <v>18</v>
          </cell>
        </row>
        <row r="378">
          <cell r="G378" t="str">
            <v>●</v>
          </cell>
          <cell r="X378">
            <v>4</v>
          </cell>
        </row>
        <row r="379">
          <cell r="X379">
            <v>1</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介護サービス事業</v>
          </cell>
          <cell r="W18" t="str">
            <v>老人デイサービスセンター</v>
          </cell>
          <cell r="BD18" t="str">
            <v>●</v>
          </cell>
        </row>
        <row r="20">
          <cell r="F20" t="str">
            <v>ー</v>
          </cell>
        </row>
        <row r="49">
          <cell r="AA49" t="str">
            <v xml:space="preserve"> </v>
          </cell>
        </row>
        <row r="50">
          <cell r="R50" t="str">
            <v>●</v>
          </cell>
          <cell r="X50" t="str">
            <v xml:space="preserve"> </v>
          </cell>
          <cell r="AD50" t="str">
            <v>●</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80">
          <cell r="B180" t="str">
            <v>大館市介護保険事業計画第９期で民間への譲渡を検討している。
公共施設等総合管理計画を策定し、議会への報告、ホームページで公開済み。</v>
          </cell>
        </row>
        <row r="186">
          <cell r="B186" t="str">
            <v>「大館市デイサービスセンター大滝」については、令和６年４月を目途に譲渡することで検討。
施設の老朽化もあり、経費が増大しないよう譲渡方法を検討している。
「大館市デイサービスセンターかつら」については、譲渡予定はなし。</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老人デイサービスセンター（デイサービスセンターかつら：定員２５人、デイサービスセンター大滝：定員３５人）の管理・運営。
住民サービスの充実、介護サービスの質の向上が図られた。</v>
          </cell>
        </row>
        <row r="377">
          <cell r="G377" t="str">
            <v xml:space="preserve"> </v>
          </cell>
          <cell r="U377" t="str">
            <v>平成</v>
          </cell>
          <cell r="X377">
            <v>18</v>
          </cell>
        </row>
        <row r="378">
          <cell r="G378" t="str">
            <v>●</v>
          </cell>
          <cell r="X378">
            <v>4</v>
          </cell>
        </row>
        <row r="379">
          <cell r="X379">
            <v>1</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介護サービス事業</v>
          </cell>
          <cell r="W18" t="str">
            <v>指定介護老人福祉施設</v>
          </cell>
          <cell r="BD18" t="str">
            <v>●</v>
          </cell>
        </row>
        <row r="20">
          <cell r="F20" t="str">
            <v>ー</v>
          </cell>
        </row>
        <row r="49">
          <cell r="AA49" t="str">
            <v xml:space="preserve"> </v>
          </cell>
        </row>
        <row r="50">
          <cell r="R50" t="str">
            <v>●</v>
          </cell>
          <cell r="X50" t="str">
            <v xml:space="preserve"> </v>
          </cell>
          <cell r="AD50" t="str">
            <v>●</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80">
          <cell r="B180" t="str">
            <v>大館市介護保険事業計画第９期で民間への譲渡を検討している。
公共施設等総合管理計画を策定し、議会への報告、ホームページで公開済み。</v>
          </cell>
        </row>
        <row r="186">
          <cell r="B186" t="str">
            <v>令和６年４月を目途に譲渡することで検討。
施設の老朽化もあり、経費が増大しないよう譲渡方法を検討している。</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特別養護老人ホーム（定員１１０人）の管理・運営。
住民サービスの充実、介護サービスの質の向上が図られた。</v>
          </cell>
        </row>
        <row r="377">
          <cell r="G377" t="str">
            <v xml:space="preserve"> </v>
          </cell>
          <cell r="U377" t="str">
            <v>平成</v>
          </cell>
          <cell r="X377">
            <v>18</v>
          </cell>
        </row>
        <row r="378">
          <cell r="G378" t="str">
            <v>●</v>
          </cell>
          <cell r="X378">
            <v>4</v>
          </cell>
        </row>
        <row r="379">
          <cell r="X379">
            <v>1</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大館市</v>
          </cell>
        </row>
        <row r="18">
          <cell r="F18" t="str">
            <v>下水道事業</v>
          </cell>
          <cell r="W18" t="str">
            <v>農業集落排水施設</v>
          </cell>
          <cell r="BD18" t="str">
            <v>×</v>
          </cell>
        </row>
        <row r="20">
          <cell r="F20" t="str">
            <v>ー</v>
          </cell>
        </row>
        <row r="49">
          <cell r="R49" t="str">
            <v>●</v>
          </cell>
          <cell r="AA49" t="str">
            <v xml:space="preserve"> </v>
          </cell>
          <cell r="AD49" t="str">
            <v>●</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23">
          <cell r="B123" t="str">
            <v>当市の生活排水処理構想において農集地域、11箇所のうち、1地区R４.4.1公共接続供用開始、残り9地区について公共接続、残り1地区については、集合処理浄化槽転換を検討している。</v>
          </cell>
        </row>
        <row r="128">
          <cell r="B128" t="str">
            <v>生活排水処理整備構想で、9地区について公共接続・処理場廃止としているが、平面地図上だけの検討のため３次元的に接続予定箇所の検討が必要</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10地区について公共接続・処理場廃止とし、流域処理場への流入処理としている。そのうちの１地区の統合事業がR4.4.1接続供用開始、他９地区は計画。</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17">
          <cell r="Y317" t="str">
            <v xml:space="preserve"> </v>
          </cell>
        </row>
        <row r="319">
          <cell r="Y319" t="str">
            <v xml:space="preserve"> </v>
          </cell>
        </row>
        <row r="320">
          <cell r="Y320" t="str">
            <v xml:space="preserve"> </v>
          </cell>
        </row>
        <row r="321">
          <cell r="Y321" t="str">
            <v>●</v>
          </cell>
        </row>
        <row r="322">
          <cell r="Y322" t="str">
            <v xml:space="preserve"> </v>
          </cell>
        </row>
        <row r="323">
          <cell r="Y323" t="str">
            <v xml:space="preserve"> </v>
          </cell>
        </row>
        <row r="328">
          <cell r="N328" t="str">
            <v xml:space="preserve"> </v>
          </cell>
        </row>
        <row r="329">
          <cell r="N329" t="str">
            <v xml:space="preserve"> </v>
          </cell>
        </row>
        <row r="330">
          <cell r="N330" t="str">
            <v>●</v>
          </cell>
        </row>
        <row r="335">
          <cell r="B335" t="str">
            <v>令和</v>
          </cell>
          <cell r="E335">
            <v>4</v>
          </cell>
        </row>
        <row r="336">
          <cell r="E336">
            <v>4</v>
          </cell>
        </row>
        <row r="337">
          <cell r="E337">
            <v>1</v>
          </cell>
        </row>
        <row r="344">
          <cell r="E344">
            <v>3</v>
          </cell>
        </row>
        <row r="346">
          <cell r="B346" t="str">
            <v xml:space="preserve">・効果額　　　　　　　3,464（千円/年）
・内    訳
　　①建設改良費　　　　▲6,144
　　②維持管理費　　　　▲6,095
　　③流域負担金　　 　　　8,775
　　　　　計　　　　　　　　 ▲3,464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827-AE5E-42B8-ADB5-2FB253FA14D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IF(COUNTIF([1]回答表!K16,"*")&gt;0,[1]回答表!K16,"")</f>
        <v>大館市</v>
      </c>
      <c r="D11" s="8"/>
      <c r="E11" s="8"/>
      <c r="F11" s="8"/>
      <c r="G11" s="8"/>
      <c r="H11" s="8"/>
      <c r="I11" s="8"/>
      <c r="J11" s="8"/>
      <c r="K11" s="8"/>
      <c r="L11" s="8"/>
      <c r="M11" s="8"/>
      <c r="N11" s="8"/>
      <c r="O11" s="8"/>
      <c r="P11" s="8"/>
      <c r="Q11" s="8"/>
      <c r="R11" s="8"/>
      <c r="S11" s="8"/>
      <c r="T11" s="8"/>
      <c r="U11" s="22" t="str">
        <f>IF(COUNTIF([1]回答表!F18,"*")&gt;0,[1]回答表!F18,"")</f>
        <v>病院事業</v>
      </c>
      <c r="V11" s="23"/>
      <c r="W11" s="23"/>
      <c r="X11" s="23"/>
      <c r="Y11" s="23"/>
      <c r="Z11" s="23"/>
      <c r="AA11" s="23"/>
      <c r="AB11" s="23"/>
      <c r="AC11" s="23"/>
      <c r="AD11" s="23"/>
      <c r="AE11" s="23"/>
      <c r="AF11" s="10"/>
      <c r="AG11" s="10"/>
      <c r="AH11" s="10"/>
      <c r="AI11" s="10"/>
      <c r="AJ11" s="10"/>
      <c r="AK11" s="10"/>
      <c r="AL11" s="10"/>
      <c r="AM11" s="10"/>
      <c r="AN11" s="11"/>
      <c r="AO11" s="24" t="str">
        <f>IF(COUNTIF([1]回答表!W18,"*")&gt;0,[1]回答表!W18,"")</f>
        <v>―</v>
      </c>
      <c r="AP11" s="10"/>
      <c r="AQ11" s="10"/>
      <c r="AR11" s="10"/>
      <c r="AS11" s="10"/>
      <c r="AT11" s="10"/>
      <c r="AU11" s="10"/>
      <c r="AV11" s="10"/>
      <c r="AW11" s="10"/>
      <c r="AX11" s="10"/>
      <c r="AY11" s="10"/>
      <c r="AZ11" s="10"/>
      <c r="BA11" s="10"/>
      <c r="BB11" s="10"/>
      <c r="BC11" s="10"/>
      <c r="BD11" s="10"/>
      <c r="BE11" s="10"/>
      <c r="BF11" s="11"/>
      <c r="BG11" s="21" t="str">
        <f>IF(COUNTIF([1]回答表!F20,"*")&gt;0,[1]回答表!F20,"")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IF([1]回答表!R49="●","●","")</f>
        <v/>
      </c>
      <c r="E24" s="80"/>
      <c r="F24" s="80"/>
      <c r="G24" s="80"/>
      <c r="H24" s="80"/>
      <c r="I24" s="80"/>
      <c r="J24" s="81"/>
      <c r="K24" s="79" t="str">
        <f>IF([1]回答表!R50="●","●","")</f>
        <v/>
      </c>
      <c r="L24" s="80"/>
      <c r="M24" s="80"/>
      <c r="N24" s="80"/>
      <c r="O24" s="80"/>
      <c r="P24" s="80"/>
      <c r="Q24" s="81"/>
      <c r="R24" s="79" t="str">
        <f>IF([1]回答表!R51="●","●","")</f>
        <v/>
      </c>
      <c r="S24" s="80"/>
      <c r="T24" s="80"/>
      <c r="U24" s="80"/>
      <c r="V24" s="80"/>
      <c r="W24" s="80"/>
      <c r="X24" s="81"/>
      <c r="Y24" s="79" t="str">
        <f>IF([1]回答表!R52="●","●","")</f>
        <v/>
      </c>
      <c r="Z24" s="80"/>
      <c r="AA24" s="80"/>
      <c r="AB24" s="80"/>
      <c r="AC24" s="80"/>
      <c r="AD24" s="80"/>
      <c r="AE24" s="81"/>
      <c r="AF24" s="79" t="str">
        <f>IF([1]回答表!R53="●","●","")</f>
        <v/>
      </c>
      <c r="AG24" s="80"/>
      <c r="AH24" s="80"/>
      <c r="AI24" s="80"/>
      <c r="AJ24" s="80"/>
      <c r="AK24" s="80"/>
      <c r="AL24" s="81"/>
      <c r="AM24" s="79" t="str">
        <f>IF([1]回答表!R54="●","●","")</f>
        <v/>
      </c>
      <c r="AN24" s="80"/>
      <c r="AO24" s="80"/>
      <c r="AP24" s="80"/>
      <c r="AQ24" s="80"/>
      <c r="AR24" s="80"/>
      <c r="AS24" s="81"/>
      <c r="AT24" s="79" t="str">
        <f>IF([1]回答表!R55="●","●","")</f>
        <v/>
      </c>
      <c r="AU24" s="80"/>
      <c r="AV24" s="80"/>
      <c r="AW24" s="80"/>
      <c r="AX24" s="80"/>
      <c r="AY24" s="80"/>
      <c r="AZ24" s="81"/>
      <c r="BA24" s="68"/>
      <c r="BB24" s="82" t="str">
        <f>IF([1]回答表!R56="●","●","")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IF([1]回答表!X49="●","●","")</f>
        <v/>
      </c>
      <c r="O36" s="131"/>
      <c r="P36" s="131"/>
      <c r="Q36" s="132"/>
      <c r="R36" s="119"/>
      <c r="S36" s="119"/>
      <c r="T36" s="119"/>
      <c r="U36" s="133" t="str">
        <f>IF([1]回答表!X49="●",[1]回答表!B67,IF([1]回答表!AA49="●",[1]回答表!B95,""))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IF([1]回答表!X49="●",[1]回答表!S73,IF([1]回答表!AA49="●",[1]回答表!S101,""))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IF([1]回答表!X49="●",[1]回答表!G73,IF([1]回答表!AA49="●",[1]回答表!G101,""))</f>
        <v/>
      </c>
      <c r="AN38" s="83"/>
      <c r="AO38" s="83"/>
      <c r="AP38" s="83"/>
      <c r="AQ38" s="83"/>
      <c r="AR38" s="83"/>
      <c r="AS38" s="83"/>
      <c r="AT38" s="153"/>
      <c r="AU38" s="82" t="str">
        <f>IF([1]回答表!X49="●",[1]回答表!G74,IF([1]回答表!AA49="●",[1]回答表!G102,""))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IF([1]回答表!X49="●",[1]回答表!V73,IF([1]回答表!AA49="●",[1]回答表!V101,""))</f>
        <v/>
      </c>
      <c r="BG39" s="16"/>
      <c r="BH39" s="16"/>
      <c r="BI39" s="17"/>
      <c r="BJ39" s="150" t="str">
        <f>IF([1]回答表!X49="●",[1]回答表!V74,IF([1]回答表!AA49="●",[1]回答表!V102,""))</f>
        <v/>
      </c>
      <c r="BK39" s="16"/>
      <c r="BL39" s="16"/>
      <c r="BM39" s="17"/>
      <c r="BN39" s="150" t="str">
        <f>IF([1]回答表!X49="●",[1]回答表!V75,IF([1]回答表!AA49="●",[1]回答表!V103,""))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IF([1]回答表!X49="●",[1]回答表!O79,IF([1]回答表!AA49="●",[1]回答表!O107,""))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IF([1]回答表!X49="●",[1]回答表!O80,IF([1]回答表!AA49="●",[1]回答表!O108,""))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IF([1]回答表!X49="●",[1]回答表!O81,IF([1]回答表!AA49="●",[1]回答表!O109,""))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IF([1]回答表!X49="●",[1]回答表!O82,IF([1]回答表!AA49="●",[1]回答表!O110,""))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IF([1]回答表!X49="●",[1]回答表!AG79,IF([1]回答表!AA49="●",[1]回答表!AG107,""))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IF([1]回答表!X49="●",[1]回答表!AG80,IF([1]回答表!AA49="●",[1]回答表!AG108,""))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IF([1]回答表!X49="●",[1]回答表!E85,IF([1]回答表!AA49="●",[1]回答表!E113,""))</f>
        <v/>
      </c>
      <c r="V50" s="182"/>
      <c r="W50" s="182"/>
      <c r="X50" s="182"/>
      <c r="Y50" s="182"/>
      <c r="Z50" s="182"/>
      <c r="AA50" s="182"/>
      <c r="AB50" s="182"/>
      <c r="AC50" s="182"/>
      <c r="AD50" s="182"/>
      <c r="AE50" s="183" t="s">
        <v>33</v>
      </c>
      <c r="AF50" s="183"/>
      <c r="AG50" s="183"/>
      <c r="AH50" s="183"/>
      <c r="AI50" s="183"/>
      <c r="AJ50" s="184"/>
      <c r="AK50" s="136"/>
      <c r="AL50" s="136"/>
      <c r="AM50" s="133" t="str">
        <f>IF([1]回答表!X49="●",[1]回答表!B87,IF([1]回答表!AA49="●",[1]回答表!B115,""))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IF([1]回答表!AD49="●","●","")</f>
        <v/>
      </c>
      <c r="O57" s="131"/>
      <c r="P57" s="131"/>
      <c r="Q57" s="132"/>
      <c r="R57" s="119"/>
      <c r="S57" s="119"/>
      <c r="T57" s="119"/>
      <c r="U57" s="133" t="str">
        <f>IF([1]回答表!AD49="●",[1]回答表!B123,"")</f>
        <v/>
      </c>
      <c r="V57" s="134"/>
      <c r="W57" s="134"/>
      <c r="X57" s="134"/>
      <c r="Y57" s="134"/>
      <c r="Z57" s="134"/>
      <c r="AA57" s="134"/>
      <c r="AB57" s="134"/>
      <c r="AC57" s="134"/>
      <c r="AD57" s="134"/>
      <c r="AE57" s="134"/>
      <c r="AF57" s="134"/>
      <c r="AG57" s="134"/>
      <c r="AH57" s="134"/>
      <c r="AI57" s="134"/>
      <c r="AJ57" s="135"/>
      <c r="AK57" s="189"/>
      <c r="AL57" s="189"/>
      <c r="AM57" s="133" t="str">
        <f>IF([1]回答表!AD49="●",[1]回答表!B128,"")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IF([1]回答表!X50="●","●","")</f>
        <v/>
      </c>
      <c r="O68" s="131"/>
      <c r="P68" s="131"/>
      <c r="Q68" s="132"/>
      <c r="R68" s="119"/>
      <c r="S68" s="119"/>
      <c r="T68" s="119"/>
      <c r="U68" s="133" t="str">
        <f>IF([1]回答表!X50="●",[1]回答表!B138,IF([1]回答表!AA50="●",[1]回答表!B159,""))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IF([1]回答表!X50="●",[1]回答表!S144,IF([1]回答表!AA50="●",[1]回答表!S165,""))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IF([1]回答表!X50="●",[1]回答表!J144,IF([1]回答表!AA50="●",[1]回答表!J165,""))</f>
        <v/>
      </c>
      <c r="AN71" s="83"/>
      <c r="AO71" s="83"/>
      <c r="AP71" s="83"/>
      <c r="AQ71" s="83"/>
      <c r="AR71" s="83"/>
      <c r="AS71" s="83"/>
      <c r="AT71" s="153"/>
      <c r="AU71" s="82" t="str">
        <f>IF([1]回答表!X50="●",[1]回答表!J145,IF([1]回答表!AA50="●",[1]回答表!J166,""))</f>
        <v/>
      </c>
      <c r="AV71" s="83"/>
      <c r="AW71" s="83"/>
      <c r="AX71" s="83"/>
      <c r="AY71" s="83"/>
      <c r="AZ71" s="83"/>
      <c r="BA71" s="83"/>
      <c r="BB71" s="153"/>
      <c r="BC71" s="120"/>
      <c r="BD71" s="109"/>
      <c r="BE71" s="109"/>
      <c r="BF71" s="150" t="str">
        <f>IF([1]回答表!X50="●",[1]回答表!V144,IF([1]回答表!AA50="●",[1]回答表!V165,""))</f>
        <v/>
      </c>
      <c r="BG71" s="151"/>
      <c r="BH71" s="151"/>
      <c r="BI71" s="151"/>
      <c r="BJ71" s="150" t="str">
        <f>IF([1]回答表!X50="●",[1]回答表!V145,IF([1]回答表!AA50="●",[1]回答表!V166,""))</f>
        <v/>
      </c>
      <c r="BK71" s="151"/>
      <c r="BL71" s="151"/>
      <c r="BM71" s="151"/>
      <c r="BN71" s="150" t="str">
        <f>IF([1]回答表!X50="●",[1]回答表!V146,IF([1]回答表!AA50="●",[1]回答表!V167,""))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IF([1]回答表!X50="●",[1]回答表!E149,IF([1]回答表!AA50="●",[1]回答表!E170,""))</f>
        <v/>
      </c>
      <c r="V80" s="182"/>
      <c r="W80" s="182"/>
      <c r="X80" s="182"/>
      <c r="Y80" s="182"/>
      <c r="Z80" s="182"/>
      <c r="AA80" s="182"/>
      <c r="AB80" s="182"/>
      <c r="AC80" s="182"/>
      <c r="AD80" s="182"/>
      <c r="AE80" s="183" t="s">
        <v>33</v>
      </c>
      <c r="AF80" s="183"/>
      <c r="AG80" s="183"/>
      <c r="AH80" s="183"/>
      <c r="AI80" s="183"/>
      <c r="AJ80" s="184"/>
      <c r="AK80" s="136"/>
      <c r="AL80" s="136"/>
      <c r="AM80" s="133" t="str">
        <f>IF([1]回答表!X50="●",[1]回答表!B151,IF([1]回答表!AA50="●",[1]回答表!B172,""))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IF([1]回答表!AD50="●","●","")</f>
        <v/>
      </c>
      <c r="O87" s="131"/>
      <c r="P87" s="131"/>
      <c r="Q87" s="132"/>
      <c r="R87" s="119"/>
      <c r="S87" s="119"/>
      <c r="T87" s="119"/>
      <c r="U87" s="133" t="str">
        <f>IF([1]回答表!AD50="●",[1]回答表!B180,"")</f>
        <v/>
      </c>
      <c r="V87" s="134"/>
      <c r="W87" s="134"/>
      <c r="X87" s="134"/>
      <c r="Y87" s="134"/>
      <c r="Z87" s="134"/>
      <c r="AA87" s="134"/>
      <c r="AB87" s="134"/>
      <c r="AC87" s="134"/>
      <c r="AD87" s="134"/>
      <c r="AE87" s="134"/>
      <c r="AF87" s="134"/>
      <c r="AG87" s="134"/>
      <c r="AH87" s="134"/>
      <c r="AI87" s="134"/>
      <c r="AJ87" s="135"/>
      <c r="AK87" s="189"/>
      <c r="AL87" s="189"/>
      <c r="AM87" s="133" t="str">
        <f>IF([1]回答表!AD50="●",[1]回答表!B186,"")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IF([1]回答表!F18="水道事業",IF([1]回答表!X51="●","●",""),"")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IF([1]回答表!F18="水道事業",IF([1]回答表!X51="●",[1]回答表!B197,IF([1]回答表!AA51="●",[1]回答表!B275,"")),"")</f>
        <v/>
      </c>
      <c r="AN99" s="134"/>
      <c r="AO99" s="134"/>
      <c r="AP99" s="134"/>
      <c r="AQ99" s="134"/>
      <c r="AR99" s="134"/>
      <c r="AS99" s="134"/>
      <c r="AT99" s="134"/>
      <c r="AU99" s="134"/>
      <c r="AV99" s="134"/>
      <c r="AW99" s="134"/>
      <c r="AX99" s="134"/>
      <c r="AY99" s="134"/>
      <c r="AZ99" s="134"/>
      <c r="BA99" s="134"/>
      <c r="BB99" s="134"/>
      <c r="BC99" s="135"/>
      <c r="BD99" s="109"/>
      <c r="BE99" s="109"/>
      <c r="BF99" s="138" t="str">
        <f>IF([1]回答表!F18="水道事業",IF([1]回答表!X51="●",[1]回答表!B256,IF([1]回答表!AA51="●",[1]回答表!B335,"")),"")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IF([1]回答表!F18="水道事業",IF([1]回答表!X51="●",[1]回答表!J205,IF([1]回答表!AA51="●",[1]回答表!J283,"")),"")</f>
        <v/>
      </c>
      <c r="V101" s="83"/>
      <c r="W101" s="83"/>
      <c r="X101" s="83"/>
      <c r="Y101" s="83"/>
      <c r="Z101" s="83"/>
      <c r="AA101" s="83"/>
      <c r="AB101" s="153"/>
      <c r="AC101" s="82" t="str">
        <f>IF([1]回答表!F18="水道事業",IF([1]回答表!X51="●",[1]回答表!J210,IF([1]回答表!AA51="●",[1]回答表!J290,"")),"")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IF([1]回答表!F18="水道事業",IF([1]回答表!X51="●",[1]回答表!E256,IF([1]回答表!AA51="●",[1]回答表!E335,"")),"")</f>
        <v/>
      </c>
      <c r="BG102" s="151"/>
      <c r="BH102" s="151"/>
      <c r="BI102" s="151"/>
      <c r="BJ102" s="150" t="str">
        <f>IF([1]回答表!F18="水道事業",IF([1]回答表!X51="●",[1]回答表!E257,IF([1]回答表!AA51="●",[1]回答表!E336,"")),"")</f>
        <v/>
      </c>
      <c r="BK102" s="151"/>
      <c r="BL102" s="151"/>
      <c r="BM102" s="151"/>
      <c r="BN102" s="150" t="str">
        <f>IF([1]回答表!F18="水道事業",IF([1]回答表!X51="●",[1]回答表!E258,IF([1]回答表!AA51="●",[1]回答表!E337,"")),"")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IF([1]回答表!F18="水道事業",IF([1]回答表!AA51="●","●",""),"")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IF([1]回答表!F18="水道事業",IF([1]回答表!X51="●",[1]回答表!J213,IF([1]回答表!AA51="●",[1]回答表!J293,"")),"")</f>
        <v/>
      </c>
      <c r="V106" s="83"/>
      <c r="W106" s="83"/>
      <c r="X106" s="83"/>
      <c r="Y106" s="83"/>
      <c r="Z106" s="83"/>
      <c r="AA106" s="83"/>
      <c r="AB106" s="153"/>
      <c r="AC106" s="82" t="str">
        <f>IF([1]回答表!F18="水道事業",IF([1]回答表!X51="●",[1]回答表!J217,IF([1]回答表!AA51="●",[1]回答表!J297,"")),"")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IF([1]回答表!F18="水道事業",IF([1]回答表!X51="●",[1]回答表!E265,IF([1]回答表!AA51="●",[1]回答表!E344,"")),"")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IF([1]回答表!F18="水道事業",IF([1]回答表!X51="●",[1]回答表!B267,IF([1]回答表!AA51="●",[1]回答表!B346,"")),"")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IF([1]回答表!F18="水道事業",IF([1]回答表!AD51="●","●",""),"")</f>
        <v/>
      </c>
      <c r="O118" s="131"/>
      <c r="P118" s="131"/>
      <c r="Q118" s="132"/>
      <c r="R118" s="119"/>
      <c r="S118" s="119"/>
      <c r="T118" s="119"/>
      <c r="U118" s="133" t="str">
        <f>IF([1]回答表!F18="水道事業",IF([1]回答表!AD51="●",[1]回答表!B354,""),"")</f>
        <v/>
      </c>
      <c r="V118" s="134"/>
      <c r="W118" s="134"/>
      <c r="X118" s="134"/>
      <c r="Y118" s="134"/>
      <c r="Z118" s="134"/>
      <c r="AA118" s="134"/>
      <c r="AB118" s="134"/>
      <c r="AC118" s="134"/>
      <c r="AD118" s="134"/>
      <c r="AE118" s="134"/>
      <c r="AF118" s="134"/>
      <c r="AG118" s="134"/>
      <c r="AH118" s="134"/>
      <c r="AI118" s="134"/>
      <c r="AJ118" s="135"/>
      <c r="AK118" s="189"/>
      <c r="AL118" s="189"/>
      <c r="AM118" s="133" t="str">
        <f>IF([1]回答表!F18="水道事業",IF([1]回答表!AD51="●",[1]回答表!B360,""),"")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IF([1]回答表!F18="簡易水道事業",IF([1]回答表!X51="●",[1]回答表!B197,IF([1]回答表!AA51="●",[1]回答表!B275,"")),"")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IF([1]回答表!F18="簡易水道事業",IF([1]回答表!X51="●",[1]回答表!B256,IF([1]回答表!AA51="●",[1]回答表!B335,"")),"")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IF([1]回答表!F18="簡易水道事業",IF([1]回答表!X51="●","●",""),"")</f>
        <v/>
      </c>
      <c r="O132" s="131"/>
      <c r="P132" s="131"/>
      <c r="Q132" s="132"/>
      <c r="R132" s="119"/>
      <c r="S132" s="119"/>
      <c r="T132" s="119"/>
      <c r="U132" s="82" t="str">
        <f>IF([1]回答表!F18="簡易水道事業",IF([1]回答表!X51="●",[1]回答表!S224,IF([1]回答表!AA51="●",[1]回答表!S304,"")),"")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IF([1]回答表!F18="簡易水道事業",IF([1]回答表!X51="●",[1]回答表!E256,IF([1]回答表!AA51="●",[1]回答表!E335,"")),"")</f>
        <v/>
      </c>
      <c r="BG133" s="151"/>
      <c r="BH133" s="151"/>
      <c r="BI133" s="151"/>
      <c r="BJ133" s="150" t="str">
        <f>IF([1]回答表!F18="簡易水道事業",IF([1]回答表!X51="●",[1]回答表!E257,IF([1]回答表!AA51="●",[1]回答表!E336,"")),"")</f>
        <v/>
      </c>
      <c r="BK133" s="151"/>
      <c r="BL133" s="151"/>
      <c r="BM133" s="151"/>
      <c r="BN133" s="150" t="str">
        <f>IF([1]回答表!F18="簡易水道事業",IF([1]回答表!X51="●",[1]回答表!E258,IF([1]回答表!AA51="●",[1]回答表!E337,"")),"")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IF([1]回答表!F18="簡易水道事業",IF([1]回答表!X51="●",[1]回答表!S225,IF([1]回答表!AA51="●",[1]回答表!S305,"")),"")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IF([1]回答表!F18="簡易水道事業",IF([1]回答表!AA51="●","●",""),"")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IF([1]回答表!F18="簡易水道事業",IF([1]回答表!X51="●",[1]回答表!S226,IF([1]回答表!AA51="●",[1]回答表!S306,"")),"")</f>
        <v/>
      </c>
      <c r="V142" s="83"/>
      <c r="W142" s="83"/>
      <c r="X142" s="83"/>
      <c r="Y142" s="83"/>
      <c r="Z142" s="83"/>
      <c r="AA142" s="83"/>
      <c r="AB142" s="83"/>
      <c r="AC142" s="83"/>
      <c r="AD142" s="83"/>
      <c r="AE142" s="83"/>
      <c r="AF142" s="83"/>
      <c r="AG142" s="83"/>
      <c r="AH142" s="83"/>
      <c r="AI142" s="83"/>
      <c r="AJ142" s="153"/>
      <c r="AK142" s="68"/>
      <c r="AL142" s="68"/>
      <c r="AM142" s="231" t="str">
        <f>IF([1]回答表!F18="簡易水道事業",IF([1]回答表!X51="●",[1]回答表!Y228,IF([1]回答表!AA51="●",[1]回答表!Y308,"")),"")</f>
        <v/>
      </c>
      <c r="AN142" s="231"/>
      <c r="AO142" s="231"/>
      <c r="AP142" s="231"/>
      <c r="AQ142" s="231"/>
      <c r="AR142" s="231"/>
      <c r="AS142" s="231" t="str">
        <f>IF([1]回答表!F18="簡易水道事業",IF([1]回答表!X51="●",[1]回答表!Y229,IF([1]回答表!AA51="●",[1]回答表!Y309,"")),"")</f>
        <v/>
      </c>
      <c r="AT142" s="231"/>
      <c r="AU142" s="231"/>
      <c r="AV142" s="231"/>
      <c r="AW142" s="231"/>
      <c r="AX142" s="231"/>
      <c r="AY142" s="231" t="str">
        <f>IF([1]回答表!F18="簡易水道事業",IF([1]回答表!X51="●",[1]回答表!Y230,IF([1]回答表!AA51="●",[1]回答表!Y310,"")),"")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IF([1]回答表!F18="簡易水道事業",IF([1]回答表!X51="●",[1]回答表!E265,IF([1]回答表!AA51="●",[1]回答表!E344,"")),"")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IF([1]回答表!F18="簡易水道事業",IF([1]回答表!X51="●",[1]回答表!B267,IF([1]回答表!AA51="●",[1]回答表!B346,"")),"")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IF([1]回答表!F18="簡易水道事業",IF([1]回答表!AD51="●","●",""),"")</f>
        <v/>
      </c>
      <c r="O154" s="131"/>
      <c r="P154" s="131"/>
      <c r="Q154" s="132"/>
      <c r="R154" s="119"/>
      <c r="S154" s="119"/>
      <c r="T154" s="119"/>
      <c r="U154" s="133" t="str">
        <f>IF([1]回答表!F18="簡易水道事業",IF([1]回答表!AD51="●",[1]回答表!B354,""),"")</f>
        <v/>
      </c>
      <c r="V154" s="134"/>
      <c r="W154" s="134"/>
      <c r="X154" s="134"/>
      <c r="Y154" s="134"/>
      <c r="Z154" s="134"/>
      <c r="AA154" s="134"/>
      <c r="AB154" s="134"/>
      <c r="AC154" s="134"/>
      <c r="AD154" s="134"/>
      <c r="AE154" s="134"/>
      <c r="AF154" s="134"/>
      <c r="AG154" s="134"/>
      <c r="AH154" s="134"/>
      <c r="AI154" s="134"/>
      <c r="AJ154" s="135"/>
      <c r="AK154" s="189"/>
      <c r="AL154" s="189"/>
      <c r="AM154" s="133" t="str">
        <f>IF([1]回答表!F18="簡易水道事業",IF([1]回答表!AD51="●",[1]回答表!B360,""),"")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IF([1]回答表!F18="下水道事業",IF([1]回答表!X51="●","●",""),"")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IF([1]回答表!F18="下水道事業",IF([1]回答表!X51="●",[1]回答表!B197,IF([1]回答表!AA51="●",[1]回答表!B275,"")),"")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IF([1]回答表!F18="下水道事業",IF([1]回答表!X51="●",[1]回答表!B256,IF([1]回答表!AA51="●",[1]回答表!B335,"")),"")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IF([1]回答表!F18="下水道事業",IF([1]回答表!X51="●",[1]回答表!N234,IF([1]回答表!AA51="●",[1]回答表!N314,"")),"")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IF([1]回答表!F18="下水道事業",IF([1]回答表!X51="●",[1]回答表!E256,IF([1]回答表!AA51="●",[1]回答表!E335,"")),"")</f>
        <v/>
      </c>
      <c r="BG169" s="151"/>
      <c r="BH169" s="151"/>
      <c r="BI169" s="151"/>
      <c r="BJ169" s="150" t="str">
        <f>IF([1]回答表!F18="下水道事業",IF([1]回答表!X51="●",[1]回答表!E257,IF([1]回答表!AA51="●",[1]回答表!E336,"")),"")</f>
        <v/>
      </c>
      <c r="BK169" s="151"/>
      <c r="BL169" s="151"/>
      <c r="BM169" s="151"/>
      <c r="BN169" s="150" t="str">
        <f>IF([1]回答表!F18="下水道事業",IF([1]回答表!X51="●",[1]回答表!E258,IF([1]回答表!AA51="●",[1]回答表!E337,"")),"")</f>
        <v/>
      </c>
      <c r="BO169" s="151"/>
      <c r="BP169" s="151"/>
      <c r="BQ169" s="152"/>
      <c r="BR169" s="112"/>
      <c r="BX169" s="234" t="str">
        <f>IF([1]回答表!AQ21="下水道事業",IF([1]回答表!BI54="○",[1]回答表!AM200,IF([1]回答表!BL54="○",[1]回答表!AM278,"")),"")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IF([1]回答表!F18="下水道事業",IF([1]回答表!X51="●",[1]回答表!Y236,IF([1]回答表!AA51="●",[1]回答表!Y316,"")),"")</f>
        <v/>
      </c>
      <c r="V174" s="83"/>
      <c r="W174" s="83"/>
      <c r="X174" s="83"/>
      <c r="Y174" s="83"/>
      <c r="Z174" s="83"/>
      <c r="AA174" s="83"/>
      <c r="AB174" s="153"/>
      <c r="AC174" s="82" t="str">
        <f>IF([1]回答表!F18="下水道事業",IF([1]回答表!X51="●",[1]回答表!Y237,IF([1]回答表!AA51="●",[1]回答表!Y317,"")),"")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IF([1]回答表!F18="下水道事業",IF([1]回答表!X51="●",[1]回答表!Y239,IF([1]回答表!AA51="●",[1]回答表!Y319,"")),"")</f>
        <v/>
      </c>
      <c r="V180" s="83"/>
      <c r="W180" s="83"/>
      <c r="X180" s="83"/>
      <c r="Y180" s="83"/>
      <c r="Z180" s="83"/>
      <c r="AA180" s="83"/>
      <c r="AB180" s="153"/>
      <c r="AC180" s="82" t="str">
        <f>IF([1]回答表!F18="下水道事業",IF([1]回答表!X51="●",[1]回答表!Y240,IF([1]回答表!AA51="●",[1]回答表!Y320,"")),"")</f>
        <v/>
      </c>
      <c r="AD180" s="83"/>
      <c r="AE180" s="83"/>
      <c r="AF180" s="83"/>
      <c r="AG180" s="83"/>
      <c r="AH180" s="83"/>
      <c r="AI180" s="83"/>
      <c r="AJ180" s="153"/>
      <c r="AK180" s="82" t="str">
        <f>IF([1]回答表!F18="下水道事業",IF([1]回答表!X51="●",[1]回答表!Y241,IF([1]回答表!AA51="●",[1]回答表!Y321,"")),"")</f>
        <v/>
      </c>
      <c r="AL180" s="83"/>
      <c r="AM180" s="83"/>
      <c r="AN180" s="83"/>
      <c r="AO180" s="83"/>
      <c r="AP180" s="83"/>
      <c r="AQ180" s="83"/>
      <c r="AR180" s="153"/>
      <c r="AS180" s="82" t="str">
        <f>IF([1]回答表!F18="下水道事業",IF([1]回答表!X51="●",[1]回答表!Y242,IF([1]回答表!AA51="●",[1]回答表!Y322,"")),"")</f>
        <v/>
      </c>
      <c r="AT180" s="83"/>
      <c r="AU180" s="83"/>
      <c r="AV180" s="83"/>
      <c r="AW180" s="83"/>
      <c r="AX180" s="83"/>
      <c r="AY180" s="83"/>
      <c r="AZ180" s="153"/>
      <c r="BA180" s="82" t="str">
        <f>IF([1]回答表!F18="下水道事業",IF([1]回答表!X51="●",[1]回答表!Y243,IF([1]回答表!AA51="●",[1]回答表!Y323,"")),"")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IF([1]回答表!F18="下水道事業",IF([1]回答表!AA51="●","●",""),"")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IF([1]回答表!F18="下水道事業",IF([1]回答表!X51="●",[1]回答表!N248,IF([1]回答表!AA51="●",[1]回答表!N328,"")),"")</f>
        <v/>
      </c>
      <c r="V186" s="83"/>
      <c r="W186" s="83"/>
      <c r="X186" s="83"/>
      <c r="Y186" s="83"/>
      <c r="Z186" s="83"/>
      <c r="AA186" s="83"/>
      <c r="AB186" s="153"/>
      <c r="AC186" s="82" t="str">
        <f>IF([1]回答表!F18="下水道事業",IF([1]回答表!X51="●",[1]回答表!N249,IF([1]回答表!AA51="●",[1]回答表!N329,"")),"")</f>
        <v/>
      </c>
      <c r="AD186" s="83"/>
      <c r="AE186" s="83"/>
      <c r="AF186" s="83"/>
      <c r="AG186" s="83"/>
      <c r="AH186" s="83"/>
      <c r="AI186" s="83"/>
      <c r="AJ186" s="153"/>
      <c r="AK186" s="82" t="str">
        <f>IF([1]回答表!F18="下水道事業",IF([1]回答表!X51="●",[1]回答表!N250,IF([1]回答表!AA51="●",[1]回答表!N330,"")),"")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IF([1]回答表!F18="下水道事業",IF([1]回答表!X51="●",[1]回答表!E265,IF([1]回答表!AA51="●",[1]回答表!E344,"")),"")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IF([1]回答表!F18="下水道事業",IF([1]回答表!X51="●",[1]回答表!B267,IF([1]回答表!AA51="●",[1]回答表!B346,"")),"")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IF([1]回答表!F18="下水道事業",IF([1]回答表!AD51="●","●",""),"")</f>
        <v/>
      </c>
      <c r="O198" s="131"/>
      <c r="P198" s="131"/>
      <c r="Q198" s="132"/>
      <c r="R198" s="119"/>
      <c r="S198" s="119"/>
      <c r="T198" s="119"/>
      <c r="U198" s="133" t="str">
        <f>IF([1]回答表!F18="下水道事業",IF([1]回答表!AD51="●",[1]回答表!B354,""),"")</f>
        <v/>
      </c>
      <c r="V198" s="134"/>
      <c r="W198" s="134"/>
      <c r="X198" s="134"/>
      <c r="Y198" s="134"/>
      <c r="Z198" s="134"/>
      <c r="AA198" s="134"/>
      <c r="AB198" s="134"/>
      <c r="AC198" s="134"/>
      <c r="AD198" s="134"/>
      <c r="AE198" s="134"/>
      <c r="AF198" s="134"/>
      <c r="AG198" s="134"/>
      <c r="AH198" s="134"/>
      <c r="AI198" s="134"/>
      <c r="AJ198" s="135"/>
      <c r="AK198" s="189"/>
      <c r="AL198" s="189"/>
      <c r="AM198" s="133" t="str">
        <f>IF([1]回答表!F18="下水道事業",IF([1]回答表!AD51="●",[1]回答表!B360,""),"")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IF([1]回答表!BD18="●",IF([1]回答表!X51="●","●",""),"")</f>
        <v/>
      </c>
      <c r="O210" s="131"/>
      <c r="P210" s="131"/>
      <c r="Q210" s="132"/>
      <c r="R210" s="119"/>
      <c r="S210" s="119"/>
      <c r="T210" s="119"/>
      <c r="U210" s="133" t="str">
        <f>IF([1]回答表!BD18="●",IF([1]回答表!X51="●",[1]回答表!B197,IF([1]回答表!AA51="●",[1]回答表!B275,"")),"")</f>
        <v/>
      </c>
      <c r="V210" s="134"/>
      <c r="W210" s="134"/>
      <c r="X210" s="134"/>
      <c r="Y210" s="134"/>
      <c r="Z210" s="134"/>
      <c r="AA210" s="134"/>
      <c r="AB210" s="134"/>
      <c r="AC210" s="134"/>
      <c r="AD210" s="134"/>
      <c r="AE210" s="134"/>
      <c r="AF210" s="134"/>
      <c r="AG210" s="134"/>
      <c r="AH210" s="134"/>
      <c r="AI210" s="134"/>
      <c r="AJ210" s="135"/>
      <c r="AK210" s="136"/>
      <c r="AL210" s="136"/>
      <c r="AM210" s="138" t="str">
        <f>IF([1]回答表!BD18="●",IF([1]回答表!X51="●",[1]回答表!B256,IF([1]回答表!AA51="●",[1]回答表!B335,"")),"")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IF([1]回答表!BD18="●",IF([1]回答表!X51="●",[1]回答表!E256,IF([1]回答表!AA51="●",[1]回答表!E335,"")),"")</f>
        <v/>
      </c>
      <c r="AN213" s="151"/>
      <c r="AO213" s="151"/>
      <c r="AP213" s="151"/>
      <c r="AQ213" s="150" t="str">
        <f>IF([1]回答表!BD18="●",IF([1]回答表!X51="●",[1]回答表!E257,IF([1]回答表!AA51="●",[1]回答表!E336,"")),"")</f>
        <v/>
      </c>
      <c r="AR213" s="151"/>
      <c r="AS213" s="151"/>
      <c r="AT213" s="151"/>
      <c r="AU213" s="150" t="str">
        <f>IF([1]回答表!BD18="●",IF([1]回答表!X51="●",[1]回答表!E258,IF([1]回答表!AA51="●",[1]回答表!E337,"")),"")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IF([1]回答表!BD18="●",IF([1]回答表!AA51="●","●",""),"")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IF([1]回答表!BD18="●",IF([1]回答表!X51="●",[1]回答表!E265,IF([1]回答表!AA51="●",[1]回答表!E344,"")),"")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IF([1]回答表!BD18="●",IF([1]回答表!X51="●",[1]回答表!B267,IF([1]回答表!AA51="●",[1]回答表!B346,"")),"")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IF([1]回答表!BD18="●",IF([1]回答表!AD51="●","●",""),"")</f>
        <v/>
      </c>
      <c r="O229" s="131"/>
      <c r="P229" s="131"/>
      <c r="Q229" s="132"/>
      <c r="R229" s="119"/>
      <c r="S229" s="119"/>
      <c r="T229" s="119"/>
      <c r="U229" s="133" t="str">
        <f>IF([1]回答表!BD18="●",IF([1]回答表!AD51="●",[1]回答表!B354,""),"")</f>
        <v/>
      </c>
      <c r="V229" s="134"/>
      <c r="W229" s="134"/>
      <c r="X229" s="134"/>
      <c r="Y229" s="134"/>
      <c r="Z229" s="134"/>
      <c r="AA229" s="134"/>
      <c r="AB229" s="134"/>
      <c r="AC229" s="134"/>
      <c r="AD229" s="134"/>
      <c r="AE229" s="134"/>
      <c r="AF229" s="134"/>
      <c r="AG229" s="134"/>
      <c r="AH229" s="134"/>
      <c r="AI229" s="134"/>
      <c r="AJ229" s="135"/>
      <c r="AK229" s="249"/>
      <c r="AL229" s="249"/>
      <c r="AM229" s="133" t="str">
        <f>IF([1]回答表!BD18="●",IF([1]回答表!AD51="●",[1]回答表!B360,""),"")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IF([1]回答表!X52="●","●","")</f>
        <v/>
      </c>
      <c r="O241" s="131"/>
      <c r="P241" s="131"/>
      <c r="Q241" s="132"/>
      <c r="R241" s="119"/>
      <c r="S241" s="119"/>
      <c r="T241" s="119"/>
      <c r="U241" s="133" t="str">
        <f>IF([1]回答表!X52="●",[1]回答表!B371,IF([1]回答表!AA52="●",[1]回答表!B396,""))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IF([1]回答表!X52="●",[1]回答表!U377,IF([1]回答表!AA52="●",[1]回答表!U402,""))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IF([1]回答表!X52="●",[1]回答表!G377,IF([1]回答表!AA52="●",[1]回答表!G402,""))</f>
        <v/>
      </c>
      <c r="AN244" s="83"/>
      <c r="AO244" s="83"/>
      <c r="AP244" s="83"/>
      <c r="AQ244" s="83"/>
      <c r="AR244" s="83"/>
      <c r="AS244" s="83"/>
      <c r="AT244" s="153"/>
      <c r="AU244" s="82" t="str">
        <f>IF([1]回答表!X52="●",[1]回答表!G378,IF([1]回答表!AA52="●",[1]回答表!G403,""))</f>
        <v/>
      </c>
      <c r="AV244" s="83"/>
      <c r="AW244" s="83"/>
      <c r="AX244" s="83"/>
      <c r="AY244" s="83"/>
      <c r="AZ244" s="83"/>
      <c r="BA244" s="83"/>
      <c r="BB244" s="153"/>
      <c r="BC244" s="120"/>
      <c r="BD244" s="109"/>
      <c r="BE244" s="109"/>
      <c r="BF244" s="150" t="str">
        <f>IF([1]回答表!X52="●",[1]回答表!X377,IF([1]回答表!AA52="●",[1]回答表!X402,""))</f>
        <v/>
      </c>
      <c r="BG244" s="151"/>
      <c r="BH244" s="151"/>
      <c r="BI244" s="151"/>
      <c r="BJ244" s="150" t="str">
        <f>IF([1]回答表!X52="●",[1]回答表!X378,IF([1]回答表!AA52="●",[1]回答表!X403,""))</f>
        <v/>
      </c>
      <c r="BK244" s="151"/>
      <c r="BL244" s="151"/>
      <c r="BM244" s="152"/>
      <c r="BN244" s="150" t="str">
        <f>IF([1]回答表!X52="●",[1]回答表!X379,IF([1]回答表!AA52="●",[1]回答表!X404,""))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IF([1]回答表!X52="●",[1]回答表!E386,IF([1]回答表!AA52="●",[1]回答表!E407,""))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IF([1]回答表!X52="●",[1]回答表!B388,IF([1]回答表!AA52="●",[1]回答表!B409,""))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IF([1]回答表!AD52="●","●","")</f>
        <v/>
      </c>
      <c r="O260" s="131"/>
      <c r="P260" s="131"/>
      <c r="Q260" s="132"/>
      <c r="R260" s="119"/>
      <c r="S260" s="119"/>
      <c r="T260" s="119"/>
      <c r="U260" s="133" t="str">
        <f>IF([1]回答表!AD52="●",[1]回答表!B417,"")</f>
        <v/>
      </c>
      <c r="V260" s="134"/>
      <c r="W260" s="134"/>
      <c r="X260" s="134"/>
      <c r="Y260" s="134"/>
      <c r="Z260" s="134"/>
      <c r="AA260" s="134"/>
      <c r="AB260" s="134"/>
      <c r="AC260" s="134"/>
      <c r="AD260" s="134"/>
      <c r="AE260" s="134"/>
      <c r="AF260" s="134"/>
      <c r="AG260" s="134"/>
      <c r="AH260" s="134"/>
      <c r="AI260" s="134"/>
      <c r="AJ260" s="135"/>
      <c r="AK260" s="249"/>
      <c r="AL260" s="249"/>
      <c r="AM260" s="133" t="str">
        <f>IF([1]回答表!AD52="●",[1]回答表!B423,"")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IF([1]回答表!X53="●","●","")</f>
        <v/>
      </c>
      <c r="O272" s="131"/>
      <c r="P272" s="131"/>
      <c r="Q272" s="132"/>
      <c r="R272" s="119"/>
      <c r="S272" s="119"/>
      <c r="T272" s="119"/>
      <c r="U272" s="133" t="str">
        <f>IF([1]回答表!X53="●",[1]回答表!B434,IF([1]回答表!AA53="●",[1]回答表!B465,""))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IF([1]回答表!X53="●",[1]回答表!B440,"")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IF([1]回答表!X53="●",[1]回答表!B446,IF([1]回答表!AA53="●",[1]回答表!B471,""))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IF([1]回答表!X53="●",[1]回答表!E446,IF([1]回答表!AA53="●",[1]回答表!E471,""))</f>
        <v/>
      </c>
      <c r="BG275" s="151"/>
      <c r="BH275" s="151"/>
      <c r="BI275" s="151"/>
      <c r="BJ275" s="150" t="str">
        <f>IF([1]回答表!X53="●",[1]回答表!E447,IF([1]回答表!AA53="●",[1]回答表!E472,""))</f>
        <v/>
      </c>
      <c r="BK275" s="151"/>
      <c r="BL275" s="151"/>
      <c r="BM275" s="152"/>
      <c r="BN275" s="150" t="str">
        <f>IF([1]回答表!X53="●",[1]回答表!E448,IF([1]回答表!AA53="●",[1]回答表!E473,""))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IF([1]回答表!X53="●",[1]回答表!E455,IF([1]回答表!AA53="●",[1]回答表!E476,""))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IF([1]回答表!X53="●",[1]回答表!B457,IF([1]回答表!AA53="●",[1]回答表!B478,""))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IF([1]回答表!AD53="●","●","")</f>
        <v/>
      </c>
      <c r="O291" s="131"/>
      <c r="P291" s="131"/>
      <c r="Q291" s="132"/>
      <c r="R291" s="119"/>
      <c r="S291" s="119"/>
      <c r="T291" s="119"/>
      <c r="U291" s="133" t="str">
        <f>IF([1]回答表!AD53="●",[1]回答表!B486,"")</f>
        <v/>
      </c>
      <c r="V291" s="134"/>
      <c r="W291" s="134"/>
      <c r="X291" s="134"/>
      <c r="Y291" s="134"/>
      <c r="Z291" s="134"/>
      <c r="AA291" s="134"/>
      <c r="AB291" s="134"/>
      <c r="AC291" s="134"/>
      <c r="AD291" s="134"/>
      <c r="AE291" s="134"/>
      <c r="AF291" s="134"/>
      <c r="AG291" s="134"/>
      <c r="AH291" s="134"/>
      <c r="AI291" s="134"/>
      <c r="AJ291" s="135"/>
      <c r="AK291" s="249"/>
      <c r="AL291" s="249"/>
      <c r="AM291" s="133" t="str">
        <f>IF([1]回答表!AD53="●",[1]回答表!B492,"")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IF([1]回答表!X54="●","●","")</f>
        <v/>
      </c>
      <c r="O303" s="131"/>
      <c r="P303" s="131"/>
      <c r="Q303" s="132"/>
      <c r="R303" s="119"/>
      <c r="S303" s="119"/>
      <c r="T303" s="119"/>
      <c r="U303" s="133" t="str">
        <f>IF([1]回答表!X54="●",[1]回答表!B503,IF([1]回答表!AA54="●",[1]回答表!B526,""))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IF([1]回答表!X54="●",[1]回答表!BC510,IF([1]回答表!AA54="●",[1]回答表!BC533,""))</f>
        <v/>
      </c>
      <c r="AR303" s="271"/>
      <c r="AS303" s="271"/>
      <c r="AT303" s="271"/>
      <c r="AU303" s="272" t="s">
        <v>74</v>
      </c>
      <c r="AV303" s="273"/>
      <c r="AW303" s="273"/>
      <c r="AX303" s="274"/>
      <c r="AY303" s="271" t="str">
        <f>IF([1]回答表!X54="●",[1]回答表!BC515,IF([1]回答表!AA54="●",[1]回答表!BC538,""))</f>
        <v/>
      </c>
      <c r="AZ303" s="271"/>
      <c r="BA303" s="271"/>
      <c r="BB303" s="271"/>
      <c r="BC303" s="120"/>
      <c r="BD303" s="109"/>
      <c r="BE303" s="109"/>
      <c r="BF303" s="138" t="str">
        <f>IF([1]回答表!X54="●",[1]回答表!S509,IF([1]回答表!AA54="●",[1]回答表!S532,""))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IF([1]回答表!X54="●",[1]回答表!BC511,IF([1]回答表!AA54="●",[1]回答表!BC534,""))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IF([1]回答表!X54="●",[1]回答表!V509,IF([1]回答表!AA54="●",[1]回答表!V532,""))</f>
        <v/>
      </c>
      <c r="BG306" s="151"/>
      <c r="BH306" s="151"/>
      <c r="BI306" s="151"/>
      <c r="BJ306" s="150" t="str">
        <f>IF([1]回答表!X54="●",[1]回答表!V510,IF([1]回答表!AA54="●",[1]回答表!V533,""))</f>
        <v/>
      </c>
      <c r="BK306" s="151"/>
      <c r="BL306" s="151"/>
      <c r="BM306" s="152"/>
      <c r="BN306" s="150" t="str">
        <f>IF([1]回答表!X54="●",[1]回答表!V511,IF([1]回答表!AA54="●",[1]回答表!V534,""))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IF([1]回答表!X54="●",[1]回答表!BC512,IF([1]回答表!AA54="●",[1]回答表!BC535,""))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IF([1]回答表!X54="●",[1]回答表!BC516,IF([1]回答表!AA54="●",[1]回答表!BC539,""))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IF([1]回答表!X54="●",[1]回答表!BC513,IF([1]回答表!AA54="●",[1]回答表!BC536,""))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IF([1]回答表!X54="●",[1]回答表!BC514,IF([1]回答表!AA54="●",[1]回答表!BC537,""))</f>
        <v/>
      </c>
      <c r="AR311" s="271"/>
      <c r="AS311" s="271"/>
      <c r="AT311" s="271"/>
      <c r="AU311" s="222" t="s">
        <v>80</v>
      </c>
      <c r="AV311" s="223"/>
      <c r="AW311" s="223"/>
      <c r="AX311" s="224"/>
      <c r="AY311" s="281" t="str">
        <f>IF([1]回答表!X54="●",[1]回答表!BC517,IF([1]回答表!AA54="●",[1]回答表!BC540,""))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IF([1]回答表!X54="●",[1]回答表!E516,IF([1]回答表!AA54="●",[1]回答表!E538,""))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IF([1]回答表!X54="●",[1]回答表!B518,IF([1]回答表!AA54="●",[1]回答表!B540,""))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IF([1]回答表!AD54="●","●","")</f>
        <v/>
      </c>
      <c r="O322" s="131"/>
      <c r="P322" s="131"/>
      <c r="Q322" s="132"/>
      <c r="R322" s="119"/>
      <c r="S322" s="119"/>
      <c r="T322" s="119"/>
      <c r="U322" s="133" t="str">
        <f>IF([1]回答表!AD54="●",[1]回答表!B548,"")</f>
        <v/>
      </c>
      <c r="V322" s="134"/>
      <c r="W322" s="134"/>
      <c r="X322" s="134"/>
      <c r="Y322" s="134"/>
      <c r="Z322" s="134"/>
      <c r="AA322" s="134"/>
      <c r="AB322" s="134"/>
      <c r="AC322" s="134"/>
      <c r="AD322" s="134"/>
      <c r="AE322" s="134"/>
      <c r="AF322" s="134"/>
      <c r="AG322" s="134"/>
      <c r="AH322" s="134"/>
      <c r="AI322" s="134"/>
      <c r="AJ322" s="135"/>
      <c r="AK322" s="189"/>
      <c r="AL322" s="189"/>
      <c r="AM322" s="133" t="str">
        <f>IF([1]回答表!AD54="●",[1]回答表!B554,"")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IF([1]回答表!X55="●","●","")</f>
        <v/>
      </c>
      <c r="O333" s="131"/>
      <c r="P333" s="131"/>
      <c r="Q333" s="132"/>
      <c r="R333" s="119"/>
      <c r="S333" s="119"/>
      <c r="T333" s="119"/>
      <c r="U333" s="133" t="str">
        <f>IF([1]回答表!X55="●",[1]回答表!B565,IF([1]回答表!AA55="●",[1]回答表!B590,""))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IF([1]回答表!X55="●",[1]回答表!B575,IF([1]回答表!AA55="●",[1]回答表!B600,""))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IF([1]回答表!X55="●",[1]回答表!G571,IF([1]回答表!AA55="●",[1]回答表!G596,""))</f>
        <v/>
      </c>
      <c r="AN335" s="83"/>
      <c r="AO335" s="83"/>
      <c r="AP335" s="83"/>
      <c r="AQ335" s="83"/>
      <c r="AR335" s="83"/>
      <c r="AS335" s="83"/>
      <c r="AT335" s="153"/>
      <c r="AU335" s="82" t="str">
        <f>IF([1]回答表!X55="●",[1]回答表!G572,IF([1]回答表!AA55="●",[1]回答表!G597,""))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IF([1]回答表!X55="●",[1]回答表!E575,IF([1]回答表!AA55="●",[1]回答表!E600,""))</f>
        <v/>
      </c>
      <c r="BG336" s="151"/>
      <c r="BH336" s="151"/>
      <c r="BI336" s="151"/>
      <c r="BJ336" s="150" t="str">
        <f>IF([1]回答表!X55="●",[1]回答表!E576,IF([1]回答表!AA55="●",[1]回答表!E601,""))</f>
        <v/>
      </c>
      <c r="BK336" s="151"/>
      <c r="BL336" s="151"/>
      <c r="BM336" s="152"/>
      <c r="BN336" s="150" t="str">
        <f>IF([1]回答表!X55="●",[1]回答表!E577,IF([1]回答表!AA55="●",[1]回答表!E602,""))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IF([1]回答表!X55="●",[1]回答表!E580,IF([1]回答表!AA55="●",[1]回答表!E605,""))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IF([1]回答表!X55="●",[1]回答表!B582,IF([1]回答表!AA55="●",[1]回答表!B607,""))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IF([1]回答表!AD55="●","●","")</f>
        <v/>
      </c>
      <c r="O352" s="131"/>
      <c r="P352" s="131"/>
      <c r="Q352" s="132"/>
      <c r="R352" s="119"/>
      <c r="S352" s="119"/>
      <c r="T352" s="119"/>
      <c r="U352" s="133" t="str">
        <f>IF([1]回答表!AD55="●",[1]回答表!B615,"")</f>
        <v/>
      </c>
      <c r="V352" s="134"/>
      <c r="W352" s="134"/>
      <c r="X352" s="134"/>
      <c r="Y352" s="134"/>
      <c r="Z352" s="134"/>
      <c r="AA352" s="134"/>
      <c r="AB352" s="134"/>
      <c r="AC352" s="134"/>
      <c r="AD352" s="134"/>
      <c r="AE352" s="134"/>
      <c r="AF352" s="134"/>
      <c r="AG352" s="134"/>
      <c r="AH352" s="134"/>
      <c r="AI352" s="134"/>
      <c r="AJ352" s="135"/>
      <c r="AK352" s="136"/>
      <c r="AL352" s="136"/>
      <c r="AM352" s="133" t="str">
        <f>IF([1]回答表!AD55="●",[1]回答表!B621,"")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IF([1]回答表!R56="●",[1]回答表!B634,"")</f>
        <v>　扇田病院の患者数の減少等による経営状況の悪化から資金不足が発生しており、現行の体制では収益の改善は難しく、施設の老朽化も進んでいることから、現在、経営層で構成される「経営戦略会議」において将来の方向性を協議中であ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1520-D964-4FC6-98AB-FF81DF3F49F0}">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IF(COUNTIF([10]回答表!K16,"*")&gt;0,[10]回答表!K16,"")</f>
        <v>大館市</v>
      </c>
      <c r="D11" s="8"/>
      <c r="E11" s="8"/>
      <c r="F11" s="8"/>
      <c r="G11" s="8"/>
      <c r="H11" s="8"/>
      <c r="I11" s="8"/>
      <c r="J11" s="8"/>
      <c r="K11" s="8"/>
      <c r="L11" s="8"/>
      <c r="M11" s="8"/>
      <c r="N11" s="8"/>
      <c r="O11" s="8"/>
      <c r="P11" s="8"/>
      <c r="Q11" s="8"/>
      <c r="R11" s="8"/>
      <c r="S11" s="8"/>
      <c r="T11" s="8"/>
      <c r="U11" s="22" t="str">
        <f>IF(COUNTIF([10]回答表!F18,"*")&gt;0,[10]回答表!F18,"")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IF(COUNTIF([10]回答表!W18,"*")&gt;0,[10]回答表!W18,"")</f>
        <v>特定環境保全公共下水道</v>
      </c>
      <c r="AP11" s="10"/>
      <c r="AQ11" s="10"/>
      <c r="AR11" s="10"/>
      <c r="AS11" s="10"/>
      <c r="AT11" s="10"/>
      <c r="AU11" s="10"/>
      <c r="AV11" s="10"/>
      <c r="AW11" s="10"/>
      <c r="AX11" s="10"/>
      <c r="AY11" s="10"/>
      <c r="AZ11" s="10"/>
      <c r="BA11" s="10"/>
      <c r="BB11" s="10"/>
      <c r="BC11" s="10"/>
      <c r="BD11" s="10"/>
      <c r="BE11" s="10"/>
      <c r="BF11" s="11"/>
      <c r="BG11" s="21" t="str">
        <f>IF(COUNTIF([10]回答表!F20,"*")&gt;0,[10]回答表!F20,"")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IF([10]回答表!R49="●","●","")</f>
        <v/>
      </c>
      <c r="E24" s="80"/>
      <c r="F24" s="80"/>
      <c r="G24" s="80"/>
      <c r="H24" s="80"/>
      <c r="I24" s="80"/>
      <c r="J24" s="81"/>
      <c r="K24" s="79" t="str">
        <f>IF([10]回答表!R50="●","●","")</f>
        <v/>
      </c>
      <c r="L24" s="80"/>
      <c r="M24" s="80"/>
      <c r="N24" s="80"/>
      <c r="O24" s="80"/>
      <c r="P24" s="80"/>
      <c r="Q24" s="81"/>
      <c r="R24" s="79" t="str">
        <f>IF([10]回答表!R51="●","●","")</f>
        <v>●</v>
      </c>
      <c r="S24" s="80"/>
      <c r="T24" s="80"/>
      <c r="U24" s="80"/>
      <c r="V24" s="80"/>
      <c r="W24" s="80"/>
      <c r="X24" s="81"/>
      <c r="Y24" s="79" t="str">
        <f>IF([10]回答表!R52="●","●","")</f>
        <v/>
      </c>
      <c r="Z24" s="80"/>
      <c r="AA24" s="80"/>
      <c r="AB24" s="80"/>
      <c r="AC24" s="80"/>
      <c r="AD24" s="80"/>
      <c r="AE24" s="81"/>
      <c r="AF24" s="79" t="str">
        <f>IF([10]回答表!R53="●","●","")</f>
        <v/>
      </c>
      <c r="AG24" s="80"/>
      <c r="AH24" s="80"/>
      <c r="AI24" s="80"/>
      <c r="AJ24" s="80"/>
      <c r="AK24" s="80"/>
      <c r="AL24" s="81"/>
      <c r="AM24" s="79" t="str">
        <f>IF([10]回答表!R54="●","●","")</f>
        <v>●</v>
      </c>
      <c r="AN24" s="80"/>
      <c r="AO24" s="80"/>
      <c r="AP24" s="80"/>
      <c r="AQ24" s="80"/>
      <c r="AR24" s="80"/>
      <c r="AS24" s="81"/>
      <c r="AT24" s="79" t="str">
        <f>IF([10]回答表!R55="●","●","")</f>
        <v/>
      </c>
      <c r="AU24" s="80"/>
      <c r="AV24" s="80"/>
      <c r="AW24" s="80"/>
      <c r="AX24" s="80"/>
      <c r="AY24" s="80"/>
      <c r="AZ24" s="81"/>
      <c r="BA24" s="68"/>
      <c r="BB24" s="82" t="str">
        <f>IF([10]回答表!R56="●","●","")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IF([10]回答表!X49="●","●","")</f>
        <v/>
      </c>
      <c r="O36" s="131"/>
      <c r="P36" s="131"/>
      <c r="Q36" s="132"/>
      <c r="R36" s="119"/>
      <c r="S36" s="119"/>
      <c r="T36" s="119"/>
      <c r="U36" s="133" t="str">
        <f>IF([10]回答表!X49="●",[10]回答表!B67,IF([10]回答表!AA49="●",[10]回答表!B95,""))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IF([10]回答表!X49="●",[10]回答表!S73,IF([10]回答表!AA49="●",[10]回答表!S101,""))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IF([10]回答表!X49="●",[10]回答表!G73,IF([10]回答表!AA49="●",[10]回答表!G101,""))</f>
        <v/>
      </c>
      <c r="AN38" s="83"/>
      <c r="AO38" s="83"/>
      <c r="AP38" s="83"/>
      <c r="AQ38" s="83"/>
      <c r="AR38" s="83"/>
      <c r="AS38" s="83"/>
      <c r="AT38" s="153"/>
      <c r="AU38" s="82" t="str">
        <f>IF([10]回答表!X49="●",[10]回答表!G74,IF([10]回答表!AA49="●",[10]回答表!G102,""))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IF([10]回答表!X49="●",[10]回答表!V73,IF([10]回答表!AA49="●",[10]回答表!V101,""))</f>
        <v/>
      </c>
      <c r="BG39" s="16"/>
      <c r="BH39" s="16"/>
      <c r="BI39" s="17"/>
      <c r="BJ39" s="150" t="str">
        <f>IF([10]回答表!X49="●",[10]回答表!V74,IF([10]回答表!AA49="●",[10]回答表!V102,""))</f>
        <v/>
      </c>
      <c r="BK39" s="16"/>
      <c r="BL39" s="16"/>
      <c r="BM39" s="17"/>
      <c r="BN39" s="150" t="str">
        <f>IF([10]回答表!X49="●",[10]回答表!V75,IF([10]回答表!AA49="●",[10]回答表!V103,""))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IF([10]回答表!X49="●",[10]回答表!O79,IF([10]回答表!AA49="●",[10]回答表!O107,""))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IF([10]回答表!X49="●",[10]回答表!O80,IF([10]回答表!AA49="●",[10]回答表!O108,""))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IF([10]回答表!AA49="●","●","")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IF([10]回答表!X49="●",[10]回答表!O81,IF([10]回答表!AA49="●",[10]回答表!O109,""))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IF([10]回答表!X49="●",[10]回答表!O82,IF([10]回答表!AA49="●",[10]回答表!O110,""))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IF([10]回答表!X49="●",[10]回答表!AG79,IF([10]回答表!AA49="●",[10]回答表!AG107,""))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IF([10]回答表!X49="●",[10]回答表!AG80,IF([10]回答表!AA49="●",[10]回答表!AG108,""))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IF([10]回答表!X49="●",[10]回答表!E85,IF([10]回答表!AA49="●",[10]回答表!E113,""))</f>
        <v/>
      </c>
      <c r="V50" s="182"/>
      <c r="W50" s="182"/>
      <c r="X50" s="182"/>
      <c r="Y50" s="182"/>
      <c r="Z50" s="182"/>
      <c r="AA50" s="182"/>
      <c r="AB50" s="182"/>
      <c r="AC50" s="182"/>
      <c r="AD50" s="182"/>
      <c r="AE50" s="183" t="s">
        <v>33</v>
      </c>
      <c r="AF50" s="183"/>
      <c r="AG50" s="183"/>
      <c r="AH50" s="183"/>
      <c r="AI50" s="183"/>
      <c r="AJ50" s="184"/>
      <c r="AK50" s="136"/>
      <c r="AL50" s="136"/>
      <c r="AM50" s="133" t="str">
        <f>IF([10]回答表!X49="●",[10]回答表!B87,IF([10]回答表!AA49="●",[10]回答表!B115,""))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IF([10]回答表!AD49="●","●","")</f>
        <v/>
      </c>
      <c r="O57" s="131"/>
      <c r="P57" s="131"/>
      <c r="Q57" s="132"/>
      <c r="R57" s="119"/>
      <c r="S57" s="119"/>
      <c r="T57" s="119"/>
      <c r="U57" s="133" t="str">
        <f>IF([10]回答表!AD49="●",[10]回答表!B123,"")</f>
        <v/>
      </c>
      <c r="V57" s="134"/>
      <c r="W57" s="134"/>
      <c r="X57" s="134"/>
      <c r="Y57" s="134"/>
      <c r="Z57" s="134"/>
      <c r="AA57" s="134"/>
      <c r="AB57" s="134"/>
      <c r="AC57" s="134"/>
      <c r="AD57" s="134"/>
      <c r="AE57" s="134"/>
      <c r="AF57" s="134"/>
      <c r="AG57" s="134"/>
      <c r="AH57" s="134"/>
      <c r="AI57" s="134"/>
      <c r="AJ57" s="135"/>
      <c r="AK57" s="189"/>
      <c r="AL57" s="189"/>
      <c r="AM57" s="133" t="str">
        <f>IF([10]回答表!AD49="●",[10]回答表!B128,"")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IF([10]回答表!X50="●","●","")</f>
        <v/>
      </c>
      <c r="O68" s="131"/>
      <c r="P68" s="131"/>
      <c r="Q68" s="132"/>
      <c r="R68" s="119"/>
      <c r="S68" s="119"/>
      <c r="T68" s="119"/>
      <c r="U68" s="133" t="str">
        <f>IF([10]回答表!X50="●",[10]回答表!B138,IF([10]回答表!AA50="●",[10]回答表!B159,""))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IF([10]回答表!X50="●",[10]回答表!S144,IF([10]回答表!AA50="●",[10]回答表!S165,""))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IF([10]回答表!X50="●",[10]回答表!J144,IF([10]回答表!AA50="●",[10]回答表!J165,""))</f>
        <v/>
      </c>
      <c r="AN71" s="83"/>
      <c r="AO71" s="83"/>
      <c r="AP71" s="83"/>
      <c r="AQ71" s="83"/>
      <c r="AR71" s="83"/>
      <c r="AS71" s="83"/>
      <c r="AT71" s="153"/>
      <c r="AU71" s="82" t="str">
        <f>IF([10]回答表!X50="●",[10]回答表!J145,IF([10]回答表!AA50="●",[10]回答表!J166,""))</f>
        <v/>
      </c>
      <c r="AV71" s="83"/>
      <c r="AW71" s="83"/>
      <c r="AX71" s="83"/>
      <c r="AY71" s="83"/>
      <c r="AZ71" s="83"/>
      <c r="BA71" s="83"/>
      <c r="BB71" s="153"/>
      <c r="BC71" s="120"/>
      <c r="BD71" s="109"/>
      <c r="BE71" s="109"/>
      <c r="BF71" s="150" t="str">
        <f>IF([10]回答表!X50="●",[10]回答表!V144,IF([10]回答表!AA50="●",[10]回答表!V165,""))</f>
        <v/>
      </c>
      <c r="BG71" s="151"/>
      <c r="BH71" s="151"/>
      <c r="BI71" s="151"/>
      <c r="BJ71" s="150" t="str">
        <f>IF([10]回答表!X50="●",[10]回答表!V145,IF([10]回答表!AA50="●",[10]回答表!V166,""))</f>
        <v/>
      </c>
      <c r="BK71" s="151"/>
      <c r="BL71" s="151"/>
      <c r="BM71" s="151"/>
      <c r="BN71" s="150" t="str">
        <f>IF([10]回答表!X50="●",[10]回答表!V146,IF([10]回答表!AA50="●",[10]回答表!V167,""))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IF([10]回答表!AA50="●","●","")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IF([10]回答表!X50="●",[10]回答表!E149,IF([10]回答表!AA50="●",[10]回答表!E170,""))</f>
        <v/>
      </c>
      <c r="V80" s="182"/>
      <c r="W80" s="182"/>
      <c r="X80" s="182"/>
      <c r="Y80" s="182"/>
      <c r="Z80" s="182"/>
      <c r="AA80" s="182"/>
      <c r="AB80" s="182"/>
      <c r="AC80" s="182"/>
      <c r="AD80" s="182"/>
      <c r="AE80" s="183" t="s">
        <v>33</v>
      </c>
      <c r="AF80" s="183"/>
      <c r="AG80" s="183"/>
      <c r="AH80" s="183"/>
      <c r="AI80" s="183"/>
      <c r="AJ80" s="184"/>
      <c r="AK80" s="136"/>
      <c r="AL80" s="136"/>
      <c r="AM80" s="133" t="str">
        <f>IF([10]回答表!X50="●",[10]回答表!B151,IF([10]回答表!AA50="●",[10]回答表!B172,""))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IF([10]回答表!AD50="●","●","")</f>
        <v/>
      </c>
      <c r="O87" s="131"/>
      <c r="P87" s="131"/>
      <c r="Q87" s="132"/>
      <c r="R87" s="119"/>
      <c r="S87" s="119"/>
      <c r="T87" s="119"/>
      <c r="U87" s="133" t="str">
        <f>IF([10]回答表!AD50="●",[10]回答表!B180,"")</f>
        <v/>
      </c>
      <c r="V87" s="134"/>
      <c r="W87" s="134"/>
      <c r="X87" s="134"/>
      <c r="Y87" s="134"/>
      <c r="Z87" s="134"/>
      <c r="AA87" s="134"/>
      <c r="AB87" s="134"/>
      <c r="AC87" s="134"/>
      <c r="AD87" s="134"/>
      <c r="AE87" s="134"/>
      <c r="AF87" s="134"/>
      <c r="AG87" s="134"/>
      <c r="AH87" s="134"/>
      <c r="AI87" s="134"/>
      <c r="AJ87" s="135"/>
      <c r="AK87" s="189"/>
      <c r="AL87" s="189"/>
      <c r="AM87" s="133" t="str">
        <f>IF([10]回答表!AD50="●",[10]回答表!B186,"")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IF([10]回答表!F18="水道事業",IF([10]回答表!X51="●","●",""),"")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IF([10]回答表!F18="水道事業",IF([10]回答表!X51="●",[10]回答表!B197,IF([10]回答表!AA51="●",[10]回答表!B275,"")),"")</f>
        <v/>
      </c>
      <c r="AN99" s="134"/>
      <c r="AO99" s="134"/>
      <c r="AP99" s="134"/>
      <c r="AQ99" s="134"/>
      <c r="AR99" s="134"/>
      <c r="AS99" s="134"/>
      <c r="AT99" s="134"/>
      <c r="AU99" s="134"/>
      <c r="AV99" s="134"/>
      <c r="AW99" s="134"/>
      <c r="AX99" s="134"/>
      <c r="AY99" s="134"/>
      <c r="AZ99" s="134"/>
      <c r="BA99" s="134"/>
      <c r="BB99" s="134"/>
      <c r="BC99" s="135"/>
      <c r="BD99" s="109"/>
      <c r="BE99" s="109"/>
      <c r="BF99" s="138" t="str">
        <f>IF([10]回答表!F18="水道事業",IF([10]回答表!X51="●",[10]回答表!B256,IF([10]回答表!AA51="●",[10]回答表!B335,"")),"")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IF([10]回答表!F18="水道事業",IF([10]回答表!X51="●",[10]回答表!J205,IF([10]回答表!AA51="●",[10]回答表!J283,"")),"")</f>
        <v/>
      </c>
      <c r="V101" s="83"/>
      <c r="W101" s="83"/>
      <c r="X101" s="83"/>
      <c r="Y101" s="83"/>
      <c r="Z101" s="83"/>
      <c r="AA101" s="83"/>
      <c r="AB101" s="153"/>
      <c r="AC101" s="82" t="str">
        <f>IF([10]回答表!F18="水道事業",IF([10]回答表!X51="●",[10]回答表!J210,IF([10]回答表!AA51="●",[10]回答表!J290,"")),"")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IF([10]回答表!F18="水道事業",IF([10]回答表!X51="●",[10]回答表!E256,IF([10]回答表!AA51="●",[10]回答表!E335,"")),"")</f>
        <v/>
      </c>
      <c r="BG102" s="151"/>
      <c r="BH102" s="151"/>
      <c r="BI102" s="151"/>
      <c r="BJ102" s="150" t="str">
        <f>IF([10]回答表!F18="水道事業",IF([10]回答表!X51="●",[10]回答表!E257,IF([10]回答表!AA51="●",[10]回答表!E336,"")),"")</f>
        <v/>
      </c>
      <c r="BK102" s="151"/>
      <c r="BL102" s="151"/>
      <c r="BM102" s="151"/>
      <c r="BN102" s="150" t="str">
        <f>IF([10]回答表!F18="水道事業",IF([10]回答表!X51="●",[10]回答表!E258,IF([10]回答表!AA51="●",[10]回答表!E337,"")),"")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IF([10]回答表!F18="水道事業",IF([10]回答表!AA51="●","●",""),"")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IF([10]回答表!F18="水道事業",IF([10]回答表!X51="●",[10]回答表!J213,IF([10]回答表!AA51="●",[10]回答表!J293,"")),"")</f>
        <v/>
      </c>
      <c r="V106" s="83"/>
      <c r="W106" s="83"/>
      <c r="X106" s="83"/>
      <c r="Y106" s="83"/>
      <c r="Z106" s="83"/>
      <c r="AA106" s="83"/>
      <c r="AB106" s="153"/>
      <c r="AC106" s="82" t="str">
        <f>IF([10]回答表!F18="水道事業",IF([10]回答表!X51="●",[10]回答表!J217,IF([10]回答表!AA51="●",[10]回答表!J297,"")),"")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IF([10]回答表!F18="水道事業",IF([10]回答表!X51="●",[10]回答表!E265,IF([10]回答表!AA51="●",[10]回答表!E344,"")),"")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IF([10]回答表!F18="水道事業",IF([10]回答表!X51="●",[10]回答表!B267,IF([10]回答表!AA51="●",[10]回答表!B346,"")),"")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IF([10]回答表!F18="水道事業",IF([10]回答表!AD51="●","●",""),"")</f>
        <v/>
      </c>
      <c r="O118" s="131"/>
      <c r="P118" s="131"/>
      <c r="Q118" s="132"/>
      <c r="R118" s="119"/>
      <c r="S118" s="119"/>
      <c r="T118" s="119"/>
      <c r="U118" s="133" t="str">
        <f>IF([10]回答表!F18="水道事業",IF([10]回答表!AD51="●",[10]回答表!B354,""),"")</f>
        <v/>
      </c>
      <c r="V118" s="134"/>
      <c r="W118" s="134"/>
      <c r="X118" s="134"/>
      <c r="Y118" s="134"/>
      <c r="Z118" s="134"/>
      <c r="AA118" s="134"/>
      <c r="AB118" s="134"/>
      <c r="AC118" s="134"/>
      <c r="AD118" s="134"/>
      <c r="AE118" s="134"/>
      <c r="AF118" s="134"/>
      <c r="AG118" s="134"/>
      <c r="AH118" s="134"/>
      <c r="AI118" s="134"/>
      <c r="AJ118" s="135"/>
      <c r="AK118" s="189"/>
      <c r="AL118" s="189"/>
      <c r="AM118" s="133" t="str">
        <f>IF([10]回答表!F18="水道事業",IF([10]回答表!AD51="●",[10]回答表!B360,""),"")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IF([10]回答表!F18="簡易水道事業",IF([10]回答表!X51="●",[10]回答表!B197,IF([10]回答表!AA51="●",[10]回答表!B275,"")),"")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IF([10]回答表!F18="簡易水道事業",IF([10]回答表!X51="●",[10]回答表!B256,IF([10]回答表!AA51="●",[10]回答表!B335,"")),"")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IF([10]回答表!F18="簡易水道事業",IF([10]回答表!X51="●","●",""),"")</f>
        <v/>
      </c>
      <c r="O132" s="131"/>
      <c r="P132" s="131"/>
      <c r="Q132" s="132"/>
      <c r="R132" s="119"/>
      <c r="S132" s="119"/>
      <c r="T132" s="119"/>
      <c r="U132" s="82" t="str">
        <f>IF([10]回答表!F18="簡易水道事業",IF([10]回答表!X51="●",[10]回答表!S224,IF([10]回答表!AA51="●",[10]回答表!S304,"")),"")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IF([10]回答表!F18="簡易水道事業",IF([10]回答表!X51="●",[10]回答表!E256,IF([10]回答表!AA51="●",[10]回答表!E335,"")),"")</f>
        <v/>
      </c>
      <c r="BG133" s="151"/>
      <c r="BH133" s="151"/>
      <c r="BI133" s="151"/>
      <c r="BJ133" s="150" t="str">
        <f>IF([10]回答表!F18="簡易水道事業",IF([10]回答表!X51="●",[10]回答表!E257,IF([10]回答表!AA51="●",[10]回答表!E336,"")),"")</f>
        <v/>
      </c>
      <c r="BK133" s="151"/>
      <c r="BL133" s="151"/>
      <c r="BM133" s="151"/>
      <c r="BN133" s="150" t="str">
        <f>IF([10]回答表!F18="簡易水道事業",IF([10]回答表!X51="●",[10]回答表!E258,IF([10]回答表!AA51="●",[10]回答表!E337,"")),"")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IF([10]回答表!F18="簡易水道事業",IF([10]回答表!X51="●",[10]回答表!S225,IF([10]回答表!AA51="●",[10]回答表!S305,"")),"")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IF([10]回答表!F18="簡易水道事業",IF([10]回答表!AA51="●","●",""),"")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IF([10]回答表!F18="簡易水道事業",IF([10]回答表!X51="●",[10]回答表!S226,IF([10]回答表!AA51="●",[10]回答表!S306,"")),"")</f>
        <v/>
      </c>
      <c r="V142" s="83"/>
      <c r="W142" s="83"/>
      <c r="X142" s="83"/>
      <c r="Y142" s="83"/>
      <c r="Z142" s="83"/>
      <c r="AA142" s="83"/>
      <c r="AB142" s="83"/>
      <c r="AC142" s="83"/>
      <c r="AD142" s="83"/>
      <c r="AE142" s="83"/>
      <c r="AF142" s="83"/>
      <c r="AG142" s="83"/>
      <c r="AH142" s="83"/>
      <c r="AI142" s="83"/>
      <c r="AJ142" s="153"/>
      <c r="AK142" s="68"/>
      <c r="AL142" s="68"/>
      <c r="AM142" s="231" t="str">
        <f>IF([10]回答表!F18="簡易水道事業",IF([10]回答表!X51="●",[10]回答表!Y228,IF([10]回答表!AA51="●",[10]回答表!Y308,"")),"")</f>
        <v/>
      </c>
      <c r="AN142" s="231"/>
      <c r="AO142" s="231"/>
      <c r="AP142" s="231"/>
      <c r="AQ142" s="231"/>
      <c r="AR142" s="231"/>
      <c r="AS142" s="231" t="str">
        <f>IF([10]回答表!F18="簡易水道事業",IF([10]回答表!X51="●",[10]回答表!Y229,IF([10]回答表!AA51="●",[10]回答表!Y309,"")),"")</f>
        <v/>
      </c>
      <c r="AT142" s="231"/>
      <c r="AU142" s="231"/>
      <c r="AV142" s="231"/>
      <c r="AW142" s="231"/>
      <c r="AX142" s="231"/>
      <c r="AY142" s="231" t="str">
        <f>IF([10]回答表!F18="簡易水道事業",IF([10]回答表!X51="●",[10]回答表!Y230,IF([10]回答表!AA51="●",[10]回答表!Y310,"")),"")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IF([10]回答表!F18="簡易水道事業",IF([10]回答表!X51="●",[10]回答表!E265,IF([10]回答表!AA51="●",[10]回答表!E344,"")),"")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IF([10]回答表!F18="簡易水道事業",IF([10]回答表!X51="●",[10]回答表!B267,IF([10]回答表!AA51="●",[10]回答表!B346,"")),"")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IF([10]回答表!F18="簡易水道事業",IF([10]回答表!AD51="●","●",""),"")</f>
        <v/>
      </c>
      <c r="O154" s="131"/>
      <c r="P154" s="131"/>
      <c r="Q154" s="132"/>
      <c r="R154" s="119"/>
      <c r="S154" s="119"/>
      <c r="T154" s="119"/>
      <c r="U154" s="133" t="str">
        <f>IF([10]回答表!F18="簡易水道事業",IF([10]回答表!AD51="●",[10]回答表!B354,""),"")</f>
        <v/>
      </c>
      <c r="V154" s="134"/>
      <c r="W154" s="134"/>
      <c r="X154" s="134"/>
      <c r="Y154" s="134"/>
      <c r="Z154" s="134"/>
      <c r="AA154" s="134"/>
      <c r="AB154" s="134"/>
      <c r="AC154" s="134"/>
      <c r="AD154" s="134"/>
      <c r="AE154" s="134"/>
      <c r="AF154" s="134"/>
      <c r="AG154" s="134"/>
      <c r="AH154" s="134"/>
      <c r="AI154" s="134"/>
      <c r="AJ154" s="135"/>
      <c r="AK154" s="189"/>
      <c r="AL154" s="189"/>
      <c r="AM154" s="133" t="str">
        <f>IF([10]回答表!F18="簡易水道事業",IF([10]回答表!AD51="●",[10]回答表!B360,""),"")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IF([10]回答表!F18="下水道事業",IF([10]回答表!X51="●","●",""),"")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IF([10]回答表!F18="下水道事業",IF([10]回答表!X51="●",[10]回答表!B197,IF([10]回答表!AA51="●",[10]回答表!B275,"")),"")</f>
        <v>　真中地区農業集落排水施設の終末処理場の老朽化に伴い大館処理区の終末処理場へ接続管等を整備する。現在の同等施設の更新建設事業費と大館処理区終末処理場への接続管渠等の整備事業と比較すると220百万円の削減が見込まれるほか、維持管理費等も6百万円/年の削減が見込まれ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IF([10]回答表!F18="下水道事業",IF([10]回答表!X51="●",[10]回答表!B256,IF([10]回答表!AA51="●",[10]回答表!B335,"")),"")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IF([10]回答表!F18="下水道事業",IF([10]回答表!X51="●",[10]回答表!N234,IF([10]回答表!AA51="●",[10]回答表!N314,"")),"")</f>
        <v xml:space="preserve">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IF([10]回答表!F18="下水道事業",IF([10]回答表!X51="●",[10]回答表!E256,IF([10]回答表!AA51="●",[10]回答表!E335,"")),"")</f>
        <v>5</v>
      </c>
      <c r="BG169" s="151"/>
      <c r="BH169" s="151"/>
      <c r="BI169" s="151"/>
      <c r="BJ169" s="150">
        <f>IF([10]回答表!F18="下水道事業",IF([10]回答表!X51="●",[10]回答表!E257,IF([10]回答表!AA51="●",[10]回答表!E336,"")),"")</f>
        <v>3</v>
      </c>
      <c r="BK169" s="151"/>
      <c r="BL169" s="151"/>
      <c r="BM169" s="151"/>
      <c r="BN169" s="150">
        <f>IF([10]回答表!F18="下水道事業",IF([10]回答表!X51="●",[10]回答表!E258,IF([10]回答表!AA51="●",[10]回答表!E337,"")),"")</f>
        <v>31</v>
      </c>
      <c r="BO169" s="151"/>
      <c r="BP169" s="151"/>
      <c r="BQ169" s="152"/>
      <c r="BR169" s="112"/>
      <c r="BX169" s="234" t="str">
        <f>IF([10]回答表!AQ21="下水道事業",IF([10]回答表!BI54="○",[10]回答表!AM200,IF([10]回答表!BL54="○",[10]回答表!AM278,"")),"")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IF([10]回答表!F18="下水道事業",IF([10]回答表!X51="●",[10]回答表!Y236,IF([10]回答表!AA51="●",[10]回答表!Y316,"")),"")</f>
        <v xml:space="preserve"> </v>
      </c>
      <c r="V174" s="83"/>
      <c r="W174" s="83"/>
      <c r="X174" s="83"/>
      <c r="Y174" s="83"/>
      <c r="Z174" s="83"/>
      <c r="AA174" s="83"/>
      <c r="AB174" s="153"/>
      <c r="AC174" s="82" t="str">
        <f>IF([10]回答表!F18="下水道事業",IF([10]回答表!X51="●",[10]回答表!Y237,IF([10]回答表!AA51="●",[10]回答表!Y317,"")),"")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IF([10]回答表!F18="下水道事業",IF([10]回答表!X51="●",[10]回答表!Y239,IF([10]回答表!AA51="●",[10]回答表!Y319,"")),"")</f>
        <v xml:space="preserve"> </v>
      </c>
      <c r="V180" s="83"/>
      <c r="W180" s="83"/>
      <c r="X180" s="83"/>
      <c r="Y180" s="83"/>
      <c r="Z180" s="83"/>
      <c r="AA180" s="83"/>
      <c r="AB180" s="153"/>
      <c r="AC180" s="82" t="str">
        <f>IF([10]回答表!F18="下水道事業",IF([10]回答表!X51="●",[10]回答表!Y240,IF([10]回答表!AA51="●",[10]回答表!Y320,"")),"")</f>
        <v xml:space="preserve"> </v>
      </c>
      <c r="AD180" s="83"/>
      <c r="AE180" s="83"/>
      <c r="AF180" s="83"/>
      <c r="AG180" s="83"/>
      <c r="AH180" s="83"/>
      <c r="AI180" s="83"/>
      <c r="AJ180" s="153"/>
      <c r="AK180" s="82" t="str">
        <f>IF([10]回答表!F18="下水道事業",IF([10]回答表!X51="●",[10]回答表!Y241,IF([10]回答表!AA51="●",[10]回答表!Y321,"")),"")</f>
        <v>●</v>
      </c>
      <c r="AL180" s="83"/>
      <c r="AM180" s="83"/>
      <c r="AN180" s="83"/>
      <c r="AO180" s="83"/>
      <c r="AP180" s="83"/>
      <c r="AQ180" s="83"/>
      <c r="AR180" s="153"/>
      <c r="AS180" s="82" t="str">
        <f>IF([10]回答表!F18="下水道事業",IF([10]回答表!X51="●",[10]回答表!Y242,IF([10]回答表!AA51="●",[10]回答表!Y322,"")),"")</f>
        <v xml:space="preserve"> </v>
      </c>
      <c r="AT180" s="83"/>
      <c r="AU180" s="83"/>
      <c r="AV180" s="83"/>
      <c r="AW180" s="83"/>
      <c r="AX180" s="83"/>
      <c r="AY180" s="83"/>
      <c r="AZ180" s="153"/>
      <c r="BA180" s="82" t="str">
        <f>IF([10]回答表!F18="下水道事業",IF([10]回答表!X51="●",[10]回答表!Y243,IF([10]回答表!AA51="●",[10]回答表!Y323,"")),"")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IF([10]回答表!F18="下水道事業",IF([10]回答表!AA51="●","●",""),"")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IF([10]回答表!F18="下水道事業",IF([10]回答表!X51="●",[10]回答表!N248,IF([10]回答表!AA51="●",[10]回答表!N328,"")),"")</f>
        <v xml:space="preserve"> </v>
      </c>
      <c r="V186" s="83"/>
      <c r="W186" s="83"/>
      <c r="X186" s="83"/>
      <c r="Y186" s="83"/>
      <c r="Z186" s="83"/>
      <c r="AA186" s="83"/>
      <c r="AB186" s="153"/>
      <c r="AC186" s="82" t="str">
        <f>IF([10]回答表!F18="下水道事業",IF([10]回答表!X51="●",[10]回答表!N249,IF([10]回答表!AA51="●",[10]回答表!N329,"")),"")</f>
        <v xml:space="preserve"> </v>
      </c>
      <c r="AD186" s="83"/>
      <c r="AE186" s="83"/>
      <c r="AF186" s="83"/>
      <c r="AG186" s="83"/>
      <c r="AH186" s="83"/>
      <c r="AI186" s="83"/>
      <c r="AJ186" s="153"/>
      <c r="AK186" s="82" t="str">
        <f>IF([10]回答表!F18="下水道事業",IF([10]回答表!X51="●",[10]回答表!N250,IF([10]回答表!AA51="●",[10]回答表!N330,"")),"")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IF([10]回答表!F18="下水道事業",IF([10]回答表!X51="●",[10]回答表!E265,IF([10]回答表!AA51="●",[10]回答表!E344,"")),"")</f>
        <v>10.54</v>
      </c>
      <c r="V191" s="182"/>
      <c r="W191" s="182"/>
      <c r="X191" s="182"/>
      <c r="Y191" s="182"/>
      <c r="Z191" s="182"/>
      <c r="AA191" s="182"/>
      <c r="AB191" s="182"/>
      <c r="AC191" s="182"/>
      <c r="AD191" s="182"/>
      <c r="AE191" s="183" t="s">
        <v>33</v>
      </c>
      <c r="AF191" s="183"/>
      <c r="AG191" s="183"/>
      <c r="AH191" s="183"/>
      <c r="AI191" s="183"/>
      <c r="AJ191" s="184"/>
      <c r="AK191" s="136"/>
      <c r="AL191" s="136"/>
      <c r="AM191" s="133" t="str">
        <f>IF([10]回答表!F18="下水道事業",IF([10]回答表!X51="●",[10]回答表!B267,IF([10]回答表!AA51="●",[10]回答表!B346,"")),"")</f>
        <v>●建設事業費　227百万円（耐用年数50年/年4.54百万円）の削減見込み
●維持管理費　6百万円/年の削減見込み</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IF([10]回答表!F18="下水道事業",IF([10]回答表!AD51="●","●",""),"")</f>
        <v/>
      </c>
      <c r="O198" s="131"/>
      <c r="P198" s="131"/>
      <c r="Q198" s="132"/>
      <c r="R198" s="119"/>
      <c r="S198" s="119"/>
      <c r="T198" s="119"/>
      <c r="U198" s="133" t="str">
        <f>IF([10]回答表!F18="下水道事業",IF([10]回答表!AD51="●",[10]回答表!B354,""),"")</f>
        <v/>
      </c>
      <c r="V198" s="134"/>
      <c r="W198" s="134"/>
      <c r="X198" s="134"/>
      <c r="Y198" s="134"/>
      <c r="Z198" s="134"/>
      <c r="AA198" s="134"/>
      <c r="AB198" s="134"/>
      <c r="AC198" s="134"/>
      <c r="AD198" s="134"/>
      <c r="AE198" s="134"/>
      <c r="AF198" s="134"/>
      <c r="AG198" s="134"/>
      <c r="AH198" s="134"/>
      <c r="AI198" s="134"/>
      <c r="AJ198" s="135"/>
      <c r="AK198" s="189"/>
      <c r="AL198" s="189"/>
      <c r="AM198" s="133" t="str">
        <f>IF([10]回答表!F18="下水道事業",IF([10]回答表!AD51="●",[10]回答表!B360,""),"")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IF([10]回答表!BD18="●",IF([10]回答表!X51="●","●",""),"")</f>
        <v/>
      </c>
      <c r="O210" s="131"/>
      <c r="P210" s="131"/>
      <c r="Q210" s="132"/>
      <c r="R210" s="119"/>
      <c r="S210" s="119"/>
      <c r="T210" s="119"/>
      <c r="U210" s="133" t="str">
        <f>IF([10]回答表!BD18="●",IF([10]回答表!X51="●",[10]回答表!B197,IF([10]回答表!AA51="●",[10]回答表!B275,"")),"")</f>
        <v/>
      </c>
      <c r="V210" s="134"/>
      <c r="W210" s="134"/>
      <c r="X210" s="134"/>
      <c r="Y210" s="134"/>
      <c r="Z210" s="134"/>
      <c r="AA210" s="134"/>
      <c r="AB210" s="134"/>
      <c r="AC210" s="134"/>
      <c r="AD210" s="134"/>
      <c r="AE210" s="134"/>
      <c r="AF210" s="134"/>
      <c r="AG210" s="134"/>
      <c r="AH210" s="134"/>
      <c r="AI210" s="134"/>
      <c r="AJ210" s="135"/>
      <c r="AK210" s="136"/>
      <c r="AL210" s="136"/>
      <c r="AM210" s="138" t="str">
        <f>IF([10]回答表!BD18="●",IF([10]回答表!X51="●",[10]回答表!B256,IF([10]回答表!AA51="●",[10]回答表!B335,"")),"")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IF([10]回答表!BD18="●",IF([10]回答表!X51="●",[10]回答表!E256,IF([10]回答表!AA51="●",[10]回答表!E335,"")),"")</f>
        <v/>
      </c>
      <c r="AN213" s="151"/>
      <c r="AO213" s="151"/>
      <c r="AP213" s="151"/>
      <c r="AQ213" s="150" t="str">
        <f>IF([10]回答表!BD18="●",IF([10]回答表!X51="●",[10]回答表!E257,IF([10]回答表!AA51="●",[10]回答表!E336,"")),"")</f>
        <v/>
      </c>
      <c r="AR213" s="151"/>
      <c r="AS213" s="151"/>
      <c r="AT213" s="151"/>
      <c r="AU213" s="150" t="str">
        <f>IF([10]回答表!BD18="●",IF([10]回答表!X51="●",[10]回答表!E258,IF([10]回答表!AA51="●",[10]回答表!E337,"")),"")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IF([10]回答表!BD18="●",IF([10]回答表!AA51="●","●",""),"")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IF([10]回答表!BD18="●",IF([10]回答表!X51="●",[10]回答表!E265,IF([10]回答表!AA51="●",[10]回答表!E344,"")),"")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IF([10]回答表!BD18="●",IF([10]回答表!X51="●",[10]回答表!B267,IF([10]回答表!AA51="●",[10]回答表!B346,"")),"")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IF([10]回答表!BD18="●",IF([10]回答表!AD51="●","●",""),"")</f>
        <v/>
      </c>
      <c r="O229" s="131"/>
      <c r="P229" s="131"/>
      <c r="Q229" s="132"/>
      <c r="R229" s="119"/>
      <c r="S229" s="119"/>
      <c r="T229" s="119"/>
      <c r="U229" s="133" t="str">
        <f>IF([10]回答表!BD18="●",IF([10]回答表!AD51="●",[10]回答表!B354,""),"")</f>
        <v/>
      </c>
      <c r="V229" s="134"/>
      <c r="W229" s="134"/>
      <c r="X229" s="134"/>
      <c r="Y229" s="134"/>
      <c r="Z229" s="134"/>
      <c r="AA229" s="134"/>
      <c r="AB229" s="134"/>
      <c r="AC229" s="134"/>
      <c r="AD229" s="134"/>
      <c r="AE229" s="134"/>
      <c r="AF229" s="134"/>
      <c r="AG229" s="134"/>
      <c r="AH229" s="134"/>
      <c r="AI229" s="134"/>
      <c r="AJ229" s="135"/>
      <c r="AK229" s="249"/>
      <c r="AL229" s="249"/>
      <c r="AM229" s="133" t="str">
        <f>IF([10]回答表!BD18="●",IF([10]回答表!AD51="●",[10]回答表!B360,""),"")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IF([10]回答表!X52="●","●","")</f>
        <v/>
      </c>
      <c r="O241" s="131"/>
      <c r="P241" s="131"/>
      <c r="Q241" s="132"/>
      <c r="R241" s="119"/>
      <c r="S241" s="119"/>
      <c r="T241" s="119"/>
      <c r="U241" s="133" t="str">
        <f>IF([10]回答表!X52="●",[10]回答表!B371,IF([10]回答表!AA52="●",[10]回答表!B396,""))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IF([10]回答表!X52="●",[10]回答表!U377,IF([10]回答表!AA52="●",[10]回答表!U402,""))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IF([10]回答表!X52="●",[10]回答表!G377,IF([10]回答表!AA52="●",[10]回答表!G402,""))</f>
        <v/>
      </c>
      <c r="AN244" s="83"/>
      <c r="AO244" s="83"/>
      <c r="AP244" s="83"/>
      <c r="AQ244" s="83"/>
      <c r="AR244" s="83"/>
      <c r="AS244" s="83"/>
      <c r="AT244" s="153"/>
      <c r="AU244" s="82" t="str">
        <f>IF([10]回答表!X52="●",[10]回答表!G378,IF([10]回答表!AA52="●",[10]回答表!G403,""))</f>
        <v/>
      </c>
      <c r="AV244" s="83"/>
      <c r="AW244" s="83"/>
      <c r="AX244" s="83"/>
      <c r="AY244" s="83"/>
      <c r="AZ244" s="83"/>
      <c r="BA244" s="83"/>
      <c r="BB244" s="153"/>
      <c r="BC244" s="120"/>
      <c r="BD244" s="109"/>
      <c r="BE244" s="109"/>
      <c r="BF244" s="150" t="str">
        <f>IF([10]回答表!X52="●",[10]回答表!X377,IF([10]回答表!AA52="●",[10]回答表!X402,""))</f>
        <v/>
      </c>
      <c r="BG244" s="151"/>
      <c r="BH244" s="151"/>
      <c r="BI244" s="151"/>
      <c r="BJ244" s="150" t="str">
        <f>IF([10]回答表!X52="●",[10]回答表!X378,IF([10]回答表!AA52="●",[10]回答表!X403,""))</f>
        <v/>
      </c>
      <c r="BK244" s="151"/>
      <c r="BL244" s="151"/>
      <c r="BM244" s="152"/>
      <c r="BN244" s="150" t="str">
        <f>IF([10]回答表!X52="●",[10]回答表!X379,IF([10]回答表!AA52="●",[10]回答表!X404,""))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IF([10]回答表!AA52="●","●","")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IF([10]回答表!X52="●",[10]回答表!E386,IF([10]回答表!AA52="●",[10]回答表!E407,""))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IF([10]回答表!X52="●",[10]回答表!B388,IF([10]回答表!AA52="●",[10]回答表!B409,""))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IF([10]回答表!AD52="●","●","")</f>
        <v/>
      </c>
      <c r="O260" s="131"/>
      <c r="P260" s="131"/>
      <c r="Q260" s="132"/>
      <c r="R260" s="119"/>
      <c r="S260" s="119"/>
      <c r="T260" s="119"/>
      <c r="U260" s="133" t="str">
        <f>IF([10]回答表!AD52="●",[10]回答表!B417,"")</f>
        <v/>
      </c>
      <c r="V260" s="134"/>
      <c r="W260" s="134"/>
      <c r="X260" s="134"/>
      <c r="Y260" s="134"/>
      <c r="Z260" s="134"/>
      <c r="AA260" s="134"/>
      <c r="AB260" s="134"/>
      <c r="AC260" s="134"/>
      <c r="AD260" s="134"/>
      <c r="AE260" s="134"/>
      <c r="AF260" s="134"/>
      <c r="AG260" s="134"/>
      <c r="AH260" s="134"/>
      <c r="AI260" s="134"/>
      <c r="AJ260" s="135"/>
      <c r="AK260" s="249"/>
      <c r="AL260" s="249"/>
      <c r="AM260" s="133" t="str">
        <f>IF([10]回答表!AD52="●",[10]回答表!B423,"")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IF([10]回答表!X53="●","●","")</f>
        <v/>
      </c>
      <c r="O272" s="131"/>
      <c r="P272" s="131"/>
      <c r="Q272" s="132"/>
      <c r="R272" s="119"/>
      <c r="S272" s="119"/>
      <c r="T272" s="119"/>
      <c r="U272" s="133" t="str">
        <f>IF([10]回答表!X53="●",[10]回答表!B434,IF([10]回答表!AA53="●",[10]回答表!B465,""))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IF([10]回答表!X53="●",[10]回答表!B440,"")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IF([10]回答表!X53="●",[10]回答表!B446,IF([10]回答表!AA53="●",[10]回答表!B471,""))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IF([10]回答表!X53="●",[10]回答表!E446,IF([10]回答表!AA53="●",[10]回答表!E471,""))</f>
        <v/>
      </c>
      <c r="BG275" s="151"/>
      <c r="BH275" s="151"/>
      <c r="BI275" s="151"/>
      <c r="BJ275" s="150" t="str">
        <f>IF([10]回答表!X53="●",[10]回答表!E447,IF([10]回答表!AA53="●",[10]回答表!E472,""))</f>
        <v/>
      </c>
      <c r="BK275" s="151"/>
      <c r="BL275" s="151"/>
      <c r="BM275" s="152"/>
      <c r="BN275" s="150" t="str">
        <f>IF([10]回答表!X53="●",[10]回答表!E448,IF([10]回答表!AA53="●",[10]回答表!E473,""))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IF([10]回答表!AA53="●","●","")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IF([10]回答表!X53="●",[10]回答表!E455,IF([10]回答表!AA53="●",[10]回答表!E476,""))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IF([10]回答表!X53="●",[10]回答表!B457,IF([10]回答表!AA53="●",[10]回答表!B478,""))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IF([10]回答表!AD53="●","●","")</f>
        <v/>
      </c>
      <c r="O291" s="131"/>
      <c r="P291" s="131"/>
      <c r="Q291" s="132"/>
      <c r="R291" s="119"/>
      <c r="S291" s="119"/>
      <c r="T291" s="119"/>
      <c r="U291" s="133" t="str">
        <f>IF([10]回答表!AD53="●",[10]回答表!B486,"")</f>
        <v/>
      </c>
      <c r="V291" s="134"/>
      <c r="W291" s="134"/>
      <c r="X291" s="134"/>
      <c r="Y291" s="134"/>
      <c r="Z291" s="134"/>
      <c r="AA291" s="134"/>
      <c r="AB291" s="134"/>
      <c r="AC291" s="134"/>
      <c r="AD291" s="134"/>
      <c r="AE291" s="134"/>
      <c r="AF291" s="134"/>
      <c r="AG291" s="134"/>
      <c r="AH291" s="134"/>
      <c r="AI291" s="134"/>
      <c r="AJ291" s="135"/>
      <c r="AK291" s="249"/>
      <c r="AL291" s="249"/>
      <c r="AM291" s="133" t="str">
        <f>IF([10]回答表!AD53="●",[10]回答表!B492,"")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IF([10]回答表!X54="●","●","")</f>
        <v>●</v>
      </c>
      <c r="O303" s="131"/>
      <c r="P303" s="131"/>
      <c r="Q303" s="132"/>
      <c r="R303" s="119"/>
      <c r="S303" s="119"/>
      <c r="T303" s="119"/>
      <c r="U303" s="133" t="str">
        <f>IF([10]回答表!X54="●",[10]回答表!B503,IF([10]回答表!AA54="●",[10]回答表!B526,""))</f>
        <v>　PPP手法を導入したことにより、市が行う住民説明会、道路占用申請、工事設計の積算を民が行うことにより市の負担が軽減された。また、従来の工事は手続きの関係もあり7月から3月までの工期となり、実質工期は9か月に対し、複数年で発注したことにより工期設定が最大36か月の施工となり、完成までの工期の短縮効果が期待される。通常(単年度)発注では工事費が1,680百万円に対し、DB発注では1,510百万円となり170百万円の削減が見込まれる。</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IF([10]回答表!X54="●",[10]回答表!BC510,IF([10]回答表!AA54="●",[10]回答表!BC533,""))</f>
        <v>　</v>
      </c>
      <c r="AR303" s="271"/>
      <c r="AS303" s="271"/>
      <c r="AT303" s="271"/>
      <c r="AU303" s="272" t="s">
        <v>74</v>
      </c>
      <c r="AV303" s="273"/>
      <c r="AW303" s="273"/>
      <c r="AX303" s="274"/>
      <c r="AY303" s="271" t="str">
        <f>IF([10]回答表!X54="●",[10]回答表!BC515,IF([10]回答表!AA54="●",[10]回答表!BC538,""))</f>
        <v>　</v>
      </c>
      <c r="AZ303" s="271"/>
      <c r="BA303" s="271"/>
      <c r="BB303" s="271"/>
      <c r="BC303" s="120"/>
      <c r="BD303" s="109"/>
      <c r="BE303" s="109"/>
      <c r="BF303" s="138" t="str">
        <f>IF([10]回答表!X54="●",[10]回答表!S509,IF([10]回答表!AA54="●",[10]回答表!S532,""))</f>
        <v>令和</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IF([10]回答表!X54="●",[10]回答表!BC511,IF([10]回答表!AA54="●",[10]回答表!BC534,""))</f>
        <v>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f>IF([10]回答表!X54="●",[10]回答表!V509,IF([10]回答表!AA54="●",[10]回答表!V532,""))</f>
        <v>1</v>
      </c>
      <c r="BG306" s="151"/>
      <c r="BH306" s="151"/>
      <c r="BI306" s="151"/>
      <c r="BJ306" s="150">
        <f>IF([10]回答表!X54="●",[10]回答表!V510,IF([10]回答表!AA54="●",[10]回答表!V533,""))</f>
        <v>5</v>
      </c>
      <c r="BK306" s="151"/>
      <c r="BL306" s="151"/>
      <c r="BM306" s="152"/>
      <c r="BN306" s="150">
        <f>IF([10]回答表!X54="●",[10]回答表!V511,IF([10]回答表!AA54="●",[10]回答表!V534,""))</f>
        <v>28</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IF([10]回答表!X54="●",[10]回答表!BC512,IF([10]回答表!AA54="●",[10]回答表!BC535,""))</f>
        <v>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IF([10]回答表!X54="●",[10]回答表!BC516,IF([10]回答表!AA54="●",[10]回答表!BC539,""))</f>
        <v>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IF([10]回答表!AA54="●","●","")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IF([10]回答表!X54="●",[10]回答表!BC513,IF([10]回答表!AA54="●",[10]回答表!BC536,""))</f>
        <v>●</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IF([10]回答表!X54="●",[10]回答表!BC514,IF([10]回答表!AA54="●",[10]回答表!BC537,""))</f>
        <v>　</v>
      </c>
      <c r="AR311" s="271"/>
      <c r="AS311" s="271"/>
      <c r="AT311" s="271"/>
      <c r="AU311" s="222" t="s">
        <v>80</v>
      </c>
      <c r="AV311" s="223"/>
      <c r="AW311" s="223"/>
      <c r="AX311" s="224"/>
      <c r="AY311" s="281" t="str">
        <f>IF([10]回答表!X54="●",[10]回答表!BC517,IF([10]回答表!AA54="●",[10]回答表!BC540,""))</f>
        <v>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f>IF([10]回答表!X54="●",[10]回答表!E516,IF([10]回答表!AA54="●",[10]回答表!E538,""))</f>
        <v>3.4</v>
      </c>
      <c r="V315" s="182"/>
      <c r="W315" s="182"/>
      <c r="X315" s="182"/>
      <c r="Y315" s="182"/>
      <c r="Z315" s="182"/>
      <c r="AA315" s="182"/>
      <c r="AB315" s="182"/>
      <c r="AC315" s="182"/>
      <c r="AD315" s="182"/>
      <c r="AE315" s="183" t="s">
        <v>33</v>
      </c>
      <c r="AF315" s="183"/>
      <c r="AG315" s="183"/>
      <c r="AH315" s="183"/>
      <c r="AI315" s="183"/>
      <c r="AJ315" s="184"/>
      <c r="AK315" s="136"/>
      <c r="AL315" s="136"/>
      <c r="AM315" s="133" t="str">
        <f>IF([10]回答表!X54="●",[10]回答表!B518,IF([10]回答表!AA54="●",[10]回答表!B540,""))</f>
        <v>建設改良費  170百万円の削減見込み
　(管渠耐用年数/50年：年3.4百万円)</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IF([10]回答表!AD54="●","●","")</f>
        <v/>
      </c>
      <c r="O322" s="131"/>
      <c r="P322" s="131"/>
      <c r="Q322" s="132"/>
      <c r="R322" s="119"/>
      <c r="S322" s="119"/>
      <c r="T322" s="119"/>
      <c r="U322" s="133" t="str">
        <f>IF([10]回答表!AD54="●",[10]回答表!B548,"")</f>
        <v/>
      </c>
      <c r="V322" s="134"/>
      <c r="W322" s="134"/>
      <c r="X322" s="134"/>
      <c r="Y322" s="134"/>
      <c r="Z322" s="134"/>
      <c r="AA322" s="134"/>
      <c r="AB322" s="134"/>
      <c r="AC322" s="134"/>
      <c r="AD322" s="134"/>
      <c r="AE322" s="134"/>
      <c r="AF322" s="134"/>
      <c r="AG322" s="134"/>
      <c r="AH322" s="134"/>
      <c r="AI322" s="134"/>
      <c r="AJ322" s="135"/>
      <c r="AK322" s="189"/>
      <c r="AL322" s="189"/>
      <c r="AM322" s="133" t="str">
        <f>IF([10]回答表!AD54="●",[10]回答表!B554,"")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IF([10]回答表!X55="●","●","")</f>
        <v/>
      </c>
      <c r="O333" s="131"/>
      <c r="P333" s="131"/>
      <c r="Q333" s="132"/>
      <c r="R333" s="119"/>
      <c r="S333" s="119"/>
      <c r="T333" s="119"/>
      <c r="U333" s="133" t="str">
        <f>IF([10]回答表!X55="●",[10]回答表!B565,IF([10]回答表!AA55="●",[10]回答表!B590,""))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IF([10]回答表!X55="●",[10]回答表!B575,IF([10]回答表!AA55="●",[10]回答表!B600,""))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IF([10]回答表!X55="●",[10]回答表!G571,IF([10]回答表!AA55="●",[10]回答表!G596,""))</f>
        <v/>
      </c>
      <c r="AN335" s="83"/>
      <c r="AO335" s="83"/>
      <c r="AP335" s="83"/>
      <c r="AQ335" s="83"/>
      <c r="AR335" s="83"/>
      <c r="AS335" s="83"/>
      <c r="AT335" s="153"/>
      <c r="AU335" s="82" t="str">
        <f>IF([10]回答表!X55="●",[10]回答表!G572,IF([10]回答表!AA55="●",[10]回答表!G597,""))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IF([10]回答表!X55="●",[10]回答表!E575,IF([10]回答表!AA55="●",[10]回答表!E600,""))</f>
        <v/>
      </c>
      <c r="BG336" s="151"/>
      <c r="BH336" s="151"/>
      <c r="BI336" s="151"/>
      <c r="BJ336" s="150" t="str">
        <f>IF([10]回答表!X55="●",[10]回答表!E576,IF([10]回答表!AA55="●",[10]回答表!E601,""))</f>
        <v/>
      </c>
      <c r="BK336" s="151"/>
      <c r="BL336" s="151"/>
      <c r="BM336" s="152"/>
      <c r="BN336" s="150" t="str">
        <f>IF([10]回答表!X55="●",[10]回答表!E577,IF([10]回答表!AA55="●",[10]回答表!E602,""))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IF([10]回答表!AA55="●","●","")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IF([10]回答表!X55="●",[10]回答表!E580,IF([10]回答表!AA55="●",[10]回答表!E605,""))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IF([10]回答表!X55="●",[10]回答表!B582,IF([10]回答表!AA55="●",[10]回答表!B607,""))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IF([10]回答表!AD55="●","●","")</f>
        <v/>
      </c>
      <c r="O352" s="131"/>
      <c r="P352" s="131"/>
      <c r="Q352" s="132"/>
      <c r="R352" s="119"/>
      <c r="S352" s="119"/>
      <c r="T352" s="119"/>
      <c r="U352" s="133" t="str">
        <f>IF([10]回答表!AD55="●",[10]回答表!B615,"")</f>
        <v/>
      </c>
      <c r="V352" s="134"/>
      <c r="W352" s="134"/>
      <c r="X352" s="134"/>
      <c r="Y352" s="134"/>
      <c r="Z352" s="134"/>
      <c r="AA352" s="134"/>
      <c r="AB352" s="134"/>
      <c r="AC352" s="134"/>
      <c r="AD352" s="134"/>
      <c r="AE352" s="134"/>
      <c r="AF352" s="134"/>
      <c r="AG352" s="134"/>
      <c r="AH352" s="134"/>
      <c r="AI352" s="134"/>
      <c r="AJ352" s="135"/>
      <c r="AK352" s="136"/>
      <c r="AL352" s="136"/>
      <c r="AM352" s="133" t="str">
        <f>IF([10]回答表!AD55="●",[10]回答表!B621,"")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IF([10]回答表!R56="●",[10]回答表!B634,"")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255E-431E-4F91-86F8-9FC07D9B89CD}">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IF(COUNTIF([11]回答表!K16,"*")&gt;0,[11]回答表!K16,"")</f>
        <v>大館市</v>
      </c>
      <c r="D11" s="8"/>
      <c r="E11" s="8"/>
      <c r="F11" s="8"/>
      <c r="G11" s="8"/>
      <c r="H11" s="8"/>
      <c r="I11" s="8"/>
      <c r="J11" s="8"/>
      <c r="K11" s="8"/>
      <c r="L11" s="8"/>
      <c r="M11" s="8"/>
      <c r="N11" s="8"/>
      <c r="O11" s="8"/>
      <c r="P11" s="8"/>
      <c r="Q11" s="8"/>
      <c r="R11" s="8"/>
      <c r="S11" s="8"/>
      <c r="T11" s="8"/>
      <c r="U11" s="22" t="str">
        <f>IF(COUNTIF([11]回答表!F18,"*")&gt;0,[11]回答表!F18,"")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IF(COUNTIF([11]回答表!W18,"*")&gt;0,[11]回答表!W18,"")</f>
        <v>公共下水道</v>
      </c>
      <c r="AP11" s="10"/>
      <c r="AQ11" s="10"/>
      <c r="AR11" s="10"/>
      <c r="AS11" s="10"/>
      <c r="AT11" s="10"/>
      <c r="AU11" s="10"/>
      <c r="AV11" s="10"/>
      <c r="AW11" s="10"/>
      <c r="AX11" s="10"/>
      <c r="AY11" s="10"/>
      <c r="AZ11" s="10"/>
      <c r="BA11" s="10"/>
      <c r="BB11" s="10"/>
      <c r="BC11" s="10"/>
      <c r="BD11" s="10"/>
      <c r="BE11" s="10"/>
      <c r="BF11" s="11"/>
      <c r="BG11" s="21" t="str">
        <f>IF(COUNTIF([11]回答表!F20,"*")&gt;0,[11]回答表!F20,"")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IF([11]回答表!R49="●","●","")</f>
        <v/>
      </c>
      <c r="E24" s="80"/>
      <c r="F24" s="80"/>
      <c r="G24" s="80"/>
      <c r="H24" s="80"/>
      <c r="I24" s="80"/>
      <c r="J24" s="81"/>
      <c r="K24" s="79" t="str">
        <f>IF([11]回答表!R50="●","●","")</f>
        <v/>
      </c>
      <c r="L24" s="80"/>
      <c r="M24" s="80"/>
      <c r="N24" s="80"/>
      <c r="O24" s="80"/>
      <c r="P24" s="80"/>
      <c r="Q24" s="81"/>
      <c r="R24" s="79" t="str">
        <f>IF([11]回答表!R51="●","●","")</f>
        <v>●</v>
      </c>
      <c r="S24" s="80"/>
      <c r="T24" s="80"/>
      <c r="U24" s="80"/>
      <c r="V24" s="80"/>
      <c r="W24" s="80"/>
      <c r="X24" s="81"/>
      <c r="Y24" s="79" t="str">
        <f>IF([11]回答表!R52="●","●","")</f>
        <v/>
      </c>
      <c r="Z24" s="80"/>
      <c r="AA24" s="80"/>
      <c r="AB24" s="80"/>
      <c r="AC24" s="80"/>
      <c r="AD24" s="80"/>
      <c r="AE24" s="81"/>
      <c r="AF24" s="79" t="str">
        <f>IF([11]回答表!R53="●","●","")</f>
        <v/>
      </c>
      <c r="AG24" s="80"/>
      <c r="AH24" s="80"/>
      <c r="AI24" s="80"/>
      <c r="AJ24" s="80"/>
      <c r="AK24" s="80"/>
      <c r="AL24" s="81"/>
      <c r="AM24" s="79" t="str">
        <f>IF([11]回答表!R54="●","●","")</f>
        <v/>
      </c>
      <c r="AN24" s="80"/>
      <c r="AO24" s="80"/>
      <c r="AP24" s="80"/>
      <c r="AQ24" s="80"/>
      <c r="AR24" s="80"/>
      <c r="AS24" s="81"/>
      <c r="AT24" s="79" t="str">
        <f>IF([11]回答表!R55="●","●","")</f>
        <v/>
      </c>
      <c r="AU24" s="80"/>
      <c r="AV24" s="80"/>
      <c r="AW24" s="80"/>
      <c r="AX24" s="80"/>
      <c r="AY24" s="80"/>
      <c r="AZ24" s="81"/>
      <c r="BA24" s="68"/>
      <c r="BB24" s="82" t="str">
        <f>IF([11]回答表!R56="●","●","")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IF([11]回答表!X49="●","●","")</f>
        <v/>
      </c>
      <c r="O36" s="131"/>
      <c r="P36" s="131"/>
      <c r="Q36" s="132"/>
      <c r="R36" s="119"/>
      <c r="S36" s="119"/>
      <c r="T36" s="119"/>
      <c r="U36" s="133" t="str">
        <f>IF([11]回答表!X49="●",[11]回答表!B67,IF([11]回答表!AA49="●",[11]回答表!B95,""))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IF([11]回答表!X49="●",[11]回答表!S73,IF([11]回答表!AA49="●",[11]回答表!S101,""))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IF([11]回答表!X49="●",[11]回答表!G73,IF([11]回答表!AA49="●",[11]回答表!G101,""))</f>
        <v/>
      </c>
      <c r="AN38" s="83"/>
      <c r="AO38" s="83"/>
      <c r="AP38" s="83"/>
      <c r="AQ38" s="83"/>
      <c r="AR38" s="83"/>
      <c r="AS38" s="83"/>
      <c r="AT38" s="153"/>
      <c r="AU38" s="82" t="str">
        <f>IF([11]回答表!X49="●",[11]回答表!G74,IF([11]回答表!AA49="●",[11]回答表!G102,""))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IF([11]回答表!X49="●",[11]回答表!V73,IF([11]回答表!AA49="●",[11]回答表!V101,""))</f>
        <v/>
      </c>
      <c r="BG39" s="16"/>
      <c r="BH39" s="16"/>
      <c r="BI39" s="17"/>
      <c r="BJ39" s="150" t="str">
        <f>IF([11]回答表!X49="●",[11]回答表!V74,IF([11]回答表!AA49="●",[11]回答表!V102,""))</f>
        <v/>
      </c>
      <c r="BK39" s="16"/>
      <c r="BL39" s="16"/>
      <c r="BM39" s="17"/>
      <c r="BN39" s="150" t="str">
        <f>IF([11]回答表!X49="●",[11]回答表!V75,IF([11]回答表!AA49="●",[11]回答表!V103,""))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IF([11]回答表!X49="●",[11]回答表!O79,IF([11]回答表!AA49="●",[11]回答表!O107,""))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IF([11]回答表!X49="●",[11]回答表!O80,IF([11]回答表!AA49="●",[11]回答表!O108,""))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IF([11]回答表!X49="●",[11]回答表!O81,IF([11]回答表!AA49="●",[11]回答表!O109,""))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IF([11]回答表!X49="●",[11]回答表!O82,IF([11]回答表!AA49="●",[11]回答表!O110,""))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IF([11]回答表!X49="●",[11]回答表!AG79,IF([11]回答表!AA49="●",[11]回答表!AG107,""))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IF([11]回答表!X49="●",[11]回答表!AG80,IF([11]回答表!AA49="●",[11]回答表!AG108,""))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IF([11]回答表!X49="●",[11]回答表!E85,IF([11]回答表!AA49="●",[11]回答表!E113,""))</f>
        <v/>
      </c>
      <c r="V50" s="182"/>
      <c r="W50" s="182"/>
      <c r="X50" s="182"/>
      <c r="Y50" s="182"/>
      <c r="Z50" s="182"/>
      <c r="AA50" s="182"/>
      <c r="AB50" s="182"/>
      <c r="AC50" s="182"/>
      <c r="AD50" s="182"/>
      <c r="AE50" s="183" t="s">
        <v>33</v>
      </c>
      <c r="AF50" s="183"/>
      <c r="AG50" s="183"/>
      <c r="AH50" s="183"/>
      <c r="AI50" s="183"/>
      <c r="AJ50" s="184"/>
      <c r="AK50" s="136"/>
      <c r="AL50" s="136"/>
      <c r="AM50" s="133" t="str">
        <f>IF([11]回答表!X49="●",[11]回答表!B87,IF([11]回答表!AA49="●",[11]回答表!B115,""))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IF([11]回答表!AD49="●","●","")</f>
        <v/>
      </c>
      <c r="O57" s="131"/>
      <c r="P57" s="131"/>
      <c r="Q57" s="132"/>
      <c r="R57" s="119"/>
      <c r="S57" s="119"/>
      <c r="T57" s="119"/>
      <c r="U57" s="133" t="str">
        <f>IF([11]回答表!AD49="●",[11]回答表!B123,"")</f>
        <v/>
      </c>
      <c r="V57" s="134"/>
      <c r="W57" s="134"/>
      <c r="X57" s="134"/>
      <c r="Y57" s="134"/>
      <c r="Z57" s="134"/>
      <c r="AA57" s="134"/>
      <c r="AB57" s="134"/>
      <c r="AC57" s="134"/>
      <c r="AD57" s="134"/>
      <c r="AE57" s="134"/>
      <c r="AF57" s="134"/>
      <c r="AG57" s="134"/>
      <c r="AH57" s="134"/>
      <c r="AI57" s="134"/>
      <c r="AJ57" s="135"/>
      <c r="AK57" s="189"/>
      <c r="AL57" s="189"/>
      <c r="AM57" s="133" t="str">
        <f>IF([11]回答表!AD49="●",[11]回答表!B128,"")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IF([11]回答表!X50="●","●","")</f>
        <v/>
      </c>
      <c r="O68" s="131"/>
      <c r="P68" s="131"/>
      <c r="Q68" s="132"/>
      <c r="R68" s="119"/>
      <c r="S68" s="119"/>
      <c r="T68" s="119"/>
      <c r="U68" s="133" t="str">
        <f>IF([11]回答表!X50="●",[11]回答表!B138,IF([11]回答表!AA50="●",[11]回答表!B159,""))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IF([11]回答表!X50="●",[11]回答表!S144,IF([11]回答表!AA50="●",[11]回答表!S165,""))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IF([11]回答表!X50="●",[11]回答表!J144,IF([11]回答表!AA50="●",[11]回答表!J165,""))</f>
        <v/>
      </c>
      <c r="AN71" s="83"/>
      <c r="AO71" s="83"/>
      <c r="AP71" s="83"/>
      <c r="AQ71" s="83"/>
      <c r="AR71" s="83"/>
      <c r="AS71" s="83"/>
      <c r="AT71" s="153"/>
      <c r="AU71" s="82" t="str">
        <f>IF([11]回答表!X50="●",[11]回答表!J145,IF([11]回答表!AA50="●",[11]回答表!J166,""))</f>
        <v/>
      </c>
      <c r="AV71" s="83"/>
      <c r="AW71" s="83"/>
      <c r="AX71" s="83"/>
      <c r="AY71" s="83"/>
      <c r="AZ71" s="83"/>
      <c r="BA71" s="83"/>
      <c r="BB71" s="153"/>
      <c r="BC71" s="120"/>
      <c r="BD71" s="109"/>
      <c r="BE71" s="109"/>
      <c r="BF71" s="150" t="str">
        <f>IF([11]回答表!X50="●",[11]回答表!V144,IF([11]回答表!AA50="●",[11]回答表!V165,""))</f>
        <v/>
      </c>
      <c r="BG71" s="151"/>
      <c r="BH71" s="151"/>
      <c r="BI71" s="151"/>
      <c r="BJ71" s="150" t="str">
        <f>IF([11]回答表!X50="●",[11]回答表!V145,IF([11]回答表!AA50="●",[11]回答表!V166,""))</f>
        <v/>
      </c>
      <c r="BK71" s="151"/>
      <c r="BL71" s="151"/>
      <c r="BM71" s="151"/>
      <c r="BN71" s="150" t="str">
        <f>IF([11]回答表!X50="●",[11]回答表!V146,IF([11]回答表!AA50="●",[11]回答表!V167,""))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IF([11]回答表!X50="●",[11]回答表!E149,IF([11]回答表!AA50="●",[11]回答表!E170,""))</f>
        <v/>
      </c>
      <c r="V80" s="182"/>
      <c r="W80" s="182"/>
      <c r="X80" s="182"/>
      <c r="Y80" s="182"/>
      <c r="Z80" s="182"/>
      <c r="AA80" s="182"/>
      <c r="AB80" s="182"/>
      <c r="AC80" s="182"/>
      <c r="AD80" s="182"/>
      <c r="AE80" s="183" t="s">
        <v>33</v>
      </c>
      <c r="AF80" s="183"/>
      <c r="AG80" s="183"/>
      <c r="AH80" s="183"/>
      <c r="AI80" s="183"/>
      <c r="AJ80" s="184"/>
      <c r="AK80" s="136"/>
      <c r="AL80" s="136"/>
      <c r="AM80" s="133" t="str">
        <f>IF([11]回答表!X50="●",[11]回答表!B151,IF([11]回答表!AA50="●",[11]回答表!B172,""))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IF([11]回答表!AD50="●","●","")</f>
        <v/>
      </c>
      <c r="O87" s="131"/>
      <c r="P87" s="131"/>
      <c r="Q87" s="132"/>
      <c r="R87" s="119"/>
      <c r="S87" s="119"/>
      <c r="T87" s="119"/>
      <c r="U87" s="133" t="str">
        <f>IF([11]回答表!AD50="●",[11]回答表!B180,"")</f>
        <v/>
      </c>
      <c r="V87" s="134"/>
      <c r="W87" s="134"/>
      <c r="X87" s="134"/>
      <c r="Y87" s="134"/>
      <c r="Z87" s="134"/>
      <c r="AA87" s="134"/>
      <c r="AB87" s="134"/>
      <c r="AC87" s="134"/>
      <c r="AD87" s="134"/>
      <c r="AE87" s="134"/>
      <c r="AF87" s="134"/>
      <c r="AG87" s="134"/>
      <c r="AH87" s="134"/>
      <c r="AI87" s="134"/>
      <c r="AJ87" s="135"/>
      <c r="AK87" s="189"/>
      <c r="AL87" s="189"/>
      <c r="AM87" s="133" t="str">
        <f>IF([11]回答表!AD50="●",[11]回答表!B186,"")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IF([11]回答表!F18="水道事業",IF([11]回答表!X51="●","●",""),"")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IF([11]回答表!F18="水道事業",IF([11]回答表!X51="●",[11]回答表!B197,IF([11]回答表!AA51="●",[11]回答表!B275,"")),"")</f>
        <v/>
      </c>
      <c r="AN99" s="134"/>
      <c r="AO99" s="134"/>
      <c r="AP99" s="134"/>
      <c r="AQ99" s="134"/>
      <c r="AR99" s="134"/>
      <c r="AS99" s="134"/>
      <c r="AT99" s="134"/>
      <c r="AU99" s="134"/>
      <c r="AV99" s="134"/>
      <c r="AW99" s="134"/>
      <c r="AX99" s="134"/>
      <c r="AY99" s="134"/>
      <c r="AZ99" s="134"/>
      <c r="BA99" s="134"/>
      <c r="BB99" s="134"/>
      <c r="BC99" s="135"/>
      <c r="BD99" s="109"/>
      <c r="BE99" s="109"/>
      <c r="BF99" s="138" t="str">
        <f>IF([11]回答表!F18="水道事業",IF([11]回答表!X51="●",[11]回答表!B256,IF([11]回答表!AA51="●",[11]回答表!B335,"")),"")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IF([11]回答表!F18="水道事業",IF([11]回答表!X51="●",[11]回答表!J205,IF([11]回答表!AA51="●",[11]回答表!J283,"")),"")</f>
        <v/>
      </c>
      <c r="V101" s="83"/>
      <c r="W101" s="83"/>
      <c r="X101" s="83"/>
      <c r="Y101" s="83"/>
      <c r="Z101" s="83"/>
      <c r="AA101" s="83"/>
      <c r="AB101" s="153"/>
      <c r="AC101" s="82" t="str">
        <f>IF([11]回答表!F18="水道事業",IF([11]回答表!X51="●",[11]回答表!J210,IF([11]回答表!AA51="●",[11]回答表!J290,"")),"")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IF([11]回答表!F18="水道事業",IF([11]回答表!X51="●",[11]回答表!E256,IF([11]回答表!AA51="●",[11]回答表!E335,"")),"")</f>
        <v/>
      </c>
      <c r="BG102" s="151"/>
      <c r="BH102" s="151"/>
      <c r="BI102" s="151"/>
      <c r="BJ102" s="150" t="str">
        <f>IF([11]回答表!F18="水道事業",IF([11]回答表!X51="●",[11]回答表!E257,IF([11]回答表!AA51="●",[11]回答表!E336,"")),"")</f>
        <v/>
      </c>
      <c r="BK102" s="151"/>
      <c r="BL102" s="151"/>
      <c r="BM102" s="151"/>
      <c r="BN102" s="150" t="str">
        <f>IF([11]回答表!F18="水道事業",IF([11]回答表!X51="●",[11]回答表!E258,IF([11]回答表!AA51="●",[11]回答表!E337,"")),"")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IF([11]回答表!F18="水道事業",IF([11]回答表!AA51="●","●",""),"")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IF([11]回答表!F18="水道事業",IF([11]回答表!X51="●",[11]回答表!J213,IF([11]回答表!AA51="●",[11]回答表!J293,"")),"")</f>
        <v/>
      </c>
      <c r="V106" s="83"/>
      <c r="W106" s="83"/>
      <c r="X106" s="83"/>
      <c r="Y106" s="83"/>
      <c r="Z106" s="83"/>
      <c r="AA106" s="83"/>
      <c r="AB106" s="153"/>
      <c r="AC106" s="82" t="str">
        <f>IF([11]回答表!F18="水道事業",IF([11]回答表!X51="●",[11]回答表!J217,IF([11]回答表!AA51="●",[11]回答表!J297,"")),"")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IF([11]回答表!F18="水道事業",IF([11]回答表!X51="●",[11]回答表!E265,IF([11]回答表!AA51="●",[11]回答表!E344,"")),"")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IF([11]回答表!F18="水道事業",IF([11]回答表!X51="●",[11]回答表!B267,IF([11]回答表!AA51="●",[11]回答表!B346,"")),"")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IF([11]回答表!F18="水道事業",IF([11]回答表!AD51="●","●",""),"")</f>
        <v/>
      </c>
      <c r="O118" s="131"/>
      <c r="P118" s="131"/>
      <c r="Q118" s="132"/>
      <c r="R118" s="119"/>
      <c r="S118" s="119"/>
      <c r="T118" s="119"/>
      <c r="U118" s="133" t="str">
        <f>IF([11]回答表!F18="水道事業",IF([11]回答表!AD51="●",[11]回答表!B354,""),"")</f>
        <v/>
      </c>
      <c r="V118" s="134"/>
      <c r="W118" s="134"/>
      <c r="X118" s="134"/>
      <c r="Y118" s="134"/>
      <c r="Z118" s="134"/>
      <c r="AA118" s="134"/>
      <c r="AB118" s="134"/>
      <c r="AC118" s="134"/>
      <c r="AD118" s="134"/>
      <c r="AE118" s="134"/>
      <c r="AF118" s="134"/>
      <c r="AG118" s="134"/>
      <c r="AH118" s="134"/>
      <c r="AI118" s="134"/>
      <c r="AJ118" s="135"/>
      <c r="AK118" s="189"/>
      <c r="AL118" s="189"/>
      <c r="AM118" s="133" t="str">
        <f>IF([11]回答表!F18="水道事業",IF([11]回答表!AD51="●",[11]回答表!B360,""),"")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IF([11]回答表!F18="簡易水道事業",IF([11]回答表!X51="●",[11]回答表!B197,IF([11]回答表!AA51="●",[11]回答表!B275,"")),"")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IF([11]回答表!F18="簡易水道事業",IF([11]回答表!X51="●",[11]回答表!B256,IF([11]回答表!AA51="●",[11]回答表!B335,"")),"")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IF([11]回答表!F18="簡易水道事業",IF([11]回答表!X51="●","●",""),"")</f>
        <v/>
      </c>
      <c r="O132" s="131"/>
      <c r="P132" s="131"/>
      <c r="Q132" s="132"/>
      <c r="R132" s="119"/>
      <c r="S132" s="119"/>
      <c r="T132" s="119"/>
      <c r="U132" s="82" t="str">
        <f>IF([11]回答表!F18="簡易水道事業",IF([11]回答表!X51="●",[11]回答表!S224,IF([11]回答表!AA51="●",[11]回答表!S304,"")),"")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IF([11]回答表!F18="簡易水道事業",IF([11]回答表!X51="●",[11]回答表!E256,IF([11]回答表!AA51="●",[11]回答表!E335,"")),"")</f>
        <v/>
      </c>
      <c r="BG133" s="151"/>
      <c r="BH133" s="151"/>
      <c r="BI133" s="151"/>
      <c r="BJ133" s="150" t="str">
        <f>IF([11]回答表!F18="簡易水道事業",IF([11]回答表!X51="●",[11]回答表!E257,IF([11]回答表!AA51="●",[11]回答表!E336,"")),"")</f>
        <v/>
      </c>
      <c r="BK133" s="151"/>
      <c r="BL133" s="151"/>
      <c r="BM133" s="151"/>
      <c r="BN133" s="150" t="str">
        <f>IF([11]回答表!F18="簡易水道事業",IF([11]回答表!X51="●",[11]回答表!E258,IF([11]回答表!AA51="●",[11]回答表!E337,"")),"")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IF([11]回答表!F18="簡易水道事業",IF([11]回答表!X51="●",[11]回答表!S225,IF([11]回答表!AA51="●",[11]回答表!S305,"")),"")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IF([11]回答表!F18="簡易水道事業",IF([11]回答表!AA51="●","●",""),"")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IF([11]回答表!F18="簡易水道事業",IF([11]回答表!X51="●",[11]回答表!S226,IF([11]回答表!AA51="●",[11]回答表!S306,"")),"")</f>
        <v/>
      </c>
      <c r="V142" s="83"/>
      <c r="W142" s="83"/>
      <c r="X142" s="83"/>
      <c r="Y142" s="83"/>
      <c r="Z142" s="83"/>
      <c r="AA142" s="83"/>
      <c r="AB142" s="83"/>
      <c r="AC142" s="83"/>
      <c r="AD142" s="83"/>
      <c r="AE142" s="83"/>
      <c r="AF142" s="83"/>
      <c r="AG142" s="83"/>
      <c r="AH142" s="83"/>
      <c r="AI142" s="83"/>
      <c r="AJ142" s="153"/>
      <c r="AK142" s="68"/>
      <c r="AL142" s="68"/>
      <c r="AM142" s="231" t="str">
        <f>IF([11]回答表!F18="簡易水道事業",IF([11]回答表!X51="●",[11]回答表!Y228,IF([11]回答表!AA51="●",[11]回答表!Y308,"")),"")</f>
        <v/>
      </c>
      <c r="AN142" s="231"/>
      <c r="AO142" s="231"/>
      <c r="AP142" s="231"/>
      <c r="AQ142" s="231"/>
      <c r="AR142" s="231"/>
      <c r="AS142" s="231" t="str">
        <f>IF([11]回答表!F18="簡易水道事業",IF([11]回答表!X51="●",[11]回答表!Y229,IF([11]回答表!AA51="●",[11]回答表!Y309,"")),"")</f>
        <v/>
      </c>
      <c r="AT142" s="231"/>
      <c r="AU142" s="231"/>
      <c r="AV142" s="231"/>
      <c r="AW142" s="231"/>
      <c r="AX142" s="231"/>
      <c r="AY142" s="231" t="str">
        <f>IF([11]回答表!F18="簡易水道事業",IF([11]回答表!X51="●",[11]回答表!Y230,IF([11]回答表!AA51="●",[11]回答表!Y310,"")),"")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IF([11]回答表!F18="簡易水道事業",IF([11]回答表!X51="●",[11]回答表!E265,IF([11]回答表!AA51="●",[11]回答表!E344,"")),"")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IF([11]回答表!F18="簡易水道事業",IF([11]回答表!X51="●",[11]回答表!B267,IF([11]回答表!AA51="●",[11]回答表!B346,"")),"")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IF([11]回答表!F18="簡易水道事業",IF([11]回答表!AD51="●","●",""),"")</f>
        <v/>
      </c>
      <c r="O154" s="131"/>
      <c r="P154" s="131"/>
      <c r="Q154" s="132"/>
      <c r="R154" s="119"/>
      <c r="S154" s="119"/>
      <c r="T154" s="119"/>
      <c r="U154" s="133" t="str">
        <f>IF([11]回答表!F18="簡易水道事業",IF([11]回答表!AD51="●",[11]回答表!B354,""),"")</f>
        <v/>
      </c>
      <c r="V154" s="134"/>
      <c r="W154" s="134"/>
      <c r="X154" s="134"/>
      <c r="Y154" s="134"/>
      <c r="Z154" s="134"/>
      <c r="AA154" s="134"/>
      <c r="AB154" s="134"/>
      <c r="AC154" s="134"/>
      <c r="AD154" s="134"/>
      <c r="AE154" s="134"/>
      <c r="AF154" s="134"/>
      <c r="AG154" s="134"/>
      <c r="AH154" s="134"/>
      <c r="AI154" s="134"/>
      <c r="AJ154" s="135"/>
      <c r="AK154" s="189"/>
      <c r="AL154" s="189"/>
      <c r="AM154" s="133" t="str">
        <f>IF([11]回答表!F18="簡易水道事業",IF([11]回答表!AD51="●",[11]回答表!B360,""),"")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IF([11]回答表!F18="下水道事業",IF([11]回答表!X51="●","●",""),"")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IF([11]回答表!F18="下水道事業",IF([11]回答表!X51="●",[11]回答表!B197,IF([11]回答表!AA51="●",[11]回答表!B275,"")),"")</f>
        <v>　　当市の現し尿処理施設は昭和59年に建設・稼働し、稼働以来35年以上が経過しており、老朽化が著しく新施設の整備が必要となった。その際に、し尿受入施設を下水道終末処理場施設内に建設し、搬入されたし尿等を無希釈投入後に下水汚泥とし尿等を共同処理する方式が最も安価で有利であるため。</v>
      </c>
      <c r="AN166" s="134"/>
      <c r="AO166" s="134"/>
      <c r="AP166" s="134"/>
      <c r="AQ166" s="134"/>
      <c r="AR166" s="134"/>
      <c r="AS166" s="134"/>
      <c r="AT166" s="134"/>
      <c r="AU166" s="134"/>
      <c r="AV166" s="134"/>
      <c r="AW166" s="134"/>
      <c r="AX166" s="134"/>
      <c r="AY166" s="134"/>
      <c r="AZ166" s="134"/>
      <c r="BA166" s="134"/>
      <c r="BB166" s="134"/>
      <c r="BC166" s="135"/>
      <c r="BD166" s="109"/>
      <c r="BE166" s="109"/>
      <c r="BF166" s="138" t="str">
        <f>IF([11]回答表!F18="下水道事業",IF([11]回答表!X51="●",[11]回答表!B256,IF([11]回答表!AA51="●",[11]回答表!B335,"")),"")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IF([11]回答表!F18="下水道事業",IF([11]回答表!X51="●",[11]回答表!N234,IF([11]回答表!AA51="●",[11]回答表!N314,"")),"")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IF([11]回答表!F18="下水道事業",IF([11]回答表!X51="●",[11]回答表!E256,IF([11]回答表!AA51="●",[11]回答表!E335,"")),"")</f>
        <v>6</v>
      </c>
      <c r="BG169" s="151"/>
      <c r="BH169" s="151"/>
      <c r="BI169" s="151"/>
      <c r="BJ169" s="150">
        <f>IF([11]回答表!F18="下水道事業",IF([11]回答表!X51="●",[11]回答表!E257,IF([11]回答表!AA51="●",[11]回答表!E336,"")),"")</f>
        <v>4</v>
      </c>
      <c r="BK169" s="151"/>
      <c r="BL169" s="151"/>
      <c r="BM169" s="151"/>
      <c r="BN169" s="150">
        <f>IF([11]回答表!F18="下水道事業",IF([11]回答表!X51="●",[11]回答表!E258,IF([11]回答表!AA51="●",[11]回答表!E337,"")),"")</f>
        <v>1</v>
      </c>
      <c r="BO169" s="151"/>
      <c r="BP169" s="151"/>
      <c r="BQ169" s="152"/>
      <c r="BR169" s="112"/>
      <c r="BX169" s="234" t="str">
        <f>IF([11]回答表!AQ21="下水道事業",IF([11]回答表!BI54="○",[11]回答表!AM200,IF([11]回答表!BL54="○",[11]回答表!AM278,"")),"")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IF([11]回答表!F18="下水道事業",IF([11]回答表!X51="●",[11]回答表!Y236,IF([11]回答表!AA51="●",[11]回答表!Y316,"")),"")</f>
        <v xml:space="preserve"> </v>
      </c>
      <c r="V174" s="83"/>
      <c r="W174" s="83"/>
      <c r="X174" s="83"/>
      <c r="Y174" s="83"/>
      <c r="Z174" s="83"/>
      <c r="AA174" s="83"/>
      <c r="AB174" s="153"/>
      <c r="AC174" s="82" t="str">
        <f>IF([11]回答表!F18="下水道事業",IF([11]回答表!X51="●",[11]回答表!Y237,IF([11]回答表!AA51="●",[11]回答表!Y317,"")),"")</f>
        <v>●</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IF([11]回答表!F18="下水道事業",IF([11]回答表!X51="●",[11]回答表!Y239,IF([11]回答表!AA51="●",[11]回答表!Y319,"")),"")</f>
        <v xml:space="preserve"> </v>
      </c>
      <c r="V180" s="83"/>
      <c r="W180" s="83"/>
      <c r="X180" s="83"/>
      <c r="Y180" s="83"/>
      <c r="Z180" s="83"/>
      <c r="AA180" s="83"/>
      <c r="AB180" s="153"/>
      <c r="AC180" s="82" t="str">
        <f>IF([11]回答表!F18="下水道事業",IF([11]回答表!X51="●",[11]回答表!Y240,IF([11]回答表!AA51="●",[11]回答表!Y320,"")),"")</f>
        <v xml:space="preserve"> </v>
      </c>
      <c r="AD180" s="83"/>
      <c r="AE180" s="83"/>
      <c r="AF180" s="83"/>
      <c r="AG180" s="83"/>
      <c r="AH180" s="83"/>
      <c r="AI180" s="83"/>
      <c r="AJ180" s="153"/>
      <c r="AK180" s="82" t="str">
        <f>IF([11]回答表!F18="下水道事業",IF([11]回答表!X51="●",[11]回答表!Y241,IF([11]回答表!AA51="●",[11]回答表!Y321,"")),"")</f>
        <v xml:space="preserve"> </v>
      </c>
      <c r="AL180" s="83"/>
      <c r="AM180" s="83"/>
      <c r="AN180" s="83"/>
      <c r="AO180" s="83"/>
      <c r="AP180" s="83"/>
      <c r="AQ180" s="83"/>
      <c r="AR180" s="153"/>
      <c r="AS180" s="82" t="str">
        <f>IF([11]回答表!F18="下水道事業",IF([11]回答表!X51="●",[11]回答表!Y242,IF([11]回答表!AA51="●",[11]回答表!Y322,"")),"")</f>
        <v xml:space="preserve"> </v>
      </c>
      <c r="AT180" s="83"/>
      <c r="AU180" s="83"/>
      <c r="AV180" s="83"/>
      <c r="AW180" s="83"/>
      <c r="AX180" s="83"/>
      <c r="AY180" s="83"/>
      <c r="AZ180" s="153"/>
      <c r="BA180" s="82" t="str">
        <f>IF([11]回答表!F18="下水道事業",IF([11]回答表!X51="●",[11]回答表!Y243,IF([11]回答表!AA51="●",[11]回答表!Y323,"")),"")</f>
        <v>●</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IF([11]回答表!F18="下水道事業",IF([11]回答表!AA51="●","●",""),"")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IF([11]回答表!F18="下水道事業",IF([11]回答表!X51="●",[11]回答表!N248,IF([11]回答表!AA51="●",[11]回答表!N328,"")),"")</f>
        <v>●</v>
      </c>
      <c r="V186" s="83"/>
      <c r="W186" s="83"/>
      <c r="X186" s="83"/>
      <c r="Y186" s="83"/>
      <c r="Z186" s="83"/>
      <c r="AA186" s="83"/>
      <c r="AB186" s="153"/>
      <c r="AC186" s="82" t="str">
        <f>IF([11]回答表!F18="下水道事業",IF([11]回答表!X51="●",[11]回答表!N249,IF([11]回答表!AA51="●",[11]回答表!N329,"")),"")</f>
        <v xml:space="preserve"> </v>
      </c>
      <c r="AD186" s="83"/>
      <c r="AE186" s="83"/>
      <c r="AF186" s="83"/>
      <c r="AG186" s="83"/>
      <c r="AH186" s="83"/>
      <c r="AI186" s="83"/>
      <c r="AJ186" s="153"/>
      <c r="AK186" s="82" t="str">
        <f>IF([11]回答表!F18="下水道事業",IF([11]回答表!X51="●",[11]回答表!N250,IF([11]回答表!AA51="●",[11]回答表!N330,"")),"")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IF([11]回答表!F18="下水道事業",IF([11]回答表!X51="●",[11]回答表!E265,IF([11]回答表!AA51="●",[11]回答表!E344,"")),"")</f>
        <v>91.74</v>
      </c>
      <c r="V191" s="182"/>
      <c r="W191" s="182"/>
      <c r="X191" s="182"/>
      <c r="Y191" s="182"/>
      <c r="Z191" s="182"/>
      <c r="AA191" s="182"/>
      <c r="AB191" s="182"/>
      <c r="AC191" s="182"/>
      <c r="AD191" s="182"/>
      <c r="AE191" s="183" t="s">
        <v>33</v>
      </c>
      <c r="AF191" s="183"/>
      <c r="AG191" s="183"/>
      <c r="AH191" s="183"/>
      <c r="AI191" s="183"/>
      <c r="AJ191" s="184"/>
      <c r="AK191" s="136"/>
      <c r="AL191" s="136"/>
      <c r="AM191" s="133" t="str">
        <f>IF([11]回答表!F18="下水道事業",IF([11]回答表!X51="●",[11]回答表!B267,IF([11]回答表!AA51="●",[11]回答表!B346,"")),"")</f>
        <v>●建設事業費(R4～R5)　937百万円(耐用年数50年/年18.74百万円)
　の削減見込み
●維持管理費　73百万円/年の削減見込み</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IF([11]回答表!F18="下水道事業",IF([11]回答表!AD51="●","●",""),"")</f>
        <v/>
      </c>
      <c r="O198" s="131"/>
      <c r="P198" s="131"/>
      <c r="Q198" s="132"/>
      <c r="R198" s="119"/>
      <c r="S198" s="119"/>
      <c r="T198" s="119"/>
      <c r="U198" s="133" t="str">
        <f>IF([11]回答表!F18="下水道事業",IF([11]回答表!AD51="●",[11]回答表!B354,""),"")</f>
        <v/>
      </c>
      <c r="V198" s="134"/>
      <c r="W198" s="134"/>
      <c r="X198" s="134"/>
      <c r="Y198" s="134"/>
      <c r="Z198" s="134"/>
      <c r="AA198" s="134"/>
      <c r="AB198" s="134"/>
      <c r="AC198" s="134"/>
      <c r="AD198" s="134"/>
      <c r="AE198" s="134"/>
      <c r="AF198" s="134"/>
      <c r="AG198" s="134"/>
      <c r="AH198" s="134"/>
      <c r="AI198" s="134"/>
      <c r="AJ198" s="135"/>
      <c r="AK198" s="189"/>
      <c r="AL198" s="189"/>
      <c r="AM198" s="133" t="str">
        <f>IF([11]回答表!F18="下水道事業",IF([11]回答表!AD51="●",[11]回答表!B360,""),"")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IF([11]回答表!BD18="●",IF([11]回答表!X51="●","●",""),"")</f>
        <v/>
      </c>
      <c r="O210" s="131"/>
      <c r="P210" s="131"/>
      <c r="Q210" s="132"/>
      <c r="R210" s="119"/>
      <c r="S210" s="119"/>
      <c r="T210" s="119"/>
      <c r="U210" s="133" t="str">
        <f>IF([11]回答表!BD18="●",IF([11]回答表!X51="●",[11]回答表!B197,IF([11]回答表!AA51="●",[11]回答表!B275,"")),"")</f>
        <v/>
      </c>
      <c r="V210" s="134"/>
      <c r="W210" s="134"/>
      <c r="X210" s="134"/>
      <c r="Y210" s="134"/>
      <c r="Z210" s="134"/>
      <c r="AA210" s="134"/>
      <c r="AB210" s="134"/>
      <c r="AC210" s="134"/>
      <c r="AD210" s="134"/>
      <c r="AE210" s="134"/>
      <c r="AF210" s="134"/>
      <c r="AG210" s="134"/>
      <c r="AH210" s="134"/>
      <c r="AI210" s="134"/>
      <c r="AJ210" s="135"/>
      <c r="AK210" s="136"/>
      <c r="AL210" s="136"/>
      <c r="AM210" s="138" t="str">
        <f>IF([11]回答表!BD18="●",IF([11]回答表!X51="●",[11]回答表!B256,IF([11]回答表!AA51="●",[11]回答表!B335,"")),"")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IF([11]回答表!BD18="●",IF([11]回答表!X51="●",[11]回答表!E256,IF([11]回答表!AA51="●",[11]回答表!E335,"")),"")</f>
        <v/>
      </c>
      <c r="AN213" s="151"/>
      <c r="AO213" s="151"/>
      <c r="AP213" s="151"/>
      <c r="AQ213" s="150" t="str">
        <f>IF([11]回答表!BD18="●",IF([11]回答表!X51="●",[11]回答表!E257,IF([11]回答表!AA51="●",[11]回答表!E336,"")),"")</f>
        <v/>
      </c>
      <c r="AR213" s="151"/>
      <c r="AS213" s="151"/>
      <c r="AT213" s="151"/>
      <c r="AU213" s="150" t="str">
        <f>IF([11]回答表!BD18="●",IF([11]回答表!X51="●",[11]回答表!E258,IF([11]回答表!AA51="●",[11]回答表!E337,"")),"")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IF([11]回答表!BD18="●",IF([11]回答表!AA51="●","●",""),"")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IF([11]回答表!BD18="●",IF([11]回答表!X51="●",[11]回答表!E265,IF([11]回答表!AA51="●",[11]回答表!E344,"")),"")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IF([11]回答表!BD18="●",IF([11]回答表!X51="●",[11]回答表!B267,IF([11]回答表!AA51="●",[11]回答表!B346,"")),"")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IF([11]回答表!BD18="●",IF([11]回答表!AD51="●","●",""),"")</f>
        <v/>
      </c>
      <c r="O229" s="131"/>
      <c r="P229" s="131"/>
      <c r="Q229" s="132"/>
      <c r="R229" s="119"/>
      <c r="S229" s="119"/>
      <c r="T229" s="119"/>
      <c r="U229" s="133" t="str">
        <f>IF([11]回答表!BD18="●",IF([11]回答表!AD51="●",[11]回答表!B354,""),"")</f>
        <v/>
      </c>
      <c r="V229" s="134"/>
      <c r="W229" s="134"/>
      <c r="X229" s="134"/>
      <c r="Y229" s="134"/>
      <c r="Z229" s="134"/>
      <c r="AA229" s="134"/>
      <c r="AB229" s="134"/>
      <c r="AC229" s="134"/>
      <c r="AD229" s="134"/>
      <c r="AE229" s="134"/>
      <c r="AF229" s="134"/>
      <c r="AG229" s="134"/>
      <c r="AH229" s="134"/>
      <c r="AI229" s="134"/>
      <c r="AJ229" s="135"/>
      <c r="AK229" s="249"/>
      <c r="AL229" s="249"/>
      <c r="AM229" s="133" t="str">
        <f>IF([11]回答表!BD18="●",IF([11]回答表!AD51="●",[11]回答表!B360,""),"")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IF([11]回答表!X52="●","●","")</f>
        <v/>
      </c>
      <c r="O241" s="131"/>
      <c r="P241" s="131"/>
      <c r="Q241" s="132"/>
      <c r="R241" s="119"/>
      <c r="S241" s="119"/>
      <c r="T241" s="119"/>
      <c r="U241" s="133" t="str">
        <f>IF([11]回答表!X52="●",[11]回答表!B371,IF([11]回答表!AA52="●",[11]回答表!B396,""))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IF([11]回答表!X52="●",[11]回答表!U377,IF([11]回答表!AA52="●",[11]回答表!U402,""))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IF([11]回答表!X52="●",[11]回答表!G377,IF([11]回答表!AA52="●",[11]回答表!G402,""))</f>
        <v/>
      </c>
      <c r="AN244" s="83"/>
      <c r="AO244" s="83"/>
      <c r="AP244" s="83"/>
      <c r="AQ244" s="83"/>
      <c r="AR244" s="83"/>
      <c r="AS244" s="83"/>
      <c r="AT244" s="153"/>
      <c r="AU244" s="82" t="str">
        <f>IF([11]回答表!X52="●",[11]回答表!G378,IF([11]回答表!AA52="●",[11]回答表!G403,""))</f>
        <v/>
      </c>
      <c r="AV244" s="83"/>
      <c r="AW244" s="83"/>
      <c r="AX244" s="83"/>
      <c r="AY244" s="83"/>
      <c r="AZ244" s="83"/>
      <c r="BA244" s="83"/>
      <c r="BB244" s="153"/>
      <c r="BC244" s="120"/>
      <c r="BD244" s="109"/>
      <c r="BE244" s="109"/>
      <c r="BF244" s="150" t="str">
        <f>IF([11]回答表!X52="●",[11]回答表!X377,IF([11]回答表!AA52="●",[11]回答表!X402,""))</f>
        <v/>
      </c>
      <c r="BG244" s="151"/>
      <c r="BH244" s="151"/>
      <c r="BI244" s="151"/>
      <c r="BJ244" s="150" t="str">
        <f>IF([11]回答表!X52="●",[11]回答表!X378,IF([11]回答表!AA52="●",[11]回答表!X403,""))</f>
        <v/>
      </c>
      <c r="BK244" s="151"/>
      <c r="BL244" s="151"/>
      <c r="BM244" s="152"/>
      <c r="BN244" s="150" t="str">
        <f>IF([11]回答表!X52="●",[11]回答表!X379,IF([11]回答表!AA52="●",[11]回答表!X404,""))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IF([11]回答表!X52="●",[11]回答表!E386,IF([11]回答表!AA52="●",[11]回答表!E407,""))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IF([11]回答表!X52="●",[11]回答表!B388,IF([11]回答表!AA52="●",[11]回答表!B409,""))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IF([11]回答表!AD52="●","●","")</f>
        <v/>
      </c>
      <c r="O260" s="131"/>
      <c r="P260" s="131"/>
      <c r="Q260" s="132"/>
      <c r="R260" s="119"/>
      <c r="S260" s="119"/>
      <c r="T260" s="119"/>
      <c r="U260" s="133" t="str">
        <f>IF([11]回答表!AD52="●",[11]回答表!B417,"")</f>
        <v/>
      </c>
      <c r="V260" s="134"/>
      <c r="W260" s="134"/>
      <c r="X260" s="134"/>
      <c r="Y260" s="134"/>
      <c r="Z260" s="134"/>
      <c r="AA260" s="134"/>
      <c r="AB260" s="134"/>
      <c r="AC260" s="134"/>
      <c r="AD260" s="134"/>
      <c r="AE260" s="134"/>
      <c r="AF260" s="134"/>
      <c r="AG260" s="134"/>
      <c r="AH260" s="134"/>
      <c r="AI260" s="134"/>
      <c r="AJ260" s="135"/>
      <c r="AK260" s="249"/>
      <c r="AL260" s="249"/>
      <c r="AM260" s="133" t="str">
        <f>IF([11]回答表!AD52="●",[11]回答表!B423,"")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IF([11]回答表!X53="●","●","")</f>
        <v/>
      </c>
      <c r="O272" s="131"/>
      <c r="P272" s="131"/>
      <c r="Q272" s="132"/>
      <c r="R272" s="119"/>
      <c r="S272" s="119"/>
      <c r="T272" s="119"/>
      <c r="U272" s="133" t="str">
        <f>IF([11]回答表!X53="●",[11]回答表!B434,IF([11]回答表!AA53="●",[11]回答表!B465,""))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IF([11]回答表!X53="●",[11]回答表!B440,"")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IF([11]回答表!X53="●",[11]回答表!B446,IF([11]回答表!AA53="●",[11]回答表!B471,""))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IF([11]回答表!X53="●",[11]回答表!E446,IF([11]回答表!AA53="●",[11]回答表!E471,""))</f>
        <v/>
      </c>
      <c r="BG275" s="151"/>
      <c r="BH275" s="151"/>
      <c r="BI275" s="151"/>
      <c r="BJ275" s="150" t="str">
        <f>IF([11]回答表!X53="●",[11]回答表!E447,IF([11]回答表!AA53="●",[11]回答表!E472,""))</f>
        <v/>
      </c>
      <c r="BK275" s="151"/>
      <c r="BL275" s="151"/>
      <c r="BM275" s="152"/>
      <c r="BN275" s="150" t="str">
        <f>IF([11]回答表!X53="●",[11]回答表!E448,IF([11]回答表!AA53="●",[11]回答表!E473,""))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IF([11]回答表!X53="●",[11]回答表!E455,IF([11]回答表!AA53="●",[11]回答表!E476,""))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IF([11]回答表!X53="●",[11]回答表!B457,IF([11]回答表!AA53="●",[11]回答表!B478,""))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IF([11]回答表!AD53="●","●","")</f>
        <v/>
      </c>
      <c r="O291" s="131"/>
      <c r="P291" s="131"/>
      <c r="Q291" s="132"/>
      <c r="R291" s="119"/>
      <c r="S291" s="119"/>
      <c r="T291" s="119"/>
      <c r="U291" s="133" t="str">
        <f>IF([11]回答表!AD53="●",[11]回答表!B486,"")</f>
        <v/>
      </c>
      <c r="V291" s="134"/>
      <c r="W291" s="134"/>
      <c r="X291" s="134"/>
      <c r="Y291" s="134"/>
      <c r="Z291" s="134"/>
      <c r="AA291" s="134"/>
      <c r="AB291" s="134"/>
      <c r="AC291" s="134"/>
      <c r="AD291" s="134"/>
      <c r="AE291" s="134"/>
      <c r="AF291" s="134"/>
      <c r="AG291" s="134"/>
      <c r="AH291" s="134"/>
      <c r="AI291" s="134"/>
      <c r="AJ291" s="135"/>
      <c r="AK291" s="249"/>
      <c r="AL291" s="249"/>
      <c r="AM291" s="133" t="str">
        <f>IF([11]回答表!AD53="●",[11]回答表!B492,"")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IF([11]回答表!X54="●","●","")</f>
        <v/>
      </c>
      <c r="O303" s="131"/>
      <c r="P303" s="131"/>
      <c r="Q303" s="132"/>
      <c r="R303" s="119"/>
      <c r="S303" s="119"/>
      <c r="T303" s="119"/>
      <c r="U303" s="133" t="str">
        <f>IF([11]回答表!X54="●",[11]回答表!B503,IF([11]回答表!AA54="●",[11]回答表!B526,""))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IF([11]回答表!X54="●",[11]回答表!BC510,IF([11]回答表!AA54="●",[11]回答表!BC533,""))</f>
        <v/>
      </c>
      <c r="AR303" s="271"/>
      <c r="AS303" s="271"/>
      <c r="AT303" s="271"/>
      <c r="AU303" s="272" t="s">
        <v>74</v>
      </c>
      <c r="AV303" s="273"/>
      <c r="AW303" s="273"/>
      <c r="AX303" s="274"/>
      <c r="AY303" s="271" t="str">
        <f>IF([11]回答表!X54="●",[11]回答表!BC515,IF([11]回答表!AA54="●",[11]回答表!BC538,""))</f>
        <v/>
      </c>
      <c r="AZ303" s="271"/>
      <c r="BA303" s="271"/>
      <c r="BB303" s="271"/>
      <c r="BC303" s="120"/>
      <c r="BD303" s="109"/>
      <c r="BE303" s="109"/>
      <c r="BF303" s="138" t="str">
        <f>IF([11]回答表!X54="●",[11]回答表!S509,IF([11]回答表!AA54="●",[11]回答表!S532,""))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IF([11]回答表!X54="●",[11]回答表!BC511,IF([11]回答表!AA54="●",[11]回答表!BC534,""))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IF([11]回答表!X54="●",[11]回答表!V509,IF([11]回答表!AA54="●",[11]回答表!V532,""))</f>
        <v/>
      </c>
      <c r="BG306" s="151"/>
      <c r="BH306" s="151"/>
      <c r="BI306" s="151"/>
      <c r="BJ306" s="150" t="str">
        <f>IF([11]回答表!X54="●",[11]回答表!V510,IF([11]回答表!AA54="●",[11]回答表!V533,""))</f>
        <v/>
      </c>
      <c r="BK306" s="151"/>
      <c r="BL306" s="151"/>
      <c r="BM306" s="152"/>
      <c r="BN306" s="150" t="str">
        <f>IF([11]回答表!X54="●",[11]回答表!V511,IF([11]回答表!AA54="●",[11]回答表!V534,""))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IF([11]回答表!X54="●",[11]回答表!BC512,IF([11]回答表!AA54="●",[11]回答表!BC535,""))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IF([11]回答表!X54="●",[11]回答表!BC516,IF([11]回答表!AA54="●",[11]回答表!BC539,""))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IF([11]回答表!X54="●",[11]回答表!BC513,IF([11]回答表!AA54="●",[11]回答表!BC536,""))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IF([11]回答表!X54="●",[11]回答表!BC514,IF([11]回答表!AA54="●",[11]回答表!BC537,""))</f>
        <v/>
      </c>
      <c r="AR311" s="271"/>
      <c r="AS311" s="271"/>
      <c r="AT311" s="271"/>
      <c r="AU311" s="222" t="s">
        <v>80</v>
      </c>
      <c r="AV311" s="223"/>
      <c r="AW311" s="223"/>
      <c r="AX311" s="224"/>
      <c r="AY311" s="281" t="str">
        <f>IF([11]回答表!X54="●",[11]回答表!BC517,IF([11]回答表!AA54="●",[11]回答表!BC540,""))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IF([11]回答表!X54="●",[11]回答表!E516,IF([11]回答表!AA54="●",[11]回答表!E538,""))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IF([11]回答表!X54="●",[11]回答表!B518,IF([11]回答表!AA54="●",[11]回答表!B540,""))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IF([11]回答表!AD54="●","●","")</f>
        <v/>
      </c>
      <c r="O322" s="131"/>
      <c r="P322" s="131"/>
      <c r="Q322" s="132"/>
      <c r="R322" s="119"/>
      <c r="S322" s="119"/>
      <c r="T322" s="119"/>
      <c r="U322" s="133" t="str">
        <f>IF([11]回答表!AD54="●",[11]回答表!B548,"")</f>
        <v/>
      </c>
      <c r="V322" s="134"/>
      <c r="W322" s="134"/>
      <c r="X322" s="134"/>
      <c r="Y322" s="134"/>
      <c r="Z322" s="134"/>
      <c r="AA322" s="134"/>
      <c r="AB322" s="134"/>
      <c r="AC322" s="134"/>
      <c r="AD322" s="134"/>
      <c r="AE322" s="134"/>
      <c r="AF322" s="134"/>
      <c r="AG322" s="134"/>
      <c r="AH322" s="134"/>
      <c r="AI322" s="134"/>
      <c r="AJ322" s="135"/>
      <c r="AK322" s="189"/>
      <c r="AL322" s="189"/>
      <c r="AM322" s="133" t="str">
        <f>IF([11]回答表!AD54="●",[11]回答表!B554,"")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IF([11]回答表!X55="●","●","")</f>
        <v/>
      </c>
      <c r="O333" s="131"/>
      <c r="P333" s="131"/>
      <c r="Q333" s="132"/>
      <c r="R333" s="119"/>
      <c r="S333" s="119"/>
      <c r="T333" s="119"/>
      <c r="U333" s="133" t="str">
        <f>IF([11]回答表!X55="●",[11]回答表!B565,IF([11]回答表!AA55="●",[11]回答表!B590,""))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IF([11]回答表!X55="●",[11]回答表!B575,IF([11]回答表!AA55="●",[11]回答表!B600,""))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IF([11]回答表!X55="●",[11]回答表!G571,IF([11]回答表!AA55="●",[11]回答表!G596,""))</f>
        <v/>
      </c>
      <c r="AN335" s="83"/>
      <c r="AO335" s="83"/>
      <c r="AP335" s="83"/>
      <c r="AQ335" s="83"/>
      <c r="AR335" s="83"/>
      <c r="AS335" s="83"/>
      <c r="AT335" s="153"/>
      <c r="AU335" s="82" t="str">
        <f>IF([11]回答表!X55="●",[11]回答表!G572,IF([11]回答表!AA55="●",[11]回答表!G597,""))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IF([11]回答表!X55="●",[11]回答表!E575,IF([11]回答表!AA55="●",[11]回答表!E600,""))</f>
        <v/>
      </c>
      <c r="BG336" s="151"/>
      <c r="BH336" s="151"/>
      <c r="BI336" s="151"/>
      <c r="BJ336" s="150" t="str">
        <f>IF([11]回答表!X55="●",[11]回答表!E576,IF([11]回答表!AA55="●",[11]回答表!E601,""))</f>
        <v/>
      </c>
      <c r="BK336" s="151"/>
      <c r="BL336" s="151"/>
      <c r="BM336" s="152"/>
      <c r="BN336" s="150" t="str">
        <f>IF([11]回答表!X55="●",[11]回答表!E577,IF([11]回答表!AA55="●",[11]回答表!E602,""))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IF([11]回答表!X55="●",[11]回答表!E580,IF([11]回答表!AA55="●",[11]回答表!E605,""))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IF([11]回答表!X55="●",[11]回答表!B582,IF([11]回答表!AA55="●",[11]回答表!B607,""))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IF([11]回答表!AD55="●","●","")</f>
        <v/>
      </c>
      <c r="O352" s="131"/>
      <c r="P352" s="131"/>
      <c r="Q352" s="132"/>
      <c r="R352" s="119"/>
      <c r="S352" s="119"/>
      <c r="T352" s="119"/>
      <c r="U352" s="133" t="str">
        <f>IF([11]回答表!AD55="●",[11]回答表!B615,"")</f>
        <v/>
      </c>
      <c r="V352" s="134"/>
      <c r="W352" s="134"/>
      <c r="X352" s="134"/>
      <c r="Y352" s="134"/>
      <c r="Z352" s="134"/>
      <c r="AA352" s="134"/>
      <c r="AB352" s="134"/>
      <c r="AC352" s="134"/>
      <c r="AD352" s="134"/>
      <c r="AE352" s="134"/>
      <c r="AF352" s="134"/>
      <c r="AG352" s="134"/>
      <c r="AH352" s="134"/>
      <c r="AI352" s="134"/>
      <c r="AJ352" s="135"/>
      <c r="AK352" s="136"/>
      <c r="AL352" s="136"/>
      <c r="AM352" s="133" t="str">
        <f>IF([11]回答表!AD55="●",[11]回答表!B621,"")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IF([11]回答表!R56="●",[11]回答表!B634,"")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F541A-42D8-476B-813E-34E739B71AE4}">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IF(COUNTIF([12]回答表!K16,"*")&gt;0,[12]回答表!K16,"")</f>
        <v>大館市</v>
      </c>
      <c r="D11" s="8"/>
      <c r="E11" s="8"/>
      <c r="F11" s="8"/>
      <c r="G11" s="8"/>
      <c r="H11" s="8"/>
      <c r="I11" s="8"/>
      <c r="J11" s="8"/>
      <c r="K11" s="8"/>
      <c r="L11" s="8"/>
      <c r="M11" s="8"/>
      <c r="N11" s="8"/>
      <c r="O11" s="8"/>
      <c r="P11" s="8"/>
      <c r="Q11" s="8"/>
      <c r="R11" s="8"/>
      <c r="S11" s="8"/>
      <c r="T11" s="8"/>
      <c r="U11" s="22" t="str">
        <f>IF(COUNTIF([12]回答表!F18,"*")&gt;0,[12]回答表!F18,"")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IF(COUNTIF([12]回答表!W18,"*")&gt;0,[12]回答表!W18,"")</f>
        <v>特定地域排水処理施設</v>
      </c>
      <c r="AP11" s="10"/>
      <c r="AQ11" s="10"/>
      <c r="AR11" s="10"/>
      <c r="AS11" s="10"/>
      <c r="AT11" s="10"/>
      <c r="AU11" s="10"/>
      <c r="AV11" s="10"/>
      <c r="AW11" s="10"/>
      <c r="AX11" s="10"/>
      <c r="AY11" s="10"/>
      <c r="AZ11" s="10"/>
      <c r="BA11" s="10"/>
      <c r="BB11" s="10"/>
      <c r="BC11" s="10"/>
      <c r="BD11" s="10"/>
      <c r="BE11" s="10"/>
      <c r="BF11" s="11"/>
      <c r="BG11" s="21" t="str">
        <f>IF(COUNTIF([12]回答表!F20,"*")&gt;0,[12]回答表!F20,"")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IF([12]回答表!R49="●","●","")</f>
        <v>●</v>
      </c>
      <c r="E24" s="80"/>
      <c r="F24" s="80"/>
      <c r="G24" s="80"/>
      <c r="H24" s="80"/>
      <c r="I24" s="80"/>
      <c r="J24" s="81"/>
      <c r="K24" s="79" t="str">
        <f>IF([12]回答表!R50="●","●","")</f>
        <v>●</v>
      </c>
      <c r="L24" s="80"/>
      <c r="M24" s="80"/>
      <c r="N24" s="80"/>
      <c r="O24" s="80"/>
      <c r="P24" s="80"/>
      <c r="Q24" s="81"/>
      <c r="R24" s="79" t="str">
        <f>IF([12]回答表!R51="●","●","")</f>
        <v/>
      </c>
      <c r="S24" s="80"/>
      <c r="T24" s="80"/>
      <c r="U24" s="80"/>
      <c r="V24" s="80"/>
      <c r="W24" s="80"/>
      <c r="X24" s="81"/>
      <c r="Y24" s="79" t="str">
        <f>IF([12]回答表!R52="●","●","")</f>
        <v/>
      </c>
      <c r="Z24" s="80"/>
      <c r="AA24" s="80"/>
      <c r="AB24" s="80"/>
      <c r="AC24" s="80"/>
      <c r="AD24" s="80"/>
      <c r="AE24" s="81"/>
      <c r="AF24" s="79" t="str">
        <f>IF([12]回答表!R53="●","●","")</f>
        <v/>
      </c>
      <c r="AG24" s="80"/>
      <c r="AH24" s="80"/>
      <c r="AI24" s="80"/>
      <c r="AJ24" s="80"/>
      <c r="AK24" s="80"/>
      <c r="AL24" s="81"/>
      <c r="AM24" s="79" t="str">
        <f>IF([12]回答表!R54="●","●","")</f>
        <v/>
      </c>
      <c r="AN24" s="80"/>
      <c r="AO24" s="80"/>
      <c r="AP24" s="80"/>
      <c r="AQ24" s="80"/>
      <c r="AR24" s="80"/>
      <c r="AS24" s="81"/>
      <c r="AT24" s="79" t="str">
        <f>IF([12]回答表!R55="●","●","")</f>
        <v/>
      </c>
      <c r="AU24" s="80"/>
      <c r="AV24" s="80"/>
      <c r="AW24" s="80"/>
      <c r="AX24" s="80"/>
      <c r="AY24" s="80"/>
      <c r="AZ24" s="81"/>
      <c r="BA24" s="68"/>
      <c r="BB24" s="82" t="str">
        <f>IF([12]回答表!R56="●","●","")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IF([12]回答表!X49="●","●","")</f>
        <v/>
      </c>
      <c r="O36" s="131"/>
      <c r="P36" s="131"/>
      <c r="Q36" s="132"/>
      <c r="R36" s="119"/>
      <c r="S36" s="119"/>
      <c r="T36" s="119"/>
      <c r="U36" s="133" t="str">
        <f>IF([12]回答表!X49="●",[12]回答表!B67,IF([12]回答表!AA49="●",[12]回答表!B95,""))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IF([12]回答表!X49="●",[12]回答表!S73,IF([12]回答表!AA49="●",[12]回答表!S101,""))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IF([12]回答表!X49="●",[12]回答表!G73,IF([12]回答表!AA49="●",[12]回答表!G101,""))</f>
        <v/>
      </c>
      <c r="AN38" s="83"/>
      <c r="AO38" s="83"/>
      <c r="AP38" s="83"/>
      <c r="AQ38" s="83"/>
      <c r="AR38" s="83"/>
      <c r="AS38" s="83"/>
      <c r="AT38" s="153"/>
      <c r="AU38" s="82" t="str">
        <f>IF([12]回答表!X49="●",[12]回答表!G74,IF([12]回答表!AA49="●",[12]回答表!G102,""))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IF([12]回答表!X49="●",[12]回答表!V73,IF([12]回答表!AA49="●",[12]回答表!V101,""))</f>
        <v/>
      </c>
      <c r="BG39" s="16"/>
      <c r="BH39" s="16"/>
      <c r="BI39" s="17"/>
      <c r="BJ39" s="150" t="str">
        <f>IF([12]回答表!X49="●",[12]回答表!V74,IF([12]回答表!AA49="●",[12]回答表!V102,""))</f>
        <v/>
      </c>
      <c r="BK39" s="16"/>
      <c r="BL39" s="16"/>
      <c r="BM39" s="17"/>
      <c r="BN39" s="150" t="str">
        <f>IF([12]回答表!X49="●",[12]回答表!V75,IF([12]回答表!AA49="●",[12]回答表!V103,""))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IF([12]回答表!X49="●",[12]回答表!O79,IF([12]回答表!AA49="●",[12]回答表!O107,""))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IF([12]回答表!X49="●",[12]回答表!O80,IF([12]回答表!AA49="●",[12]回答表!O108,""))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IF([12]回答表!X49="●",[12]回答表!O81,IF([12]回答表!AA49="●",[12]回答表!O109,""))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IF([12]回答表!X49="●",[12]回答表!O82,IF([12]回答表!AA49="●",[12]回答表!O110,""))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IF([12]回答表!X49="●",[12]回答表!AG79,IF([12]回答表!AA49="●",[12]回答表!AG107,""))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IF([12]回答表!X49="●",[12]回答表!AG80,IF([12]回答表!AA49="●",[12]回答表!AG108,""))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IF([12]回答表!X49="●",[12]回答表!E85,IF([12]回答表!AA49="●",[12]回答表!E113,""))</f>
        <v/>
      </c>
      <c r="V50" s="182"/>
      <c r="W50" s="182"/>
      <c r="X50" s="182"/>
      <c r="Y50" s="182"/>
      <c r="Z50" s="182"/>
      <c r="AA50" s="182"/>
      <c r="AB50" s="182"/>
      <c r="AC50" s="182"/>
      <c r="AD50" s="182"/>
      <c r="AE50" s="183" t="s">
        <v>33</v>
      </c>
      <c r="AF50" s="183"/>
      <c r="AG50" s="183"/>
      <c r="AH50" s="183"/>
      <c r="AI50" s="183"/>
      <c r="AJ50" s="184"/>
      <c r="AK50" s="136"/>
      <c r="AL50" s="136"/>
      <c r="AM50" s="133" t="str">
        <f>IF([12]回答表!X49="●",[12]回答表!B87,IF([12]回答表!AA49="●",[12]回答表!B115,""))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IF([12]回答表!AD49="●","●","")</f>
        <v>●</v>
      </c>
      <c r="O57" s="131"/>
      <c r="P57" s="131"/>
      <c r="Q57" s="132"/>
      <c r="R57" s="119"/>
      <c r="S57" s="119"/>
      <c r="T57" s="119"/>
      <c r="U57" s="133" t="str">
        <f>IF([12]回答表!AD49="●",[12]回答表!B123,"")</f>
        <v xml:space="preserve">当市の特定地域生活排水処理地域の町設置浄化槽について、合併した際、他の市町は、設置費補助としてきたが1町だけ町設置浄化槽としていたため、農集の廃止が進んできた際、浄化槽を民間譲渡し事業廃止を検討
</v>
      </c>
      <c r="V57" s="134"/>
      <c r="W57" s="134"/>
      <c r="X57" s="134"/>
      <c r="Y57" s="134"/>
      <c r="Z57" s="134"/>
      <c r="AA57" s="134"/>
      <c r="AB57" s="134"/>
      <c r="AC57" s="134"/>
      <c r="AD57" s="134"/>
      <c r="AE57" s="134"/>
      <c r="AF57" s="134"/>
      <c r="AG57" s="134"/>
      <c r="AH57" s="134"/>
      <c r="AI57" s="134"/>
      <c r="AJ57" s="135"/>
      <c r="AK57" s="189"/>
      <c r="AL57" s="189"/>
      <c r="AM57" s="133" t="str">
        <f>IF([12]回答表!AD49="●",[12]回答表!B128,"")</f>
        <v>現在、法定検査実施率１００％であるが、民間譲渡することにより実施率が低下する。機器の更新の際に残価設定・補助対応について検討が必要</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IF([12]回答表!X50="●","●","")</f>
        <v/>
      </c>
      <c r="O68" s="131"/>
      <c r="P68" s="131"/>
      <c r="Q68" s="132"/>
      <c r="R68" s="119"/>
      <c r="S68" s="119"/>
      <c r="T68" s="119"/>
      <c r="U68" s="133" t="str">
        <f>IF([12]回答表!X50="●",[12]回答表!B138,IF([12]回答表!AA50="●",[12]回答表!B159,""))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IF([12]回答表!X50="●",[12]回答表!S144,IF([12]回答表!AA50="●",[12]回答表!S165,""))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IF([12]回答表!X50="●",[12]回答表!J144,IF([12]回答表!AA50="●",[12]回答表!J165,""))</f>
        <v/>
      </c>
      <c r="AN71" s="83"/>
      <c r="AO71" s="83"/>
      <c r="AP71" s="83"/>
      <c r="AQ71" s="83"/>
      <c r="AR71" s="83"/>
      <c r="AS71" s="83"/>
      <c r="AT71" s="153"/>
      <c r="AU71" s="82" t="str">
        <f>IF([12]回答表!X50="●",[12]回答表!J145,IF([12]回答表!AA50="●",[12]回答表!J166,""))</f>
        <v/>
      </c>
      <c r="AV71" s="83"/>
      <c r="AW71" s="83"/>
      <c r="AX71" s="83"/>
      <c r="AY71" s="83"/>
      <c r="AZ71" s="83"/>
      <c r="BA71" s="83"/>
      <c r="BB71" s="153"/>
      <c r="BC71" s="120"/>
      <c r="BD71" s="109"/>
      <c r="BE71" s="109"/>
      <c r="BF71" s="150" t="str">
        <f>IF([12]回答表!X50="●",[12]回答表!V144,IF([12]回答表!AA50="●",[12]回答表!V165,""))</f>
        <v/>
      </c>
      <c r="BG71" s="151"/>
      <c r="BH71" s="151"/>
      <c r="BI71" s="151"/>
      <c r="BJ71" s="150" t="str">
        <f>IF([12]回答表!X50="●",[12]回答表!V145,IF([12]回答表!AA50="●",[12]回答表!V166,""))</f>
        <v/>
      </c>
      <c r="BK71" s="151"/>
      <c r="BL71" s="151"/>
      <c r="BM71" s="151"/>
      <c r="BN71" s="150" t="str">
        <f>IF([12]回答表!X50="●",[12]回答表!V146,IF([12]回答表!AA50="●",[12]回答表!V167,""))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IF([12]回答表!X50="●",[12]回答表!E149,IF([12]回答表!AA50="●",[12]回答表!E170,""))</f>
        <v/>
      </c>
      <c r="V80" s="182"/>
      <c r="W80" s="182"/>
      <c r="X80" s="182"/>
      <c r="Y80" s="182"/>
      <c r="Z80" s="182"/>
      <c r="AA80" s="182"/>
      <c r="AB80" s="182"/>
      <c r="AC80" s="182"/>
      <c r="AD80" s="182"/>
      <c r="AE80" s="183" t="s">
        <v>33</v>
      </c>
      <c r="AF80" s="183"/>
      <c r="AG80" s="183"/>
      <c r="AH80" s="183"/>
      <c r="AI80" s="183"/>
      <c r="AJ80" s="184"/>
      <c r="AK80" s="136"/>
      <c r="AL80" s="136"/>
      <c r="AM80" s="133" t="str">
        <f>IF([12]回答表!X50="●",[12]回答表!B151,IF([12]回答表!AA50="●",[12]回答表!B172,""))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IF([12]回答表!AD50="●","●","")</f>
        <v>●</v>
      </c>
      <c r="O87" s="131"/>
      <c r="P87" s="131"/>
      <c r="Q87" s="132"/>
      <c r="R87" s="119"/>
      <c r="S87" s="119"/>
      <c r="T87" s="119"/>
      <c r="U87" s="133" t="str">
        <f>IF([12]回答表!AD50="●",[12]回答表!B180,"")</f>
        <v>当市の特定地域生活排水処理地域の町設置浄化槽について、合併した際、他の市町は、設置費補助としてきたが1町だけ町設置浄化槽としていたため、農集の廃止が進んできた際、浄化槽の民間譲渡を検討</v>
      </c>
      <c r="V87" s="134"/>
      <c r="W87" s="134"/>
      <c r="X87" s="134"/>
      <c r="Y87" s="134"/>
      <c r="Z87" s="134"/>
      <c r="AA87" s="134"/>
      <c r="AB87" s="134"/>
      <c r="AC87" s="134"/>
      <c r="AD87" s="134"/>
      <c r="AE87" s="134"/>
      <c r="AF87" s="134"/>
      <c r="AG87" s="134"/>
      <c r="AH87" s="134"/>
      <c r="AI87" s="134"/>
      <c r="AJ87" s="135"/>
      <c r="AK87" s="189"/>
      <c r="AL87" s="189"/>
      <c r="AM87" s="133" t="str">
        <f>IF([12]回答表!AD50="●",[12]回答表!B186,"")</f>
        <v>現在、法定検査実施率１００％であるが、民間譲渡することにより実施率が低下する。機器の更新の際に残価設定・補助対応について検討が必要。また、民間譲渡した際、現在設置浄化槽が建築面積に応じた浄化槽なため、過大な人槽の浄化槽が設置されており譲渡後の維持管理費の対応をどうするかの検討も必要</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IF([12]回答表!F18="水道事業",IF([12]回答表!X51="●","●",""),"")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IF([12]回答表!F18="水道事業",IF([12]回答表!X51="●",[12]回答表!B197,IF([12]回答表!AA51="●",[12]回答表!B275,"")),"")</f>
        <v/>
      </c>
      <c r="AN99" s="134"/>
      <c r="AO99" s="134"/>
      <c r="AP99" s="134"/>
      <c r="AQ99" s="134"/>
      <c r="AR99" s="134"/>
      <c r="AS99" s="134"/>
      <c r="AT99" s="134"/>
      <c r="AU99" s="134"/>
      <c r="AV99" s="134"/>
      <c r="AW99" s="134"/>
      <c r="AX99" s="134"/>
      <c r="AY99" s="134"/>
      <c r="AZ99" s="134"/>
      <c r="BA99" s="134"/>
      <c r="BB99" s="134"/>
      <c r="BC99" s="135"/>
      <c r="BD99" s="109"/>
      <c r="BE99" s="109"/>
      <c r="BF99" s="138" t="str">
        <f>IF([12]回答表!F18="水道事業",IF([12]回答表!X51="●",[12]回答表!B256,IF([12]回答表!AA51="●",[12]回答表!B335,"")),"")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IF([12]回答表!F18="水道事業",IF([12]回答表!X51="●",[12]回答表!J205,IF([12]回答表!AA51="●",[12]回答表!J283,"")),"")</f>
        <v/>
      </c>
      <c r="V101" s="83"/>
      <c r="W101" s="83"/>
      <c r="X101" s="83"/>
      <c r="Y101" s="83"/>
      <c r="Z101" s="83"/>
      <c r="AA101" s="83"/>
      <c r="AB101" s="153"/>
      <c r="AC101" s="82" t="str">
        <f>IF([12]回答表!F18="水道事業",IF([12]回答表!X51="●",[12]回答表!J210,IF([12]回答表!AA51="●",[12]回答表!J290,"")),"")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IF([12]回答表!F18="水道事業",IF([12]回答表!X51="●",[12]回答表!E256,IF([12]回答表!AA51="●",[12]回答表!E335,"")),"")</f>
        <v/>
      </c>
      <c r="BG102" s="151"/>
      <c r="BH102" s="151"/>
      <c r="BI102" s="151"/>
      <c r="BJ102" s="150" t="str">
        <f>IF([12]回答表!F18="水道事業",IF([12]回答表!X51="●",[12]回答表!E257,IF([12]回答表!AA51="●",[12]回答表!E336,"")),"")</f>
        <v/>
      </c>
      <c r="BK102" s="151"/>
      <c r="BL102" s="151"/>
      <c r="BM102" s="151"/>
      <c r="BN102" s="150" t="str">
        <f>IF([12]回答表!F18="水道事業",IF([12]回答表!X51="●",[12]回答表!E258,IF([12]回答表!AA51="●",[12]回答表!E337,"")),"")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IF([12]回答表!F18="水道事業",IF([12]回答表!AA51="●","●",""),"")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IF([12]回答表!F18="水道事業",IF([12]回答表!X51="●",[12]回答表!J213,IF([12]回答表!AA51="●",[12]回答表!J293,"")),"")</f>
        <v/>
      </c>
      <c r="V106" s="83"/>
      <c r="W106" s="83"/>
      <c r="X106" s="83"/>
      <c r="Y106" s="83"/>
      <c r="Z106" s="83"/>
      <c r="AA106" s="83"/>
      <c r="AB106" s="153"/>
      <c r="AC106" s="82" t="str">
        <f>IF([12]回答表!F18="水道事業",IF([12]回答表!X51="●",[12]回答表!J217,IF([12]回答表!AA51="●",[12]回答表!J297,"")),"")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IF([12]回答表!F18="水道事業",IF([12]回答表!X51="●",[12]回答表!E265,IF([12]回答表!AA51="●",[12]回答表!E344,"")),"")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IF([12]回答表!F18="水道事業",IF([12]回答表!X51="●",[12]回答表!B267,IF([12]回答表!AA51="●",[12]回答表!B346,"")),"")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IF([12]回答表!F18="水道事業",IF([12]回答表!AD51="●","●",""),"")</f>
        <v/>
      </c>
      <c r="O118" s="131"/>
      <c r="P118" s="131"/>
      <c r="Q118" s="132"/>
      <c r="R118" s="119"/>
      <c r="S118" s="119"/>
      <c r="T118" s="119"/>
      <c r="U118" s="133" t="str">
        <f>IF([12]回答表!F18="水道事業",IF([12]回答表!AD51="●",[12]回答表!B354,""),"")</f>
        <v/>
      </c>
      <c r="V118" s="134"/>
      <c r="W118" s="134"/>
      <c r="X118" s="134"/>
      <c r="Y118" s="134"/>
      <c r="Z118" s="134"/>
      <c r="AA118" s="134"/>
      <c r="AB118" s="134"/>
      <c r="AC118" s="134"/>
      <c r="AD118" s="134"/>
      <c r="AE118" s="134"/>
      <c r="AF118" s="134"/>
      <c r="AG118" s="134"/>
      <c r="AH118" s="134"/>
      <c r="AI118" s="134"/>
      <c r="AJ118" s="135"/>
      <c r="AK118" s="189"/>
      <c r="AL118" s="189"/>
      <c r="AM118" s="133" t="str">
        <f>IF([12]回答表!F18="水道事業",IF([12]回答表!AD51="●",[12]回答表!B360,""),"")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IF([12]回答表!F18="簡易水道事業",IF([12]回答表!X51="●",[12]回答表!B197,IF([12]回答表!AA51="●",[12]回答表!B275,"")),"")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IF([12]回答表!F18="簡易水道事業",IF([12]回答表!X51="●",[12]回答表!B256,IF([12]回答表!AA51="●",[12]回答表!B335,"")),"")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IF([12]回答表!F18="簡易水道事業",IF([12]回答表!X51="●","●",""),"")</f>
        <v/>
      </c>
      <c r="O132" s="131"/>
      <c r="P132" s="131"/>
      <c r="Q132" s="132"/>
      <c r="R132" s="119"/>
      <c r="S132" s="119"/>
      <c r="T132" s="119"/>
      <c r="U132" s="82" t="str">
        <f>IF([12]回答表!F18="簡易水道事業",IF([12]回答表!X51="●",[12]回答表!S224,IF([12]回答表!AA51="●",[12]回答表!S304,"")),"")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IF([12]回答表!F18="簡易水道事業",IF([12]回答表!X51="●",[12]回答表!E256,IF([12]回答表!AA51="●",[12]回答表!E335,"")),"")</f>
        <v/>
      </c>
      <c r="BG133" s="151"/>
      <c r="BH133" s="151"/>
      <c r="BI133" s="151"/>
      <c r="BJ133" s="150" t="str">
        <f>IF([12]回答表!F18="簡易水道事業",IF([12]回答表!X51="●",[12]回答表!E257,IF([12]回答表!AA51="●",[12]回答表!E336,"")),"")</f>
        <v/>
      </c>
      <c r="BK133" s="151"/>
      <c r="BL133" s="151"/>
      <c r="BM133" s="151"/>
      <c r="BN133" s="150" t="str">
        <f>IF([12]回答表!F18="簡易水道事業",IF([12]回答表!X51="●",[12]回答表!E258,IF([12]回答表!AA51="●",[12]回答表!E337,"")),"")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IF([12]回答表!F18="簡易水道事業",IF([12]回答表!X51="●",[12]回答表!S225,IF([12]回答表!AA51="●",[12]回答表!S305,"")),"")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IF([12]回答表!F18="簡易水道事業",IF([12]回答表!AA51="●","●",""),"")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IF([12]回答表!F18="簡易水道事業",IF([12]回答表!X51="●",[12]回答表!S226,IF([12]回答表!AA51="●",[12]回答表!S306,"")),"")</f>
        <v/>
      </c>
      <c r="V142" s="83"/>
      <c r="W142" s="83"/>
      <c r="X142" s="83"/>
      <c r="Y142" s="83"/>
      <c r="Z142" s="83"/>
      <c r="AA142" s="83"/>
      <c r="AB142" s="83"/>
      <c r="AC142" s="83"/>
      <c r="AD142" s="83"/>
      <c r="AE142" s="83"/>
      <c r="AF142" s="83"/>
      <c r="AG142" s="83"/>
      <c r="AH142" s="83"/>
      <c r="AI142" s="83"/>
      <c r="AJ142" s="153"/>
      <c r="AK142" s="68"/>
      <c r="AL142" s="68"/>
      <c r="AM142" s="231" t="str">
        <f>IF([12]回答表!F18="簡易水道事業",IF([12]回答表!X51="●",[12]回答表!Y228,IF([12]回答表!AA51="●",[12]回答表!Y308,"")),"")</f>
        <v/>
      </c>
      <c r="AN142" s="231"/>
      <c r="AO142" s="231"/>
      <c r="AP142" s="231"/>
      <c r="AQ142" s="231"/>
      <c r="AR142" s="231"/>
      <c r="AS142" s="231" t="str">
        <f>IF([12]回答表!F18="簡易水道事業",IF([12]回答表!X51="●",[12]回答表!Y229,IF([12]回答表!AA51="●",[12]回答表!Y309,"")),"")</f>
        <v/>
      </c>
      <c r="AT142" s="231"/>
      <c r="AU142" s="231"/>
      <c r="AV142" s="231"/>
      <c r="AW142" s="231"/>
      <c r="AX142" s="231"/>
      <c r="AY142" s="231" t="str">
        <f>IF([12]回答表!F18="簡易水道事業",IF([12]回答表!X51="●",[12]回答表!Y230,IF([12]回答表!AA51="●",[12]回答表!Y310,"")),"")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IF([12]回答表!F18="簡易水道事業",IF([12]回答表!X51="●",[12]回答表!E265,IF([12]回答表!AA51="●",[12]回答表!E344,"")),"")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IF([12]回答表!F18="簡易水道事業",IF([12]回答表!X51="●",[12]回答表!B267,IF([12]回答表!AA51="●",[12]回答表!B346,"")),"")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IF([12]回答表!F18="簡易水道事業",IF([12]回答表!AD51="●","●",""),"")</f>
        <v/>
      </c>
      <c r="O154" s="131"/>
      <c r="P154" s="131"/>
      <c r="Q154" s="132"/>
      <c r="R154" s="119"/>
      <c r="S154" s="119"/>
      <c r="T154" s="119"/>
      <c r="U154" s="133" t="str">
        <f>IF([12]回答表!F18="簡易水道事業",IF([12]回答表!AD51="●",[12]回答表!B354,""),"")</f>
        <v/>
      </c>
      <c r="V154" s="134"/>
      <c r="W154" s="134"/>
      <c r="X154" s="134"/>
      <c r="Y154" s="134"/>
      <c r="Z154" s="134"/>
      <c r="AA154" s="134"/>
      <c r="AB154" s="134"/>
      <c r="AC154" s="134"/>
      <c r="AD154" s="134"/>
      <c r="AE154" s="134"/>
      <c r="AF154" s="134"/>
      <c r="AG154" s="134"/>
      <c r="AH154" s="134"/>
      <c r="AI154" s="134"/>
      <c r="AJ154" s="135"/>
      <c r="AK154" s="189"/>
      <c r="AL154" s="189"/>
      <c r="AM154" s="133" t="str">
        <f>IF([12]回答表!F18="簡易水道事業",IF([12]回答表!AD51="●",[12]回答表!B360,""),"")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IF([12]回答表!F18="下水道事業",IF([12]回答表!X51="●","●",""),"")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IF([12]回答表!F18="下水道事業",IF([12]回答表!X51="●",[12]回答表!B197,IF([12]回答表!AA51="●",[12]回答表!B275,"")),"")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IF([12]回答表!F18="下水道事業",IF([12]回答表!X51="●",[12]回答表!B256,IF([12]回答表!AA51="●",[12]回答表!B335,"")),"")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IF([12]回答表!F18="下水道事業",IF([12]回答表!X51="●",[12]回答表!N234,IF([12]回答表!AA51="●",[12]回答表!N314,"")),"")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IF([12]回答表!F18="下水道事業",IF([12]回答表!X51="●",[12]回答表!E256,IF([12]回答表!AA51="●",[12]回答表!E335,"")),"")</f>
        <v/>
      </c>
      <c r="BG169" s="151"/>
      <c r="BH169" s="151"/>
      <c r="BI169" s="151"/>
      <c r="BJ169" s="150" t="str">
        <f>IF([12]回答表!F18="下水道事業",IF([12]回答表!X51="●",[12]回答表!E257,IF([12]回答表!AA51="●",[12]回答表!E336,"")),"")</f>
        <v/>
      </c>
      <c r="BK169" s="151"/>
      <c r="BL169" s="151"/>
      <c r="BM169" s="151"/>
      <c r="BN169" s="150" t="str">
        <f>IF([12]回答表!F18="下水道事業",IF([12]回答表!X51="●",[12]回答表!E258,IF([12]回答表!AA51="●",[12]回答表!E337,"")),"")</f>
        <v/>
      </c>
      <c r="BO169" s="151"/>
      <c r="BP169" s="151"/>
      <c r="BQ169" s="152"/>
      <c r="BR169" s="112"/>
      <c r="BX169" s="234" t="str">
        <f>IF([12]回答表!AQ21="下水道事業",IF([12]回答表!BI54="○",[12]回答表!AM200,IF([12]回答表!BL54="○",[12]回答表!AM278,"")),"")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IF([12]回答表!F18="下水道事業",IF([12]回答表!X51="●",[12]回答表!Y236,IF([12]回答表!AA51="●",[12]回答表!Y316,"")),"")</f>
        <v/>
      </c>
      <c r="V174" s="83"/>
      <c r="W174" s="83"/>
      <c r="X174" s="83"/>
      <c r="Y174" s="83"/>
      <c r="Z174" s="83"/>
      <c r="AA174" s="83"/>
      <c r="AB174" s="153"/>
      <c r="AC174" s="82" t="str">
        <f>IF([12]回答表!F18="下水道事業",IF([12]回答表!X51="●",[12]回答表!Y237,IF([12]回答表!AA51="●",[12]回答表!Y317,"")),"")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IF([12]回答表!F18="下水道事業",IF([12]回答表!X51="●",[12]回答表!Y239,IF([12]回答表!AA51="●",[12]回答表!Y319,"")),"")</f>
        <v/>
      </c>
      <c r="V180" s="83"/>
      <c r="W180" s="83"/>
      <c r="X180" s="83"/>
      <c r="Y180" s="83"/>
      <c r="Z180" s="83"/>
      <c r="AA180" s="83"/>
      <c r="AB180" s="153"/>
      <c r="AC180" s="82" t="str">
        <f>IF([12]回答表!F18="下水道事業",IF([12]回答表!X51="●",[12]回答表!Y240,IF([12]回答表!AA51="●",[12]回答表!Y320,"")),"")</f>
        <v/>
      </c>
      <c r="AD180" s="83"/>
      <c r="AE180" s="83"/>
      <c r="AF180" s="83"/>
      <c r="AG180" s="83"/>
      <c r="AH180" s="83"/>
      <c r="AI180" s="83"/>
      <c r="AJ180" s="153"/>
      <c r="AK180" s="82" t="str">
        <f>IF([12]回答表!F18="下水道事業",IF([12]回答表!X51="●",[12]回答表!Y241,IF([12]回答表!AA51="●",[12]回答表!Y321,"")),"")</f>
        <v/>
      </c>
      <c r="AL180" s="83"/>
      <c r="AM180" s="83"/>
      <c r="AN180" s="83"/>
      <c r="AO180" s="83"/>
      <c r="AP180" s="83"/>
      <c r="AQ180" s="83"/>
      <c r="AR180" s="153"/>
      <c r="AS180" s="82" t="str">
        <f>IF([12]回答表!F18="下水道事業",IF([12]回答表!X51="●",[12]回答表!Y242,IF([12]回答表!AA51="●",[12]回答表!Y322,"")),"")</f>
        <v/>
      </c>
      <c r="AT180" s="83"/>
      <c r="AU180" s="83"/>
      <c r="AV180" s="83"/>
      <c r="AW180" s="83"/>
      <c r="AX180" s="83"/>
      <c r="AY180" s="83"/>
      <c r="AZ180" s="153"/>
      <c r="BA180" s="82" t="str">
        <f>IF([12]回答表!F18="下水道事業",IF([12]回答表!X51="●",[12]回答表!Y243,IF([12]回答表!AA51="●",[12]回答表!Y323,"")),"")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IF([12]回答表!F18="下水道事業",IF([12]回答表!AA51="●","●",""),"")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IF([12]回答表!F18="下水道事業",IF([12]回答表!X51="●",[12]回答表!N248,IF([12]回答表!AA51="●",[12]回答表!N328,"")),"")</f>
        <v/>
      </c>
      <c r="V186" s="83"/>
      <c r="W186" s="83"/>
      <c r="X186" s="83"/>
      <c r="Y186" s="83"/>
      <c r="Z186" s="83"/>
      <c r="AA186" s="83"/>
      <c r="AB186" s="153"/>
      <c r="AC186" s="82" t="str">
        <f>IF([12]回答表!F18="下水道事業",IF([12]回答表!X51="●",[12]回答表!N249,IF([12]回答表!AA51="●",[12]回答表!N329,"")),"")</f>
        <v/>
      </c>
      <c r="AD186" s="83"/>
      <c r="AE186" s="83"/>
      <c r="AF186" s="83"/>
      <c r="AG186" s="83"/>
      <c r="AH186" s="83"/>
      <c r="AI186" s="83"/>
      <c r="AJ186" s="153"/>
      <c r="AK186" s="82" t="str">
        <f>IF([12]回答表!F18="下水道事業",IF([12]回答表!X51="●",[12]回答表!N250,IF([12]回答表!AA51="●",[12]回答表!N330,"")),"")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IF([12]回答表!F18="下水道事業",IF([12]回答表!X51="●",[12]回答表!E265,IF([12]回答表!AA51="●",[12]回答表!E344,"")),"")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IF([12]回答表!F18="下水道事業",IF([12]回答表!X51="●",[12]回答表!B267,IF([12]回答表!AA51="●",[12]回答表!B346,"")),"")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IF([12]回答表!F18="下水道事業",IF([12]回答表!AD51="●","●",""),"")</f>
        <v/>
      </c>
      <c r="O198" s="131"/>
      <c r="P198" s="131"/>
      <c r="Q198" s="132"/>
      <c r="R198" s="119"/>
      <c r="S198" s="119"/>
      <c r="T198" s="119"/>
      <c r="U198" s="133" t="str">
        <f>IF([12]回答表!F18="下水道事業",IF([12]回答表!AD51="●",[12]回答表!B354,""),"")</f>
        <v/>
      </c>
      <c r="V198" s="134"/>
      <c r="W198" s="134"/>
      <c r="X198" s="134"/>
      <c r="Y198" s="134"/>
      <c r="Z198" s="134"/>
      <c r="AA198" s="134"/>
      <c r="AB198" s="134"/>
      <c r="AC198" s="134"/>
      <c r="AD198" s="134"/>
      <c r="AE198" s="134"/>
      <c r="AF198" s="134"/>
      <c r="AG198" s="134"/>
      <c r="AH198" s="134"/>
      <c r="AI198" s="134"/>
      <c r="AJ198" s="135"/>
      <c r="AK198" s="189"/>
      <c r="AL198" s="189"/>
      <c r="AM198" s="133" t="str">
        <f>IF([12]回答表!F18="下水道事業",IF([12]回答表!AD51="●",[12]回答表!B360,""),"")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IF([12]回答表!BD18="●",IF([12]回答表!X51="●","●",""),"")</f>
        <v/>
      </c>
      <c r="O210" s="131"/>
      <c r="P210" s="131"/>
      <c r="Q210" s="132"/>
      <c r="R210" s="119"/>
      <c r="S210" s="119"/>
      <c r="T210" s="119"/>
      <c r="U210" s="133" t="str">
        <f>IF([12]回答表!BD18="●",IF([12]回答表!X51="●",[12]回答表!B197,IF([12]回答表!AA51="●",[12]回答表!B275,"")),"")</f>
        <v/>
      </c>
      <c r="V210" s="134"/>
      <c r="W210" s="134"/>
      <c r="X210" s="134"/>
      <c r="Y210" s="134"/>
      <c r="Z210" s="134"/>
      <c r="AA210" s="134"/>
      <c r="AB210" s="134"/>
      <c r="AC210" s="134"/>
      <c r="AD210" s="134"/>
      <c r="AE210" s="134"/>
      <c r="AF210" s="134"/>
      <c r="AG210" s="134"/>
      <c r="AH210" s="134"/>
      <c r="AI210" s="134"/>
      <c r="AJ210" s="135"/>
      <c r="AK210" s="136"/>
      <c r="AL210" s="136"/>
      <c r="AM210" s="138" t="str">
        <f>IF([12]回答表!BD18="●",IF([12]回答表!X51="●",[12]回答表!B256,IF([12]回答表!AA51="●",[12]回答表!B335,"")),"")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IF([12]回答表!BD18="●",IF([12]回答表!X51="●",[12]回答表!E256,IF([12]回答表!AA51="●",[12]回答表!E335,"")),"")</f>
        <v/>
      </c>
      <c r="AN213" s="151"/>
      <c r="AO213" s="151"/>
      <c r="AP213" s="151"/>
      <c r="AQ213" s="150" t="str">
        <f>IF([12]回答表!BD18="●",IF([12]回答表!X51="●",[12]回答表!E257,IF([12]回答表!AA51="●",[12]回答表!E336,"")),"")</f>
        <v/>
      </c>
      <c r="AR213" s="151"/>
      <c r="AS213" s="151"/>
      <c r="AT213" s="151"/>
      <c r="AU213" s="150" t="str">
        <f>IF([12]回答表!BD18="●",IF([12]回答表!X51="●",[12]回答表!E258,IF([12]回答表!AA51="●",[12]回答表!E337,"")),"")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IF([12]回答表!BD18="●",IF([12]回答表!AA51="●","●",""),"")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IF([12]回答表!BD18="●",IF([12]回答表!X51="●",[12]回答表!E265,IF([12]回答表!AA51="●",[12]回答表!E344,"")),"")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IF([12]回答表!BD18="●",IF([12]回答表!X51="●",[12]回答表!B267,IF([12]回答表!AA51="●",[12]回答表!B346,"")),"")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IF([12]回答表!BD18="●",IF([12]回答表!AD51="●","●",""),"")</f>
        <v/>
      </c>
      <c r="O229" s="131"/>
      <c r="P229" s="131"/>
      <c r="Q229" s="132"/>
      <c r="R229" s="119"/>
      <c r="S229" s="119"/>
      <c r="T229" s="119"/>
      <c r="U229" s="133" t="str">
        <f>IF([12]回答表!BD18="●",IF([12]回答表!AD51="●",[12]回答表!B354,""),"")</f>
        <v/>
      </c>
      <c r="V229" s="134"/>
      <c r="W229" s="134"/>
      <c r="X229" s="134"/>
      <c r="Y229" s="134"/>
      <c r="Z229" s="134"/>
      <c r="AA229" s="134"/>
      <c r="AB229" s="134"/>
      <c r="AC229" s="134"/>
      <c r="AD229" s="134"/>
      <c r="AE229" s="134"/>
      <c r="AF229" s="134"/>
      <c r="AG229" s="134"/>
      <c r="AH229" s="134"/>
      <c r="AI229" s="134"/>
      <c r="AJ229" s="135"/>
      <c r="AK229" s="249"/>
      <c r="AL229" s="249"/>
      <c r="AM229" s="133" t="str">
        <f>IF([12]回答表!BD18="●",IF([12]回答表!AD51="●",[12]回答表!B360,""),"")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IF([12]回答表!X52="●","●","")</f>
        <v/>
      </c>
      <c r="O241" s="131"/>
      <c r="P241" s="131"/>
      <c r="Q241" s="132"/>
      <c r="R241" s="119"/>
      <c r="S241" s="119"/>
      <c r="T241" s="119"/>
      <c r="U241" s="133" t="str">
        <f>IF([12]回答表!X52="●",[12]回答表!B371,IF([12]回答表!AA52="●",[12]回答表!B396,""))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IF([12]回答表!X52="●",[12]回答表!U377,IF([12]回答表!AA52="●",[12]回答表!U402,""))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IF([12]回答表!X52="●",[12]回答表!G377,IF([12]回答表!AA52="●",[12]回答表!G402,""))</f>
        <v/>
      </c>
      <c r="AN244" s="83"/>
      <c r="AO244" s="83"/>
      <c r="AP244" s="83"/>
      <c r="AQ244" s="83"/>
      <c r="AR244" s="83"/>
      <c r="AS244" s="83"/>
      <c r="AT244" s="153"/>
      <c r="AU244" s="82" t="str">
        <f>IF([12]回答表!X52="●",[12]回答表!G378,IF([12]回答表!AA52="●",[12]回答表!G403,""))</f>
        <v/>
      </c>
      <c r="AV244" s="83"/>
      <c r="AW244" s="83"/>
      <c r="AX244" s="83"/>
      <c r="AY244" s="83"/>
      <c r="AZ244" s="83"/>
      <c r="BA244" s="83"/>
      <c r="BB244" s="153"/>
      <c r="BC244" s="120"/>
      <c r="BD244" s="109"/>
      <c r="BE244" s="109"/>
      <c r="BF244" s="150" t="str">
        <f>IF([12]回答表!X52="●",[12]回答表!X377,IF([12]回答表!AA52="●",[12]回答表!X402,""))</f>
        <v/>
      </c>
      <c r="BG244" s="151"/>
      <c r="BH244" s="151"/>
      <c r="BI244" s="151"/>
      <c r="BJ244" s="150" t="str">
        <f>IF([12]回答表!X52="●",[12]回答表!X378,IF([12]回答表!AA52="●",[12]回答表!X403,""))</f>
        <v/>
      </c>
      <c r="BK244" s="151"/>
      <c r="BL244" s="151"/>
      <c r="BM244" s="152"/>
      <c r="BN244" s="150" t="str">
        <f>IF([12]回答表!X52="●",[12]回答表!X379,IF([12]回答表!AA52="●",[12]回答表!X404,""))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IF([12]回答表!X52="●",[12]回答表!E386,IF([12]回答表!AA52="●",[12]回答表!E407,""))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IF([12]回答表!X52="●",[12]回答表!B388,IF([12]回答表!AA52="●",[12]回答表!B409,""))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IF([12]回答表!AD52="●","●","")</f>
        <v/>
      </c>
      <c r="O260" s="131"/>
      <c r="P260" s="131"/>
      <c r="Q260" s="132"/>
      <c r="R260" s="119"/>
      <c r="S260" s="119"/>
      <c r="T260" s="119"/>
      <c r="U260" s="133" t="str">
        <f>IF([12]回答表!AD52="●",[12]回答表!B417,"")</f>
        <v/>
      </c>
      <c r="V260" s="134"/>
      <c r="W260" s="134"/>
      <c r="X260" s="134"/>
      <c r="Y260" s="134"/>
      <c r="Z260" s="134"/>
      <c r="AA260" s="134"/>
      <c r="AB260" s="134"/>
      <c r="AC260" s="134"/>
      <c r="AD260" s="134"/>
      <c r="AE260" s="134"/>
      <c r="AF260" s="134"/>
      <c r="AG260" s="134"/>
      <c r="AH260" s="134"/>
      <c r="AI260" s="134"/>
      <c r="AJ260" s="135"/>
      <c r="AK260" s="249"/>
      <c r="AL260" s="249"/>
      <c r="AM260" s="133" t="str">
        <f>IF([12]回答表!AD52="●",[12]回答表!B423,"")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IF([12]回答表!X53="●","●","")</f>
        <v/>
      </c>
      <c r="O272" s="131"/>
      <c r="P272" s="131"/>
      <c r="Q272" s="132"/>
      <c r="R272" s="119"/>
      <c r="S272" s="119"/>
      <c r="T272" s="119"/>
      <c r="U272" s="133" t="str">
        <f>IF([12]回答表!X53="●",[12]回答表!B434,IF([12]回答表!AA53="●",[12]回答表!B465,""))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IF([12]回答表!X53="●",[12]回答表!B440,"")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IF([12]回答表!X53="●",[12]回答表!B446,IF([12]回答表!AA53="●",[12]回答表!B471,""))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IF([12]回答表!X53="●",[12]回答表!E446,IF([12]回答表!AA53="●",[12]回答表!E471,""))</f>
        <v/>
      </c>
      <c r="BG275" s="151"/>
      <c r="BH275" s="151"/>
      <c r="BI275" s="151"/>
      <c r="BJ275" s="150" t="str">
        <f>IF([12]回答表!X53="●",[12]回答表!E447,IF([12]回答表!AA53="●",[12]回答表!E472,""))</f>
        <v/>
      </c>
      <c r="BK275" s="151"/>
      <c r="BL275" s="151"/>
      <c r="BM275" s="152"/>
      <c r="BN275" s="150" t="str">
        <f>IF([12]回答表!X53="●",[12]回答表!E448,IF([12]回答表!AA53="●",[12]回答表!E473,""))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IF([12]回答表!X53="●",[12]回答表!E455,IF([12]回答表!AA53="●",[12]回答表!E476,""))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IF([12]回答表!X53="●",[12]回答表!B457,IF([12]回答表!AA53="●",[12]回答表!B478,""))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IF([12]回答表!AD53="●","●","")</f>
        <v/>
      </c>
      <c r="O291" s="131"/>
      <c r="P291" s="131"/>
      <c r="Q291" s="132"/>
      <c r="R291" s="119"/>
      <c r="S291" s="119"/>
      <c r="T291" s="119"/>
      <c r="U291" s="133" t="str">
        <f>IF([12]回答表!AD53="●",[12]回答表!B486,"")</f>
        <v/>
      </c>
      <c r="V291" s="134"/>
      <c r="W291" s="134"/>
      <c r="X291" s="134"/>
      <c r="Y291" s="134"/>
      <c r="Z291" s="134"/>
      <c r="AA291" s="134"/>
      <c r="AB291" s="134"/>
      <c r="AC291" s="134"/>
      <c r="AD291" s="134"/>
      <c r="AE291" s="134"/>
      <c r="AF291" s="134"/>
      <c r="AG291" s="134"/>
      <c r="AH291" s="134"/>
      <c r="AI291" s="134"/>
      <c r="AJ291" s="135"/>
      <c r="AK291" s="249"/>
      <c r="AL291" s="249"/>
      <c r="AM291" s="133" t="str">
        <f>IF([12]回答表!AD53="●",[12]回答表!B492,"")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IF([12]回答表!X54="●","●","")</f>
        <v/>
      </c>
      <c r="O303" s="131"/>
      <c r="P303" s="131"/>
      <c r="Q303" s="132"/>
      <c r="R303" s="119"/>
      <c r="S303" s="119"/>
      <c r="T303" s="119"/>
      <c r="U303" s="133" t="str">
        <f>IF([12]回答表!X54="●",[12]回答表!B503,IF([12]回答表!AA54="●",[12]回答表!B526,""))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IF([12]回答表!X54="●",[12]回答表!BC510,IF([12]回答表!AA54="●",[12]回答表!BC533,""))</f>
        <v/>
      </c>
      <c r="AR303" s="271"/>
      <c r="AS303" s="271"/>
      <c r="AT303" s="271"/>
      <c r="AU303" s="272" t="s">
        <v>74</v>
      </c>
      <c r="AV303" s="273"/>
      <c r="AW303" s="273"/>
      <c r="AX303" s="274"/>
      <c r="AY303" s="271" t="str">
        <f>IF([12]回答表!X54="●",[12]回答表!BC515,IF([12]回答表!AA54="●",[12]回答表!BC538,""))</f>
        <v/>
      </c>
      <c r="AZ303" s="271"/>
      <c r="BA303" s="271"/>
      <c r="BB303" s="271"/>
      <c r="BC303" s="120"/>
      <c r="BD303" s="109"/>
      <c r="BE303" s="109"/>
      <c r="BF303" s="138" t="str">
        <f>IF([12]回答表!X54="●",[12]回答表!S509,IF([12]回答表!AA54="●",[12]回答表!S532,""))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IF([12]回答表!X54="●",[12]回答表!BC511,IF([12]回答表!AA54="●",[12]回答表!BC534,""))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IF([12]回答表!X54="●",[12]回答表!V509,IF([12]回答表!AA54="●",[12]回答表!V532,""))</f>
        <v/>
      </c>
      <c r="BG306" s="151"/>
      <c r="BH306" s="151"/>
      <c r="BI306" s="151"/>
      <c r="BJ306" s="150" t="str">
        <f>IF([12]回答表!X54="●",[12]回答表!V510,IF([12]回答表!AA54="●",[12]回答表!V533,""))</f>
        <v/>
      </c>
      <c r="BK306" s="151"/>
      <c r="BL306" s="151"/>
      <c r="BM306" s="152"/>
      <c r="BN306" s="150" t="str">
        <f>IF([12]回答表!X54="●",[12]回答表!V511,IF([12]回答表!AA54="●",[12]回答表!V534,""))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IF([12]回答表!X54="●",[12]回答表!BC512,IF([12]回答表!AA54="●",[12]回答表!BC535,""))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IF([12]回答表!X54="●",[12]回答表!BC516,IF([12]回答表!AA54="●",[12]回答表!BC539,""))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IF([12]回答表!X54="●",[12]回答表!BC513,IF([12]回答表!AA54="●",[12]回答表!BC536,""))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IF([12]回答表!X54="●",[12]回答表!BC514,IF([12]回答表!AA54="●",[12]回答表!BC537,""))</f>
        <v/>
      </c>
      <c r="AR311" s="271"/>
      <c r="AS311" s="271"/>
      <c r="AT311" s="271"/>
      <c r="AU311" s="222" t="s">
        <v>80</v>
      </c>
      <c r="AV311" s="223"/>
      <c r="AW311" s="223"/>
      <c r="AX311" s="224"/>
      <c r="AY311" s="281" t="str">
        <f>IF([12]回答表!X54="●",[12]回答表!BC517,IF([12]回答表!AA54="●",[12]回答表!BC540,""))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IF([12]回答表!X54="●",[12]回答表!E516,IF([12]回答表!AA54="●",[12]回答表!E538,""))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IF([12]回答表!X54="●",[12]回答表!B518,IF([12]回答表!AA54="●",[12]回答表!B540,""))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IF([12]回答表!AD54="●","●","")</f>
        <v/>
      </c>
      <c r="O322" s="131"/>
      <c r="P322" s="131"/>
      <c r="Q322" s="132"/>
      <c r="R322" s="119"/>
      <c r="S322" s="119"/>
      <c r="T322" s="119"/>
      <c r="U322" s="133" t="str">
        <f>IF([12]回答表!AD54="●",[12]回答表!B548,"")</f>
        <v/>
      </c>
      <c r="V322" s="134"/>
      <c r="W322" s="134"/>
      <c r="X322" s="134"/>
      <c r="Y322" s="134"/>
      <c r="Z322" s="134"/>
      <c r="AA322" s="134"/>
      <c r="AB322" s="134"/>
      <c r="AC322" s="134"/>
      <c r="AD322" s="134"/>
      <c r="AE322" s="134"/>
      <c r="AF322" s="134"/>
      <c r="AG322" s="134"/>
      <c r="AH322" s="134"/>
      <c r="AI322" s="134"/>
      <c r="AJ322" s="135"/>
      <c r="AK322" s="189"/>
      <c r="AL322" s="189"/>
      <c r="AM322" s="133" t="str">
        <f>IF([12]回答表!AD54="●",[12]回答表!B554,"")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IF([12]回答表!X55="●","●","")</f>
        <v/>
      </c>
      <c r="O333" s="131"/>
      <c r="P333" s="131"/>
      <c r="Q333" s="132"/>
      <c r="R333" s="119"/>
      <c r="S333" s="119"/>
      <c r="T333" s="119"/>
      <c r="U333" s="133" t="str">
        <f>IF([12]回答表!X55="●",[12]回答表!B565,IF([12]回答表!AA55="●",[12]回答表!B590,""))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IF([12]回答表!X55="●",[12]回答表!B575,IF([12]回答表!AA55="●",[12]回答表!B600,""))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IF([12]回答表!X55="●",[12]回答表!G571,IF([12]回答表!AA55="●",[12]回答表!G596,""))</f>
        <v/>
      </c>
      <c r="AN335" s="83"/>
      <c r="AO335" s="83"/>
      <c r="AP335" s="83"/>
      <c r="AQ335" s="83"/>
      <c r="AR335" s="83"/>
      <c r="AS335" s="83"/>
      <c r="AT335" s="153"/>
      <c r="AU335" s="82" t="str">
        <f>IF([12]回答表!X55="●",[12]回答表!G572,IF([12]回答表!AA55="●",[12]回答表!G597,""))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IF([12]回答表!X55="●",[12]回答表!E575,IF([12]回答表!AA55="●",[12]回答表!E600,""))</f>
        <v/>
      </c>
      <c r="BG336" s="151"/>
      <c r="BH336" s="151"/>
      <c r="BI336" s="151"/>
      <c r="BJ336" s="150" t="str">
        <f>IF([12]回答表!X55="●",[12]回答表!E576,IF([12]回答表!AA55="●",[12]回答表!E601,""))</f>
        <v/>
      </c>
      <c r="BK336" s="151"/>
      <c r="BL336" s="151"/>
      <c r="BM336" s="152"/>
      <c r="BN336" s="150" t="str">
        <f>IF([12]回答表!X55="●",[12]回答表!E577,IF([12]回答表!AA55="●",[12]回答表!E602,""))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IF([12]回答表!X55="●",[12]回答表!E580,IF([12]回答表!AA55="●",[12]回答表!E605,""))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IF([12]回答表!X55="●",[12]回答表!B582,IF([12]回答表!AA55="●",[12]回答表!B607,""))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IF([12]回答表!AD55="●","●","")</f>
        <v/>
      </c>
      <c r="O352" s="131"/>
      <c r="P352" s="131"/>
      <c r="Q352" s="132"/>
      <c r="R352" s="119"/>
      <c r="S352" s="119"/>
      <c r="T352" s="119"/>
      <c r="U352" s="133" t="str">
        <f>IF([12]回答表!AD55="●",[12]回答表!B615,"")</f>
        <v/>
      </c>
      <c r="V352" s="134"/>
      <c r="W352" s="134"/>
      <c r="X352" s="134"/>
      <c r="Y352" s="134"/>
      <c r="Z352" s="134"/>
      <c r="AA352" s="134"/>
      <c r="AB352" s="134"/>
      <c r="AC352" s="134"/>
      <c r="AD352" s="134"/>
      <c r="AE352" s="134"/>
      <c r="AF352" s="134"/>
      <c r="AG352" s="134"/>
      <c r="AH352" s="134"/>
      <c r="AI352" s="134"/>
      <c r="AJ352" s="135"/>
      <c r="AK352" s="136"/>
      <c r="AL352" s="136"/>
      <c r="AM352" s="133" t="str">
        <f>IF([12]回答表!AD55="●",[12]回答表!B621,"")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IF([12]回答表!R56="●",[12]回答表!B634,"")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AB11D-2DEF-47A4-A97E-0355E42976E5}">
  <dimension ref="A1:CN384"/>
  <sheetViews>
    <sheetView tabSelected="1"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IF(COUNTIF([13]回答表!K16,"*")&gt;0,[13]回答表!K16,"")</f>
        <v>大館市</v>
      </c>
      <c r="D11" s="8"/>
      <c r="E11" s="8"/>
      <c r="F11" s="8"/>
      <c r="G11" s="8"/>
      <c r="H11" s="8"/>
      <c r="I11" s="8"/>
      <c r="J11" s="8"/>
      <c r="K11" s="8"/>
      <c r="L11" s="8"/>
      <c r="M11" s="8"/>
      <c r="N11" s="8"/>
      <c r="O11" s="8"/>
      <c r="P11" s="8"/>
      <c r="Q11" s="8"/>
      <c r="R11" s="8"/>
      <c r="S11" s="8"/>
      <c r="T11" s="8"/>
      <c r="U11" s="22" t="str">
        <f>IF(COUNTIF([13]回答表!F18,"*")&gt;0,[13]回答表!F18,"")</f>
        <v>駐車場整備事業</v>
      </c>
      <c r="V11" s="23"/>
      <c r="W11" s="23"/>
      <c r="X11" s="23"/>
      <c r="Y11" s="23"/>
      <c r="Z11" s="23"/>
      <c r="AA11" s="23"/>
      <c r="AB11" s="23"/>
      <c r="AC11" s="23"/>
      <c r="AD11" s="23"/>
      <c r="AE11" s="23"/>
      <c r="AF11" s="10"/>
      <c r="AG11" s="10"/>
      <c r="AH11" s="10"/>
      <c r="AI11" s="10"/>
      <c r="AJ11" s="10"/>
      <c r="AK11" s="10"/>
      <c r="AL11" s="10"/>
      <c r="AM11" s="10"/>
      <c r="AN11" s="11"/>
      <c r="AO11" s="24" t="str">
        <f>IF(COUNTIF([13]回答表!W18,"*")&gt;0,[13]回答表!W18,"")</f>
        <v>―</v>
      </c>
      <c r="AP11" s="10"/>
      <c r="AQ11" s="10"/>
      <c r="AR11" s="10"/>
      <c r="AS11" s="10"/>
      <c r="AT11" s="10"/>
      <c r="AU11" s="10"/>
      <c r="AV11" s="10"/>
      <c r="AW11" s="10"/>
      <c r="AX11" s="10"/>
      <c r="AY11" s="10"/>
      <c r="AZ11" s="10"/>
      <c r="BA11" s="10"/>
      <c r="BB11" s="10"/>
      <c r="BC11" s="10"/>
      <c r="BD11" s="10"/>
      <c r="BE11" s="10"/>
      <c r="BF11" s="11"/>
      <c r="BG11" s="21" t="str">
        <f>IF(COUNTIF([13]回答表!F20,"*")&gt;0,[13]回答表!F20,"")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IF([13]回答表!R49="●","●","")</f>
        <v>●</v>
      </c>
      <c r="E24" s="80"/>
      <c r="F24" s="80"/>
      <c r="G24" s="80"/>
      <c r="H24" s="80"/>
      <c r="I24" s="80"/>
      <c r="J24" s="81"/>
      <c r="K24" s="79" t="str">
        <f>IF([13]回答表!R50="●","●","")</f>
        <v/>
      </c>
      <c r="L24" s="80"/>
      <c r="M24" s="80"/>
      <c r="N24" s="80"/>
      <c r="O24" s="80"/>
      <c r="P24" s="80"/>
      <c r="Q24" s="81"/>
      <c r="R24" s="79" t="str">
        <f>IF([13]回答表!R51="●","●","")</f>
        <v/>
      </c>
      <c r="S24" s="80"/>
      <c r="T24" s="80"/>
      <c r="U24" s="80"/>
      <c r="V24" s="80"/>
      <c r="W24" s="80"/>
      <c r="X24" s="81"/>
      <c r="Y24" s="79" t="str">
        <f>IF([13]回答表!R52="●","●","")</f>
        <v/>
      </c>
      <c r="Z24" s="80"/>
      <c r="AA24" s="80"/>
      <c r="AB24" s="80"/>
      <c r="AC24" s="80"/>
      <c r="AD24" s="80"/>
      <c r="AE24" s="81"/>
      <c r="AF24" s="79" t="str">
        <f>IF([13]回答表!R53="●","●","")</f>
        <v/>
      </c>
      <c r="AG24" s="80"/>
      <c r="AH24" s="80"/>
      <c r="AI24" s="80"/>
      <c r="AJ24" s="80"/>
      <c r="AK24" s="80"/>
      <c r="AL24" s="81"/>
      <c r="AM24" s="79" t="str">
        <f>IF([13]回答表!R54="●","●","")</f>
        <v/>
      </c>
      <c r="AN24" s="80"/>
      <c r="AO24" s="80"/>
      <c r="AP24" s="80"/>
      <c r="AQ24" s="80"/>
      <c r="AR24" s="80"/>
      <c r="AS24" s="81"/>
      <c r="AT24" s="79" t="str">
        <f>IF([13]回答表!R55="●","●","")</f>
        <v/>
      </c>
      <c r="AU24" s="80"/>
      <c r="AV24" s="80"/>
      <c r="AW24" s="80"/>
      <c r="AX24" s="80"/>
      <c r="AY24" s="80"/>
      <c r="AZ24" s="81"/>
      <c r="BA24" s="68"/>
      <c r="BB24" s="82" t="str">
        <f>IF([13]回答表!R56="●","●","")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IF([13]回答表!X49="●","●","")</f>
        <v>●</v>
      </c>
      <c r="O36" s="131"/>
      <c r="P36" s="131"/>
      <c r="Q36" s="132"/>
      <c r="R36" s="119"/>
      <c r="S36" s="119"/>
      <c r="T36" s="119"/>
      <c r="U36" s="133" t="str">
        <f>IF([13]回答表!X49="●",[13]回答表!B67,IF([13]回答表!AA49="●",[13]回答表!B95,""))</f>
        <v>特別会計を設置して公設駐車場の運営及び建設事業債の償還を行っていたが、指定管理者制度の導入及び借入金の償還終了に伴い、事業廃止を実施した。また、事業廃止後に管理方法を見直し、現在は月極めの有料駐車場として管理している。</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IF([13]回答表!X49="●",[13]回答表!S73,IF([13]回答表!AA49="●",[13]回答表!S101,""))</f>
        <v>平成</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IF([13]回答表!X49="●",[13]回答表!G73,IF([13]回答表!AA49="●",[13]回答表!G101,""))</f>
        <v>●</v>
      </c>
      <c r="AN38" s="83"/>
      <c r="AO38" s="83"/>
      <c r="AP38" s="83"/>
      <c r="AQ38" s="83"/>
      <c r="AR38" s="83"/>
      <c r="AS38" s="83"/>
      <c r="AT38" s="153"/>
      <c r="AU38" s="82" t="str">
        <f>IF([13]回答表!X49="●",[13]回答表!G74,IF([13]回答表!AA49="●",[13]回答表!G102,""))</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IF([13]回答表!X49="●",[13]回答表!V73,IF([13]回答表!AA49="●",[13]回答表!V101,""))</f>
        <v>27</v>
      </c>
      <c r="BG39" s="16"/>
      <c r="BH39" s="16"/>
      <c r="BI39" s="17"/>
      <c r="BJ39" s="150">
        <f>IF([13]回答表!X49="●",[13]回答表!V74,IF([13]回答表!AA49="●",[13]回答表!V102,""))</f>
        <v>3</v>
      </c>
      <c r="BK39" s="16"/>
      <c r="BL39" s="16"/>
      <c r="BM39" s="17"/>
      <c r="BN39" s="150">
        <f>IF([13]回答表!X49="●",[13]回答表!V75,IF([13]回答表!AA49="●",[13]回答表!V103,""))</f>
        <v>31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IF([13]回答表!X49="●",[13]回答表!O79,IF([13]回答表!AA49="●",[13]回答表!O107,""))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IF([13]回答表!X49="●",[13]回答表!O80,IF([13]回答表!AA49="●",[13]回答表!O108,""))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IF([13]回答表!X49="●",[13]回答表!O81,IF([13]回答表!AA49="●",[13]回答表!O109,""))</f>
        <v xml:space="preserve">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IF([13]回答表!X49="●",[13]回答表!O82,IF([13]回答表!AA49="●",[13]回答表!O110,""))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IF([13]回答表!X49="●",[13]回答表!AG79,IF([13]回答表!AA49="●",[13]回答表!AG107,""))</f>
        <v xml:space="preserve">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IF([13]回答表!X49="●",[13]回答表!AG80,IF([13]回答表!AA49="●",[13]回答表!AG108,""))</f>
        <v>●</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f>IF([13]回答表!X49="●",[13]回答表!E85,IF([13]回答表!AA49="●",[13]回答表!E113,""))</f>
        <v>4</v>
      </c>
      <c r="V50" s="182"/>
      <c r="W50" s="182"/>
      <c r="X50" s="182"/>
      <c r="Y50" s="182"/>
      <c r="Z50" s="182"/>
      <c r="AA50" s="182"/>
      <c r="AB50" s="182"/>
      <c r="AC50" s="182"/>
      <c r="AD50" s="182"/>
      <c r="AE50" s="183" t="s">
        <v>33</v>
      </c>
      <c r="AF50" s="183"/>
      <c r="AG50" s="183"/>
      <c r="AH50" s="183"/>
      <c r="AI50" s="183"/>
      <c r="AJ50" s="184"/>
      <c r="AK50" s="136"/>
      <c r="AL50" s="136"/>
      <c r="AM50" s="133" t="str">
        <f>IF([13]回答表!X49="●",[13]回答表!B87,IF([13]回答表!AA49="●",[13]回答表!B115,""))</f>
        <v>管理運営費　年▲4百万円
（H26年度3月補正予算後予算額とR4年度当初予算額対比）</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IF([13]回答表!AD49="●","●","")</f>
        <v/>
      </c>
      <c r="O57" s="131"/>
      <c r="P57" s="131"/>
      <c r="Q57" s="132"/>
      <c r="R57" s="119"/>
      <c r="S57" s="119"/>
      <c r="T57" s="119"/>
      <c r="U57" s="133" t="str">
        <f>IF([13]回答表!AD49="●",[13]回答表!B123,"")</f>
        <v/>
      </c>
      <c r="V57" s="134"/>
      <c r="W57" s="134"/>
      <c r="X57" s="134"/>
      <c r="Y57" s="134"/>
      <c r="Z57" s="134"/>
      <c r="AA57" s="134"/>
      <c r="AB57" s="134"/>
      <c r="AC57" s="134"/>
      <c r="AD57" s="134"/>
      <c r="AE57" s="134"/>
      <c r="AF57" s="134"/>
      <c r="AG57" s="134"/>
      <c r="AH57" s="134"/>
      <c r="AI57" s="134"/>
      <c r="AJ57" s="135"/>
      <c r="AK57" s="189"/>
      <c r="AL57" s="189"/>
      <c r="AM57" s="133" t="str">
        <f>IF([13]回答表!AD49="●",[13]回答表!B128,"")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IF([13]回答表!X50="●","●","")</f>
        <v/>
      </c>
      <c r="O68" s="131"/>
      <c r="P68" s="131"/>
      <c r="Q68" s="132"/>
      <c r="R68" s="119"/>
      <c r="S68" s="119"/>
      <c r="T68" s="119"/>
      <c r="U68" s="133" t="str">
        <f>IF([13]回答表!X50="●",[13]回答表!B138,IF([13]回答表!AA50="●",[13]回答表!B159,""))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IF([13]回答表!X50="●",[13]回答表!S144,IF([13]回答表!AA50="●",[13]回答表!S165,""))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IF([13]回答表!X50="●",[13]回答表!J144,IF([13]回答表!AA50="●",[13]回答表!J165,""))</f>
        <v/>
      </c>
      <c r="AN71" s="83"/>
      <c r="AO71" s="83"/>
      <c r="AP71" s="83"/>
      <c r="AQ71" s="83"/>
      <c r="AR71" s="83"/>
      <c r="AS71" s="83"/>
      <c r="AT71" s="153"/>
      <c r="AU71" s="82" t="str">
        <f>IF([13]回答表!X50="●",[13]回答表!J145,IF([13]回答表!AA50="●",[13]回答表!J166,""))</f>
        <v/>
      </c>
      <c r="AV71" s="83"/>
      <c r="AW71" s="83"/>
      <c r="AX71" s="83"/>
      <c r="AY71" s="83"/>
      <c r="AZ71" s="83"/>
      <c r="BA71" s="83"/>
      <c r="BB71" s="153"/>
      <c r="BC71" s="120"/>
      <c r="BD71" s="109"/>
      <c r="BE71" s="109"/>
      <c r="BF71" s="150" t="str">
        <f>IF([13]回答表!X50="●",[13]回答表!V144,IF([13]回答表!AA50="●",[13]回答表!V165,""))</f>
        <v/>
      </c>
      <c r="BG71" s="151"/>
      <c r="BH71" s="151"/>
      <c r="BI71" s="151"/>
      <c r="BJ71" s="150" t="str">
        <f>IF([13]回答表!X50="●",[13]回答表!V145,IF([13]回答表!AA50="●",[13]回答表!V166,""))</f>
        <v/>
      </c>
      <c r="BK71" s="151"/>
      <c r="BL71" s="151"/>
      <c r="BM71" s="151"/>
      <c r="BN71" s="150" t="str">
        <f>IF([13]回答表!X50="●",[13]回答表!V146,IF([13]回答表!AA50="●",[13]回答表!V167,""))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IF([13]回答表!X50="●",[13]回答表!E149,IF([13]回答表!AA50="●",[13]回答表!E170,""))</f>
        <v/>
      </c>
      <c r="V80" s="182"/>
      <c r="W80" s="182"/>
      <c r="X80" s="182"/>
      <c r="Y80" s="182"/>
      <c r="Z80" s="182"/>
      <c r="AA80" s="182"/>
      <c r="AB80" s="182"/>
      <c r="AC80" s="182"/>
      <c r="AD80" s="182"/>
      <c r="AE80" s="183" t="s">
        <v>33</v>
      </c>
      <c r="AF80" s="183"/>
      <c r="AG80" s="183"/>
      <c r="AH80" s="183"/>
      <c r="AI80" s="183"/>
      <c r="AJ80" s="184"/>
      <c r="AK80" s="136"/>
      <c r="AL80" s="136"/>
      <c r="AM80" s="133" t="str">
        <f>IF([13]回答表!X50="●",[13]回答表!B151,IF([13]回答表!AA50="●",[13]回答表!B172,""))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IF([13]回答表!AD50="●","●","")</f>
        <v/>
      </c>
      <c r="O87" s="131"/>
      <c r="P87" s="131"/>
      <c r="Q87" s="132"/>
      <c r="R87" s="119"/>
      <c r="S87" s="119"/>
      <c r="T87" s="119"/>
      <c r="U87" s="133" t="str">
        <f>IF([13]回答表!AD50="●",[13]回答表!B180,"")</f>
        <v/>
      </c>
      <c r="V87" s="134"/>
      <c r="W87" s="134"/>
      <c r="X87" s="134"/>
      <c r="Y87" s="134"/>
      <c r="Z87" s="134"/>
      <c r="AA87" s="134"/>
      <c r="AB87" s="134"/>
      <c r="AC87" s="134"/>
      <c r="AD87" s="134"/>
      <c r="AE87" s="134"/>
      <c r="AF87" s="134"/>
      <c r="AG87" s="134"/>
      <c r="AH87" s="134"/>
      <c r="AI87" s="134"/>
      <c r="AJ87" s="135"/>
      <c r="AK87" s="189"/>
      <c r="AL87" s="189"/>
      <c r="AM87" s="133" t="str">
        <f>IF([13]回答表!AD50="●",[13]回答表!B186,"")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IF([13]回答表!F18="水道事業",IF([13]回答表!X51="●","●",""),"")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IF([13]回答表!F18="水道事業",IF([13]回答表!X51="●",[13]回答表!B197,IF([13]回答表!AA51="●",[13]回答表!B275,"")),"")</f>
        <v/>
      </c>
      <c r="AN99" s="134"/>
      <c r="AO99" s="134"/>
      <c r="AP99" s="134"/>
      <c r="AQ99" s="134"/>
      <c r="AR99" s="134"/>
      <c r="AS99" s="134"/>
      <c r="AT99" s="134"/>
      <c r="AU99" s="134"/>
      <c r="AV99" s="134"/>
      <c r="AW99" s="134"/>
      <c r="AX99" s="134"/>
      <c r="AY99" s="134"/>
      <c r="AZ99" s="134"/>
      <c r="BA99" s="134"/>
      <c r="BB99" s="134"/>
      <c r="BC99" s="135"/>
      <c r="BD99" s="109"/>
      <c r="BE99" s="109"/>
      <c r="BF99" s="138" t="str">
        <f>IF([13]回答表!F18="水道事業",IF([13]回答表!X51="●",[13]回答表!B256,IF([13]回答表!AA51="●",[13]回答表!B335,"")),"")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IF([13]回答表!F18="水道事業",IF([13]回答表!X51="●",[13]回答表!J205,IF([13]回答表!AA51="●",[13]回答表!J283,"")),"")</f>
        <v/>
      </c>
      <c r="V101" s="83"/>
      <c r="W101" s="83"/>
      <c r="X101" s="83"/>
      <c r="Y101" s="83"/>
      <c r="Z101" s="83"/>
      <c r="AA101" s="83"/>
      <c r="AB101" s="153"/>
      <c r="AC101" s="82" t="str">
        <f>IF([13]回答表!F18="水道事業",IF([13]回答表!X51="●",[13]回答表!J210,IF([13]回答表!AA51="●",[13]回答表!J290,"")),"")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IF([13]回答表!F18="水道事業",IF([13]回答表!X51="●",[13]回答表!E256,IF([13]回答表!AA51="●",[13]回答表!E335,"")),"")</f>
        <v/>
      </c>
      <c r="BG102" s="151"/>
      <c r="BH102" s="151"/>
      <c r="BI102" s="151"/>
      <c r="BJ102" s="150" t="str">
        <f>IF([13]回答表!F18="水道事業",IF([13]回答表!X51="●",[13]回答表!E257,IF([13]回答表!AA51="●",[13]回答表!E336,"")),"")</f>
        <v/>
      </c>
      <c r="BK102" s="151"/>
      <c r="BL102" s="151"/>
      <c r="BM102" s="151"/>
      <c r="BN102" s="150" t="str">
        <f>IF([13]回答表!F18="水道事業",IF([13]回答表!X51="●",[13]回答表!E258,IF([13]回答表!AA51="●",[13]回答表!E337,"")),"")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IF([13]回答表!F18="水道事業",IF([13]回答表!AA51="●","●",""),"")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IF([13]回答表!F18="水道事業",IF([13]回答表!X51="●",[13]回答表!J213,IF([13]回答表!AA51="●",[13]回答表!J293,"")),"")</f>
        <v/>
      </c>
      <c r="V106" s="83"/>
      <c r="W106" s="83"/>
      <c r="X106" s="83"/>
      <c r="Y106" s="83"/>
      <c r="Z106" s="83"/>
      <c r="AA106" s="83"/>
      <c r="AB106" s="153"/>
      <c r="AC106" s="82" t="str">
        <f>IF([13]回答表!F18="水道事業",IF([13]回答表!X51="●",[13]回答表!J217,IF([13]回答表!AA51="●",[13]回答表!J297,"")),"")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IF([13]回答表!F18="水道事業",IF([13]回答表!X51="●",[13]回答表!E265,IF([13]回答表!AA51="●",[13]回答表!E344,"")),"")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IF([13]回答表!F18="水道事業",IF([13]回答表!X51="●",[13]回答表!B267,IF([13]回答表!AA51="●",[13]回答表!B346,"")),"")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IF([13]回答表!F18="水道事業",IF([13]回答表!AD51="●","●",""),"")</f>
        <v/>
      </c>
      <c r="O118" s="131"/>
      <c r="P118" s="131"/>
      <c r="Q118" s="132"/>
      <c r="R118" s="119"/>
      <c r="S118" s="119"/>
      <c r="T118" s="119"/>
      <c r="U118" s="133" t="str">
        <f>IF([13]回答表!F18="水道事業",IF([13]回答表!AD51="●",[13]回答表!B354,""),"")</f>
        <v/>
      </c>
      <c r="V118" s="134"/>
      <c r="W118" s="134"/>
      <c r="X118" s="134"/>
      <c r="Y118" s="134"/>
      <c r="Z118" s="134"/>
      <c r="AA118" s="134"/>
      <c r="AB118" s="134"/>
      <c r="AC118" s="134"/>
      <c r="AD118" s="134"/>
      <c r="AE118" s="134"/>
      <c r="AF118" s="134"/>
      <c r="AG118" s="134"/>
      <c r="AH118" s="134"/>
      <c r="AI118" s="134"/>
      <c r="AJ118" s="135"/>
      <c r="AK118" s="189"/>
      <c r="AL118" s="189"/>
      <c r="AM118" s="133" t="str">
        <f>IF([13]回答表!F18="水道事業",IF([13]回答表!AD51="●",[13]回答表!B360,""),"")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IF([13]回答表!F18="簡易水道事業",IF([13]回答表!X51="●",[13]回答表!B197,IF([13]回答表!AA51="●",[13]回答表!B275,"")),"")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IF([13]回答表!F18="簡易水道事業",IF([13]回答表!X51="●",[13]回答表!B256,IF([13]回答表!AA51="●",[13]回答表!B335,"")),"")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IF([13]回答表!F18="簡易水道事業",IF([13]回答表!X51="●","●",""),"")</f>
        <v/>
      </c>
      <c r="O132" s="131"/>
      <c r="P132" s="131"/>
      <c r="Q132" s="132"/>
      <c r="R132" s="119"/>
      <c r="S132" s="119"/>
      <c r="T132" s="119"/>
      <c r="U132" s="82" t="str">
        <f>IF([13]回答表!F18="簡易水道事業",IF([13]回答表!X51="●",[13]回答表!S224,IF([13]回答表!AA51="●",[13]回答表!S304,"")),"")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IF([13]回答表!F18="簡易水道事業",IF([13]回答表!X51="●",[13]回答表!E256,IF([13]回答表!AA51="●",[13]回答表!E335,"")),"")</f>
        <v/>
      </c>
      <c r="BG133" s="151"/>
      <c r="BH133" s="151"/>
      <c r="BI133" s="151"/>
      <c r="BJ133" s="150" t="str">
        <f>IF([13]回答表!F18="簡易水道事業",IF([13]回答表!X51="●",[13]回答表!E257,IF([13]回答表!AA51="●",[13]回答表!E336,"")),"")</f>
        <v/>
      </c>
      <c r="BK133" s="151"/>
      <c r="BL133" s="151"/>
      <c r="BM133" s="151"/>
      <c r="BN133" s="150" t="str">
        <f>IF([13]回答表!F18="簡易水道事業",IF([13]回答表!X51="●",[13]回答表!E258,IF([13]回答表!AA51="●",[13]回答表!E337,"")),"")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IF([13]回答表!F18="簡易水道事業",IF([13]回答表!X51="●",[13]回答表!S225,IF([13]回答表!AA51="●",[13]回答表!S305,"")),"")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IF([13]回答表!F18="簡易水道事業",IF([13]回答表!AA51="●","●",""),"")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IF([13]回答表!F18="簡易水道事業",IF([13]回答表!X51="●",[13]回答表!S226,IF([13]回答表!AA51="●",[13]回答表!S306,"")),"")</f>
        <v/>
      </c>
      <c r="V142" s="83"/>
      <c r="W142" s="83"/>
      <c r="X142" s="83"/>
      <c r="Y142" s="83"/>
      <c r="Z142" s="83"/>
      <c r="AA142" s="83"/>
      <c r="AB142" s="83"/>
      <c r="AC142" s="83"/>
      <c r="AD142" s="83"/>
      <c r="AE142" s="83"/>
      <c r="AF142" s="83"/>
      <c r="AG142" s="83"/>
      <c r="AH142" s="83"/>
      <c r="AI142" s="83"/>
      <c r="AJ142" s="153"/>
      <c r="AK142" s="68"/>
      <c r="AL142" s="68"/>
      <c r="AM142" s="231" t="str">
        <f>IF([13]回答表!F18="簡易水道事業",IF([13]回答表!X51="●",[13]回答表!Y228,IF([13]回答表!AA51="●",[13]回答表!Y308,"")),"")</f>
        <v/>
      </c>
      <c r="AN142" s="231"/>
      <c r="AO142" s="231"/>
      <c r="AP142" s="231"/>
      <c r="AQ142" s="231"/>
      <c r="AR142" s="231"/>
      <c r="AS142" s="231" t="str">
        <f>IF([13]回答表!F18="簡易水道事業",IF([13]回答表!X51="●",[13]回答表!Y229,IF([13]回答表!AA51="●",[13]回答表!Y309,"")),"")</f>
        <v/>
      </c>
      <c r="AT142" s="231"/>
      <c r="AU142" s="231"/>
      <c r="AV142" s="231"/>
      <c r="AW142" s="231"/>
      <c r="AX142" s="231"/>
      <c r="AY142" s="231" t="str">
        <f>IF([13]回答表!F18="簡易水道事業",IF([13]回答表!X51="●",[13]回答表!Y230,IF([13]回答表!AA51="●",[13]回答表!Y310,"")),"")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IF([13]回答表!F18="簡易水道事業",IF([13]回答表!X51="●",[13]回答表!E265,IF([13]回答表!AA51="●",[13]回答表!E344,"")),"")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IF([13]回答表!F18="簡易水道事業",IF([13]回答表!X51="●",[13]回答表!B267,IF([13]回答表!AA51="●",[13]回答表!B346,"")),"")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IF([13]回答表!F18="簡易水道事業",IF([13]回答表!AD51="●","●",""),"")</f>
        <v/>
      </c>
      <c r="O154" s="131"/>
      <c r="P154" s="131"/>
      <c r="Q154" s="132"/>
      <c r="R154" s="119"/>
      <c r="S154" s="119"/>
      <c r="T154" s="119"/>
      <c r="U154" s="133" t="str">
        <f>IF([13]回答表!F18="簡易水道事業",IF([13]回答表!AD51="●",[13]回答表!B354,""),"")</f>
        <v/>
      </c>
      <c r="V154" s="134"/>
      <c r="W154" s="134"/>
      <c r="X154" s="134"/>
      <c r="Y154" s="134"/>
      <c r="Z154" s="134"/>
      <c r="AA154" s="134"/>
      <c r="AB154" s="134"/>
      <c r="AC154" s="134"/>
      <c r="AD154" s="134"/>
      <c r="AE154" s="134"/>
      <c r="AF154" s="134"/>
      <c r="AG154" s="134"/>
      <c r="AH154" s="134"/>
      <c r="AI154" s="134"/>
      <c r="AJ154" s="135"/>
      <c r="AK154" s="189"/>
      <c r="AL154" s="189"/>
      <c r="AM154" s="133" t="str">
        <f>IF([13]回答表!F18="簡易水道事業",IF([13]回答表!AD51="●",[13]回答表!B360,""),"")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IF([13]回答表!F18="下水道事業",IF([13]回答表!X51="●","●",""),"")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IF([13]回答表!F18="下水道事業",IF([13]回答表!X51="●",[13]回答表!B197,IF([13]回答表!AA51="●",[13]回答表!B275,"")),"")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IF([13]回答表!F18="下水道事業",IF([13]回答表!X51="●",[13]回答表!B256,IF([13]回答表!AA51="●",[13]回答表!B335,"")),"")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IF([13]回答表!F18="下水道事業",IF([13]回答表!X51="●",[13]回答表!N234,IF([13]回答表!AA51="●",[13]回答表!N314,"")),"")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IF([13]回答表!F18="下水道事業",IF([13]回答表!X51="●",[13]回答表!E256,IF([13]回答表!AA51="●",[13]回答表!E335,"")),"")</f>
        <v/>
      </c>
      <c r="BG169" s="151"/>
      <c r="BH169" s="151"/>
      <c r="BI169" s="151"/>
      <c r="BJ169" s="150" t="str">
        <f>IF([13]回答表!F18="下水道事業",IF([13]回答表!X51="●",[13]回答表!E257,IF([13]回答表!AA51="●",[13]回答表!E336,"")),"")</f>
        <v/>
      </c>
      <c r="BK169" s="151"/>
      <c r="BL169" s="151"/>
      <c r="BM169" s="151"/>
      <c r="BN169" s="150" t="str">
        <f>IF([13]回答表!F18="下水道事業",IF([13]回答表!X51="●",[13]回答表!E258,IF([13]回答表!AA51="●",[13]回答表!E337,"")),"")</f>
        <v/>
      </c>
      <c r="BO169" s="151"/>
      <c r="BP169" s="151"/>
      <c r="BQ169" s="152"/>
      <c r="BR169" s="112"/>
      <c r="BX169" s="234" t="str">
        <f>IF([13]回答表!AQ21="下水道事業",IF([13]回答表!BI54="○",[13]回答表!AM200,IF([13]回答表!BL54="○",[13]回答表!AM278,"")),"")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IF([13]回答表!F18="下水道事業",IF([13]回答表!X51="●",[13]回答表!Y236,IF([13]回答表!AA51="●",[13]回答表!Y316,"")),"")</f>
        <v/>
      </c>
      <c r="V174" s="83"/>
      <c r="W174" s="83"/>
      <c r="X174" s="83"/>
      <c r="Y174" s="83"/>
      <c r="Z174" s="83"/>
      <c r="AA174" s="83"/>
      <c r="AB174" s="153"/>
      <c r="AC174" s="82" t="str">
        <f>IF([13]回答表!F18="下水道事業",IF([13]回答表!X51="●",[13]回答表!Y237,IF([13]回答表!AA51="●",[13]回答表!Y317,"")),"")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IF([13]回答表!F18="下水道事業",IF([13]回答表!X51="●",[13]回答表!Y239,IF([13]回答表!AA51="●",[13]回答表!Y319,"")),"")</f>
        <v/>
      </c>
      <c r="V180" s="83"/>
      <c r="W180" s="83"/>
      <c r="X180" s="83"/>
      <c r="Y180" s="83"/>
      <c r="Z180" s="83"/>
      <c r="AA180" s="83"/>
      <c r="AB180" s="153"/>
      <c r="AC180" s="82" t="str">
        <f>IF([13]回答表!F18="下水道事業",IF([13]回答表!X51="●",[13]回答表!Y240,IF([13]回答表!AA51="●",[13]回答表!Y320,"")),"")</f>
        <v/>
      </c>
      <c r="AD180" s="83"/>
      <c r="AE180" s="83"/>
      <c r="AF180" s="83"/>
      <c r="AG180" s="83"/>
      <c r="AH180" s="83"/>
      <c r="AI180" s="83"/>
      <c r="AJ180" s="153"/>
      <c r="AK180" s="82" t="str">
        <f>IF([13]回答表!F18="下水道事業",IF([13]回答表!X51="●",[13]回答表!Y241,IF([13]回答表!AA51="●",[13]回答表!Y321,"")),"")</f>
        <v/>
      </c>
      <c r="AL180" s="83"/>
      <c r="AM180" s="83"/>
      <c r="AN180" s="83"/>
      <c r="AO180" s="83"/>
      <c r="AP180" s="83"/>
      <c r="AQ180" s="83"/>
      <c r="AR180" s="153"/>
      <c r="AS180" s="82" t="str">
        <f>IF([13]回答表!F18="下水道事業",IF([13]回答表!X51="●",[13]回答表!Y242,IF([13]回答表!AA51="●",[13]回答表!Y322,"")),"")</f>
        <v/>
      </c>
      <c r="AT180" s="83"/>
      <c r="AU180" s="83"/>
      <c r="AV180" s="83"/>
      <c r="AW180" s="83"/>
      <c r="AX180" s="83"/>
      <c r="AY180" s="83"/>
      <c r="AZ180" s="153"/>
      <c r="BA180" s="82" t="str">
        <f>IF([13]回答表!F18="下水道事業",IF([13]回答表!X51="●",[13]回答表!Y243,IF([13]回答表!AA51="●",[13]回答表!Y323,"")),"")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IF([13]回答表!F18="下水道事業",IF([13]回答表!AA51="●","●",""),"")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IF([13]回答表!F18="下水道事業",IF([13]回答表!X51="●",[13]回答表!N248,IF([13]回答表!AA51="●",[13]回答表!N328,"")),"")</f>
        <v/>
      </c>
      <c r="V186" s="83"/>
      <c r="W186" s="83"/>
      <c r="X186" s="83"/>
      <c r="Y186" s="83"/>
      <c r="Z186" s="83"/>
      <c r="AA186" s="83"/>
      <c r="AB186" s="153"/>
      <c r="AC186" s="82" t="str">
        <f>IF([13]回答表!F18="下水道事業",IF([13]回答表!X51="●",[13]回答表!N249,IF([13]回答表!AA51="●",[13]回答表!N329,"")),"")</f>
        <v/>
      </c>
      <c r="AD186" s="83"/>
      <c r="AE186" s="83"/>
      <c r="AF186" s="83"/>
      <c r="AG186" s="83"/>
      <c r="AH186" s="83"/>
      <c r="AI186" s="83"/>
      <c r="AJ186" s="153"/>
      <c r="AK186" s="82" t="str">
        <f>IF([13]回答表!F18="下水道事業",IF([13]回答表!X51="●",[13]回答表!N250,IF([13]回答表!AA51="●",[13]回答表!N330,"")),"")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IF([13]回答表!F18="下水道事業",IF([13]回答表!X51="●",[13]回答表!E265,IF([13]回答表!AA51="●",[13]回答表!E344,"")),"")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IF([13]回答表!F18="下水道事業",IF([13]回答表!X51="●",[13]回答表!B267,IF([13]回答表!AA51="●",[13]回答表!B346,"")),"")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IF([13]回答表!F18="下水道事業",IF([13]回答表!AD51="●","●",""),"")</f>
        <v/>
      </c>
      <c r="O198" s="131"/>
      <c r="P198" s="131"/>
      <c r="Q198" s="132"/>
      <c r="R198" s="119"/>
      <c r="S198" s="119"/>
      <c r="T198" s="119"/>
      <c r="U198" s="133" t="str">
        <f>IF([13]回答表!F18="下水道事業",IF([13]回答表!AD51="●",[13]回答表!B354,""),"")</f>
        <v/>
      </c>
      <c r="V198" s="134"/>
      <c r="W198" s="134"/>
      <c r="X198" s="134"/>
      <c r="Y198" s="134"/>
      <c r="Z198" s="134"/>
      <c r="AA198" s="134"/>
      <c r="AB198" s="134"/>
      <c r="AC198" s="134"/>
      <c r="AD198" s="134"/>
      <c r="AE198" s="134"/>
      <c r="AF198" s="134"/>
      <c r="AG198" s="134"/>
      <c r="AH198" s="134"/>
      <c r="AI198" s="134"/>
      <c r="AJ198" s="135"/>
      <c r="AK198" s="189"/>
      <c r="AL198" s="189"/>
      <c r="AM198" s="133" t="str">
        <f>IF([13]回答表!F18="下水道事業",IF([13]回答表!AD51="●",[13]回答表!B360,""),"")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IF([13]回答表!BD18="●",IF([13]回答表!X51="●","●",""),"")</f>
        <v/>
      </c>
      <c r="O210" s="131"/>
      <c r="P210" s="131"/>
      <c r="Q210" s="132"/>
      <c r="R210" s="119"/>
      <c r="S210" s="119"/>
      <c r="T210" s="119"/>
      <c r="U210" s="133" t="str">
        <f>IF([13]回答表!BD18="●",IF([13]回答表!X51="●",[13]回答表!B197,IF([13]回答表!AA51="●",[13]回答表!B275,"")),"")</f>
        <v/>
      </c>
      <c r="V210" s="134"/>
      <c r="W210" s="134"/>
      <c r="X210" s="134"/>
      <c r="Y210" s="134"/>
      <c r="Z210" s="134"/>
      <c r="AA210" s="134"/>
      <c r="AB210" s="134"/>
      <c r="AC210" s="134"/>
      <c r="AD210" s="134"/>
      <c r="AE210" s="134"/>
      <c r="AF210" s="134"/>
      <c r="AG210" s="134"/>
      <c r="AH210" s="134"/>
      <c r="AI210" s="134"/>
      <c r="AJ210" s="135"/>
      <c r="AK210" s="136"/>
      <c r="AL210" s="136"/>
      <c r="AM210" s="138" t="str">
        <f>IF([13]回答表!BD18="●",IF([13]回答表!X51="●",[13]回答表!B256,IF([13]回答表!AA51="●",[13]回答表!B335,"")),"")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IF([13]回答表!BD18="●",IF([13]回答表!X51="●",[13]回答表!E256,IF([13]回答表!AA51="●",[13]回答表!E335,"")),"")</f>
        <v/>
      </c>
      <c r="AN213" s="151"/>
      <c r="AO213" s="151"/>
      <c r="AP213" s="151"/>
      <c r="AQ213" s="150" t="str">
        <f>IF([13]回答表!BD18="●",IF([13]回答表!X51="●",[13]回答表!E257,IF([13]回答表!AA51="●",[13]回答表!E336,"")),"")</f>
        <v/>
      </c>
      <c r="AR213" s="151"/>
      <c r="AS213" s="151"/>
      <c r="AT213" s="151"/>
      <c r="AU213" s="150" t="str">
        <f>IF([13]回答表!BD18="●",IF([13]回答表!X51="●",[13]回答表!E258,IF([13]回答表!AA51="●",[13]回答表!E337,"")),"")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IF([13]回答表!BD18="●",IF([13]回答表!AA51="●","●",""),"")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IF([13]回答表!BD18="●",IF([13]回答表!X51="●",[13]回答表!E265,IF([13]回答表!AA51="●",[13]回答表!E344,"")),"")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IF([13]回答表!BD18="●",IF([13]回答表!X51="●",[13]回答表!B267,IF([13]回答表!AA51="●",[13]回答表!B346,"")),"")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IF([13]回答表!BD18="●",IF([13]回答表!AD51="●","●",""),"")</f>
        <v/>
      </c>
      <c r="O229" s="131"/>
      <c r="P229" s="131"/>
      <c r="Q229" s="132"/>
      <c r="R229" s="119"/>
      <c r="S229" s="119"/>
      <c r="T229" s="119"/>
      <c r="U229" s="133" t="str">
        <f>IF([13]回答表!BD18="●",IF([13]回答表!AD51="●",[13]回答表!B354,""),"")</f>
        <v/>
      </c>
      <c r="V229" s="134"/>
      <c r="W229" s="134"/>
      <c r="X229" s="134"/>
      <c r="Y229" s="134"/>
      <c r="Z229" s="134"/>
      <c r="AA229" s="134"/>
      <c r="AB229" s="134"/>
      <c r="AC229" s="134"/>
      <c r="AD229" s="134"/>
      <c r="AE229" s="134"/>
      <c r="AF229" s="134"/>
      <c r="AG229" s="134"/>
      <c r="AH229" s="134"/>
      <c r="AI229" s="134"/>
      <c r="AJ229" s="135"/>
      <c r="AK229" s="249"/>
      <c r="AL229" s="249"/>
      <c r="AM229" s="133" t="str">
        <f>IF([13]回答表!BD18="●",IF([13]回答表!AD51="●",[13]回答表!B360,""),"")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IF([13]回答表!X52="●","●","")</f>
        <v/>
      </c>
      <c r="O241" s="131"/>
      <c r="P241" s="131"/>
      <c r="Q241" s="132"/>
      <c r="R241" s="119"/>
      <c r="S241" s="119"/>
      <c r="T241" s="119"/>
      <c r="U241" s="133" t="str">
        <f>IF([13]回答表!X52="●",[13]回答表!B371,IF([13]回答表!AA52="●",[13]回答表!B396,""))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IF([13]回答表!X52="●",[13]回答表!U377,IF([13]回答表!AA52="●",[13]回答表!U402,""))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IF([13]回答表!X52="●",[13]回答表!G377,IF([13]回答表!AA52="●",[13]回答表!G402,""))</f>
        <v/>
      </c>
      <c r="AN244" s="83"/>
      <c r="AO244" s="83"/>
      <c r="AP244" s="83"/>
      <c r="AQ244" s="83"/>
      <c r="AR244" s="83"/>
      <c r="AS244" s="83"/>
      <c r="AT244" s="153"/>
      <c r="AU244" s="82" t="str">
        <f>IF([13]回答表!X52="●",[13]回答表!G378,IF([13]回答表!AA52="●",[13]回答表!G403,""))</f>
        <v/>
      </c>
      <c r="AV244" s="83"/>
      <c r="AW244" s="83"/>
      <c r="AX244" s="83"/>
      <c r="AY244" s="83"/>
      <c r="AZ244" s="83"/>
      <c r="BA244" s="83"/>
      <c r="BB244" s="153"/>
      <c r="BC244" s="120"/>
      <c r="BD244" s="109"/>
      <c r="BE244" s="109"/>
      <c r="BF244" s="150" t="str">
        <f>IF([13]回答表!X52="●",[13]回答表!X377,IF([13]回答表!AA52="●",[13]回答表!X402,""))</f>
        <v/>
      </c>
      <c r="BG244" s="151"/>
      <c r="BH244" s="151"/>
      <c r="BI244" s="151"/>
      <c r="BJ244" s="150" t="str">
        <f>IF([13]回答表!X52="●",[13]回答表!X378,IF([13]回答表!AA52="●",[13]回答表!X403,""))</f>
        <v/>
      </c>
      <c r="BK244" s="151"/>
      <c r="BL244" s="151"/>
      <c r="BM244" s="152"/>
      <c r="BN244" s="150" t="str">
        <f>IF([13]回答表!X52="●",[13]回答表!X379,IF([13]回答表!AA52="●",[13]回答表!X404,""))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IF([13]回答表!X52="●",[13]回答表!E386,IF([13]回答表!AA52="●",[13]回答表!E407,""))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IF([13]回答表!X52="●",[13]回答表!B388,IF([13]回答表!AA52="●",[13]回答表!B409,""))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IF([13]回答表!AD52="●","●","")</f>
        <v/>
      </c>
      <c r="O260" s="131"/>
      <c r="P260" s="131"/>
      <c r="Q260" s="132"/>
      <c r="R260" s="119"/>
      <c r="S260" s="119"/>
      <c r="T260" s="119"/>
      <c r="U260" s="133" t="str">
        <f>IF([13]回答表!AD52="●",[13]回答表!B417,"")</f>
        <v/>
      </c>
      <c r="V260" s="134"/>
      <c r="W260" s="134"/>
      <c r="X260" s="134"/>
      <c r="Y260" s="134"/>
      <c r="Z260" s="134"/>
      <c r="AA260" s="134"/>
      <c r="AB260" s="134"/>
      <c r="AC260" s="134"/>
      <c r="AD260" s="134"/>
      <c r="AE260" s="134"/>
      <c r="AF260" s="134"/>
      <c r="AG260" s="134"/>
      <c r="AH260" s="134"/>
      <c r="AI260" s="134"/>
      <c r="AJ260" s="135"/>
      <c r="AK260" s="249"/>
      <c r="AL260" s="249"/>
      <c r="AM260" s="133" t="str">
        <f>IF([13]回答表!AD52="●",[13]回答表!B423,"")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IF([13]回答表!X53="●","●","")</f>
        <v/>
      </c>
      <c r="O272" s="131"/>
      <c r="P272" s="131"/>
      <c r="Q272" s="132"/>
      <c r="R272" s="119"/>
      <c r="S272" s="119"/>
      <c r="T272" s="119"/>
      <c r="U272" s="133" t="str">
        <f>IF([13]回答表!X53="●",[13]回答表!B434,IF([13]回答表!AA53="●",[13]回答表!B465,""))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IF([13]回答表!X53="●",[13]回答表!B440,"")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IF([13]回答表!X53="●",[13]回答表!B446,IF([13]回答表!AA53="●",[13]回答表!B471,""))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IF([13]回答表!X53="●",[13]回答表!E446,IF([13]回答表!AA53="●",[13]回答表!E471,""))</f>
        <v/>
      </c>
      <c r="BG275" s="151"/>
      <c r="BH275" s="151"/>
      <c r="BI275" s="151"/>
      <c r="BJ275" s="150" t="str">
        <f>IF([13]回答表!X53="●",[13]回答表!E447,IF([13]回答表!AA53="●",[13]回答表!E472,""))</f>
        <v/>
      </c>
      <c r="BK275" s="151"/>
      <c r="BL275" s="151"/>
      <c r="BM275" s="152"/>
      <c r="BN275" s="150" t="str">
        <f>IF([13]回答表!X53="●",[13]回答表!E448,IF([13]回答表!AA53="●",[13]回答表!E473,""))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IF([13]回答表!X53="●",[13]回答表!E455,IF([13]回答表!AA53="●",[13]回答表!E476,""))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IF([13]回答表!X53="●",[13]回答表!B457,IF([13]回答表!AA53="●",[13]回答表!B478,""))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IF([13]回答表!AD53="●","●","")</f>
        <v/>
      </c>
      <c r="O291" s="131"/>
      <c r="P291" s="131"/>
      <c r="Q291" s="132"/>
      <c r="R291" s="119"/>
      <c r="S291" s="119"/>
      <c r="T291" s="119"/>
      <c r="U291" s="133" t="str">
        <f>IF([13]回答表!AD53="●",[13]回答表!B486,"")</f>
        <v/>
      </c>
      <c r="V291" s="134"/>
      <c r="W291" s="134"/>
      <c r="X291" s="134"/>
      <c r="Y291" s="134"/>
      <c r="Z291" s="134"/>
      <c r="AA291" s="134"/>
      <c r="AB291" s="134"/>
      <c r="AC291" s="134"/>
      <c r="AD291" s="134"/>
      <c r="AE291" s="134"/>
      <c r="AF291" s="134"/>
      <c r="AG291" s="134"/>
      <c r="AH291" s="134"/>
      <c r="AI291" s="134"/>
      <c r="AJ291" s="135"/>
      <c r="AK291" s="249"/>
      <c r="AL291" s="249"/>
      <c r="AM291" s="133" t="str">
        <f>IF([13]回答表!AD53="●",[13]回答表!B492,"")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IF([13]回答表!X54="●","●","")</f>
        <v/>
      </c>
      <c r="O303" s="131"/>
      <c r="P303" s="131"/>
      <c r="Q303" s="132"/>
      <c r="R303" s="119"/>
      <c r="S303" s="119"/>
      <c r="T303" s="119"/>
      <c r="U303" s="133" t="str">
        <f>IF([13]回答表!X54="●",[13]回答表!B503,IF([13]回答表!AA54="●",[13]回答表!B526,""))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IF([13]回答表!X54="●",[13]回答表!BC510,IF([13]回答表!AA54="●",[13]回答表!BC533,""))</f>
        <v/>
      </c>
      <c r="AR303" s="271"/>
      <c r="AS303" s="271"/>
      <c r="AT303" s="271"/>
      <c r="AU303" s="272" t="s">
        <v>74</v>
      </c>
      <c r="AV303" s="273"/>
      <c r="AW303" s="273"/>
      <c r="AX303" s="274"/>
      <c r="AY303" s="271" t="str">
        <f>IF([13]回答表!X54="●",[13]回答表!BC515,IF([13]回答表!AA54="●",[13]回答表!BC538,""))</f>
        <v/>
      </c>
      <c r="AZ303" s="271"/>
      <c r="BA303" s="271"/>
      <c r="BB303" s="271"/>
      <c r="BC303" s="120"/>
      <c r="BD303" s="109"/>
      <c r="BE303" s="109"/>
      <c r="BF303" s="138" t="str">
        <f>IF([13]回答表!X54="●",[13]回答表!S509,IF([13]回答表!AA54="●",[13]回答表!S532,""))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IF([13]回答表!X54="●",[13]回答表!BC511,IF([13]回答表!AA54="●",[13]回答表!BC534,""))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IF([13]回答表!X54="●",[13]回答表!V509,IF([13]回答表!AA54="●",[13]回答表!V532,""))</f>
        <v/>
      </c>
      <c r="BG306" s="151"/>
      <c r="BH306" s="151"/>
      <c r="BI306" s="151"/>
      <c r="BJ306" s="150" t="str">
        <f>IF([13]回答表!X54="●",[13]回答表!V510,IF([13]回答表!AA54="●",[13]回答表!V533,""))</f>
        <v/>
      </c>
      <c r="BK306" s="151"/>
      <c r="BL306" s="151"/>
      <c r="BM306" s="152"/>
      <c r="BN306" s="150" t="str">
        <f>IF([13]回答表!X54="●",[13]回答表!V511,IF([13]回答表!AA54="●",[13]回答表!V534,""))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IF([13]回答表!X54="●",[13]回答表!BC512,IF([13]回答表!AA54="●",[13]回答表!BC535,""))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IF([13]回答表!X54="●",[13]回答表!BC516,IF([13]回答表!AA54="●",[13]回答表!BC539,""))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IF([13]回答表!X54="●",[13]回答表!BC513,IF([13]回答表!AA54="●",[13]回答表!BC536,""))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IF([13]回答表!X54="●",[13]回答表!BC514,IF([13]回答表!AA54="●",[13]回答表!BC537,""))</f>
        <v/>
      </c>
      <c r="AR311" s="271"/>
      <c r="AS311" s="271"/>
      <c r="AT311" s="271"/>
      <c r="AU311" s="222" t="s">
        <v>80</v>
      </c>
      <c r="AV311" s="223"/>
      <c r="AW311" s="223"/>
      <c r="AX311" s="224"/>
      <c r="AY311" s="281" t="str">
        <f>IF([13]回答表!X54="●",[13]回答表!BC517,IF([13]回答表!AA54="●",[13]回答表!BC540,""))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IF([13]回答表!X54="●",[13]回答表!E516,IF([13]回答表!AA54="●",[13]回答表!E538,""))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IF([13]回答表!X54="●",[13]回答表!B518,IF([13]回答表!AA54="●",[13]回答表!B540,""))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IF([13]回答表!AD54="●","●","")</f>
        <v/>
      </c>
      <c r="O322" s="131"/>
      <c r="P322" s="131"/>
      <c r="Q322" s="132"/>
      <c r="R322" s="119"/>
      <c r="S322" s="119"/>
      <c r="T322" s="119"/>
      <c r="U322" s="133" t="str">
        <f>IF([13]回答表!AD54="●",[13]回答表!B548,"")</f>
        <v/>
      </c>
      <c r="V322" s="134"/>
      <c r="W322" s="134"/>
      <c r="X322" s="134"/>
      <c r="Y322" s="134"/>
      <c r="Z322" s="134"/>
      <c r="AA322" s="134"/>
      <c r="AB322" s="134"/>
      <c r="AC322" s="134"/>
      <c r="AD322" s="134"/>
      <c r="AE322" s="134"/>
      <c r="AF322" s="134"/>
      <c r="AG322" s="134"/>
      <c r="AH322" s="134"/>
      <c r="AI322" s="134"/>
      <c r="AJ322" s="135"/>
      <c r="AK322" s="189"/>
      <c r="AL322" s="189"/>
      <c r="AM322" s="133" t="str">
        <f>IF([13]回答表!AD54="●",[13]回答表!B554,"")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IF([13]回答表!X55="●","●","")</f>
        <v/>
      </c>
      <c r="O333" s="131"/>
      <c r="P333" s="131"/>
      <c r="Q333" s="132"/>
      <c r="R333" s="119"/>
      <c r="S333" s="119"/>
      <c r="T333" s="119"/>
      <c r="U333" s="133" t="str">
        <f>IF([13]回答表!X55="●",[13]回答表!B565,IF([13]回答表!AA55="●",[13]回答表!B590,""))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IF([13]回答表!X55="●",[13]回答表!B575,IF([13]回答表!AA55="●",[13]回答表!B600,""))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IF([13]回答表!X55="●",[13]回答表!G571,IF([13]回答表!AA55="●",[13]回答表!G596,""))</f>
        <v/>
      </c>
      <c r="AN335" s="83"/>
      <c r="AO335" s="83"/>
      <c r="AP335" s="83"/>
      <c r="AQ335" s="83"/>
      <c r="AR335" s="83"/>
      <c r="AS335" s="83"/>
      <c r="AT335" s="153"/>
      <c r="AU335" s="82" t="str">
        <f>IF([13]回答表!X55="●",[13]回答表!G572,IF([13]回答表!AA55="●",[13]回答表!G597,""))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IF([13]回答表!X55="●",[13]回答表!E575,IF([13]回答表!AA55="●",[13]回答表!E600,""))</f>
        <v/>
      </c>
      <c r="BG336" s="151"/>
      <c r="BH336" s="151"/>
      <c r="BI336" s="151"/>
      <c r="BJ336" s="150" t="str">
        <f>IF([13]回答表!X55="●",[13]回答表!E576,IF([13]回答表!AA55="●",[13]回答表!E601,""))</f>
        <v/>
      </c>
      <c r="BK336" s="151"/>
      <c r="BL336" s="151"/>
      <c r="BM336" s="152"/>
      <c r="BN336" s="150" t="str">
        <f>IF([13]回答表!X55="●",[13]回答表!E577,IF([13]回答表!AA55="●",[13]回答表!E602,""))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IF([13]回答表!X55="●",[13]回答表!E580,IF([13]回答表!AA55="●",[13]回答表!E605,""))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IF([13]回答表!X55="●",[13]回答表!B582,IF([13]回答表!AA55="●",[13]回答表!B607,""))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IF([13]回答表!AD55="●","●","")</f>
        <v/>
      </c>
      <c r="O352" s="131"/>
      <c r="P352" s="131"/>
      <c r="Q352" s="132"/>
      <c r="R352" s="119"/>
      <c r="S352" s="119"/>
      <c r="T352" s="119"/>
      <c r="U352" s="133" t="str">
        <f>IF([13]回答表!AD55="●",[13]回答表!B615,"")</f>
        <v/>
      </c>
      <c r="V352" s="134"/>
      <c r="W352" s="134"/>
      <c r="X352" s="134"/>
      <c r="Y352" s="134"/>
      <c r="Z352" s="134"/>
      <c r="AA352" s="134"/>
      <c r="AB352" s="134"/>
      <c r="AC352" s="134"/>
      <c r="AD352" s="134"/>
      <c r="AE352" s="134"/>
      <c r="AF352" s="134"/>
      <c r="AG352" s="134"/>
      <c r="AH352" s="134"/>
      <c r="AI352" s="134"/>
      <c r="AJ352" s="135"/>
      <c r="AK352" s="136"/>
      <c r="AL352" s="136"/>
      <c r="AM352" s="133" t="str">
        <f>IF([13]回答表!AD55="●",[13]回答表!B621,"")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IF([13]回答表!R56="●",[13]回答表!B634,"")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B4196-3C90-4979-A896-397AE597EC2C}">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IF(COUNTIF([2]回答表!K16,"*")&gt;0,[2]回答表!K16,"")</f>
        <v>大館市</v>
      </c>
      <c r="D11" s="8"/>
      <c r="E11" s="8"/>
      <c r="F11" s="8"/>
      <c r="G11" s="8"/>
      <c r="H11" s="8"/>
      <c r="I11" s="8"/>
      <c r="J11" s="8"/>
      <c r="K11" s="8"/>
      <c r="L11" s="8"/>
      <c r="M11" s="8"/>
      <c r="N11" s="8"/>
      <c r="O11" s="8"/>
      <c r="P11" s="8"/>
      <c r="Q11" s="8"/>
      <c r="R11" s="8"/>
      <c r="S11" s="8"/>
      <c r="T11" s="8"/>
      <c r="U11" s="22" t="str">
        <f>IF(COUNTIF([2]回答表!F18,"*")&gt;0,[2]回答表!F18,"")</f>
        <v>水道事業</v>
      </c>
      <c r="V11" s="23"/>
      <c r="W11" s="23"/>
      <c r="X11" s="23"/>
      <c r="Y11" s="23"/>
      <c r="Z11" s="23"/>
      <c r="AA11" s="23"/>
      <c r="AB11" s="23"/>
      <c r="AC11" s="23"/>
      <c r="AD11" s="23"/>
      <c r="AE11" s="23"/>
      <c r="AF11" s="10"/>
      <c r="AG11" s="10"/>
      <c r="AH11" s="10"/>
      <c r="AI11" s="10"/>
      <c r="AJ11" s="10"/>
      <c r="AK11" s="10"/>
      <c r="AL11" s="10"/>
      <c r="AM11" s="10"/>
      <c r="AN11" s="11"/>
      <c r="AO11" s="24" t="str">
        <f>IF(COUNTIF([2]回答表!W18,"*")&gt;0,[2]回答表!W18,"")</f>
        <v>―</v>
      </c>
      <c r="AP11" s="10"/>
      <c r="AQ11" s="10"/>
      <c r="AR11" s="10"/>
      <c r="AS11" s="10"/>
      <c r="AT11" s="10"/>
      <c r="AU11" s="10"/>
      <c r="AV11" s="10"/>
      <c r="AW11" s="10"/>
      <c r="AX11" s="10"/>
      <c r="AY11" s="10"/>
      <c r="AZ11" s="10"/>
      <c r="BA11" s="10"/>
      <c r="BB11" s="10"/>
      <c r="BC11" s="10"/>
      <c r="BD11" s="10"/>
      <c r="BE11" s="10"/>
      <c r="BF11" s="11"/>
      <c r="BG11" s="21" t="str">
        <f>IF(COUNTIF([2]回答表!F20,"*")&gt;0,[2]回答表!F20,"")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IF([2]回答表!R49="●","●","")</f>
        <v/>
      </c>
      <c r="E24" s="80"/>
      <c r="F24" s="80"/>
      <c r="G24" s="80"/>
      <c r="H24" s="80"/>
      <c r="I24" s="80"/>
      <c r="J24" s="81"/>
      <c r="K24" s="79" t="str">
        <f>IF([2]回答表!R50="●","●","")</f>
        <v/>
      </c>
      <c r="L24" s="80"/>
      <c r="M24" s="80"/>
      <c r="N24" s="80"/>
      <c r="O24" s="80"/>
      <c r="P24" s="80"/>
      <c r="Q24" s="81"/>
      <c r="R24" s="79" t="str">
        <f>IF([2]回答表!R51="●","●","")</f>
        <v>●</v>
      </c>
      <c r="S24" s="80"/>
      <c r="T24" s="80"/>
      <c r="U24" s="80"/>
      <c r="V24" s="80"/>
      <c r="W24" s="80"/>
      <c r="X24" s="81"/>
      <c r="Y24" s="79" t="str">
        <f>IF([2]回答表!R52="●","●","")</f>
        <v/>
      </c>
      <c r="Z24" s="80"/>
      <c r="AA24" s="80"/>
      <c r="AB24" s="80"/>
      <c r="AC24" s="80"/>
      <c r="AD24" s="80"/>
      <c r="AE24" s="81"/>
      <c r="AF24" s="79" t="str">
        <f>IF([2]回答表!R53="●","●","")</f>
        <v>●</v>
      </c>
      <c r="AG24" s="80"/>
      <c r="AH24" s="80"/>
      <c r="AI24" s="80"/>
      <c r="AJ24" s="80"/>
      <c r="AK24" s="80"/>
      <c r="AL24" s="81"/>
      <c r="AM24" s="79" t="str">
        <f>IF([2]回答表!R54="●","●","")</f>
        <v>●</v>
      </c>
      <c r="AN24" s="80"/>
      <c r="AO24" s="80"/>
      <c r="AP24" s="80"/>
      <c r="AQ24" s="80"/>
      <c r="AR24" s="80"/>
      <c r="AS24" s="81"/>
      <c r="AT24" s="79" t="str">
        <f>IF([2]回答表!R55="●","●","")</f>
        <v/>
      </c>
      <c r="AU24" s="80"/>
      <c r="AV24" s="80"/>
      <c r="AW24" s="80"/>
      <c r="AX24" s="80"/>
      <c r="AY24" s="80"/>
      <c r="AZ24" s="81"/>
      <c r="BA24" s="68"/>
      <c r="BB24" s="82" t="str">
        <f>IF([2]回答表!R56="●","●","")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IF([2]回答表!X49="●","●","")</f>
        <v/>
      </c>
      <c r="O36" s="131"/>
      <c r="P36" s="131"/>
      <c r="Q36" s="132"/>
      <c r="R36" s="119"/>
      <c r="S36" s="119"/>
      <c r="T36" s="119"/>
      <c r="U36" s="133" t="str">
        <f>IF([2]回答表!X49="●",[2]回答表!B67,IF([2]回答表!AA49="●",[2]回答表!B95,""))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IF([2]回答表!X49="●",[2]回答表!S73,IF([2]回答表!AA49="●",[2]回答表!S101,""))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IF([2]回答表!X49="●",[2]回答表!G73,IF([2]回答表!AA49="●",[2]回答表!G101,""))</f>
        <v/>
      </c>
      <c r="AN38" s="83"/>
      <c r="AO38" s="83"/>
      <c r="AP38" s="83"/>
      <c r="AQ38" s="83"/>
      <c r="AR38" s="83"/>
      <c r="AS38" s="83"/>
      <c r="AT38" s="153"/>
      <c r="AU38" s="82" t="str">
        <f>IF([2]回答表!X49="●",[2]回答表!G74,IF([2]回答表!AA49="●",[2]回答表!G102,""))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IF([2]回答表!X49="●",[2]回答表!V73,IF([2]回答表!AA49="●",[2]回答表!V101,""))</f>
        <v/>
      </c>
      <c r="BG39" s="16"/>
      <c r="BH39" s="16"/>
      <c r="BI39" s="17"/>
      <c r="BJ39" s="150" t="str">
        <f>IF([2]回答表!X49="●",[2]回答表!V74,IF([2]回答表!AA49="●",[2]回答表!V102,""))</f>
        <v/>
      </c>
      <c r="BK39" s="16"/>
      <c r="BL39" s="16"/>
      <c r="BM39" s="17"/>
      <c r="BN39" s="150" t="str">
        <f>IF([2]回答表!X49="●",[2]回答表!V75,IF([2]回答表!AA49="●",[2]回答表!V103,""))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IF([2]回答表!X49="●",[2]回答表!O79,IF([2]回答表!AA49="●",[2]回答表!O107,""))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IF([2]回答表!X49="●",[2]回答表!O80,IF([2]回答表!AA49="●",[2]回答表!O108,""))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IF([2]回答表!X49="●",[2]回答表!O81,IF([2]回答表!AA49="●",[2]回答表!O109,""))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IF([2]回答表!X49="●",[2]回答表!O82,IF([2]回答表!AA49="●",[2]回答表!O110,""))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IF([2]回答表!X49="●",[2]回答表!AG79,IF([2]回答表!AA49="●",[2]回答表!AG107,""))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IF([2]回答表!X49="●",[2]回答表!AG80,IF([2]回答表!AA49="●",[2]回答表!AG108,""))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IF([2]回答表!X49="●",[2]回答表!E85,IF([2]回答表!AA49="●",[2]回答表!E113,""))</f>
        <v/>
      </c>
      <c r="V50" s="182"/>
      <c r="W50" s="182"/>
      <c r="X50" s="182"/>
      <c r="Y50" s="182"/>
      <c r="Z50" s="182"/>
      <c r="AA50" s="182"/>
      <c r="AB50" s="182"/>
      <c r="AC50" s="182"/>
      <c r="AD50" s="182"/>
      <c r="AE50" s="183" t="s">
        <v>33</v>
      </c>
      <c r="AF50" s="183"/>
      <c r="AG50" s="183"/>
      <c r="AH50" s="183"/>
      <c r="AI50" s="183"/>
      <c r="AJ50" s="184"/>
      <c r="AK50" s="136"/>
      <c r="AL50" s="136"/>
      <c r="AM50" s="133" t="str">
        <f>IF([2]回答表!X49="●",[2]回答表!B87,IF([2]回答表!AA49="●",[2]回答表!B115,""))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IF([2]回答表!AD49="●","●","")</f>
        <v/>
      </c>
      <c r="O57" s="131"/>
      <c r="P57" s="131"/>
      <c r="Q57" s="132"/>
      <c r="R57" s="119"/>
      <c r="S57" s="119"/>
      <c r="T57" s="119"/>
      <c r="U57" s="133" t="str">
        <f>IF([2]回答表!AD49="●",[2]回答表!B123,"")</f>
        <v/>
      </c>
      <c r="V57" s="134"/>
      <c r="W57" s="134"/>
      <c r="X57" s="134"/>
      <c r="Y57" s="134"/>
      <c r="Z57" s="134"/>
      <c r="AA57" s="134"/>
      <c r="AB57" s="134"/>
      <c r="AC57" s="134"/>
      <c r="AD57" s="134"/>
      <c r="AE57" s="134"/>
      <c r="AF57" s="134"/>
      <c r="AG57" s="134"/>
      <c r="AH57" s="134"/>
      <c r="AI57" s="134"/>
      <c r="AJ57" s="135"/>
      <c r="AK57" s="189"/>
      <c r="AL57" s="189"/>
      <c r="AM57" s="133" t="str">
        <f>IF([2]回答表!AD49="●",[2]回答表!B128,"")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IF([2]回答表!X50="●","●","")</f>
        <v/>
      </c>
      <c r="O68" s="131"/>
      <c r="P68" s="131"/>
      <c r="Q68" s="132"/>
      <c r="R68" s="119"/>
      <c r="S68" s="119"/>
      <c r="T68" s="119"/>
      <c r="U68" s="133" t="str">
        <f>IF([2]回答表!X50="●",[2]回答表!B138,IF([2]回答表!AA50="●",[2]回答表!B159,""))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IF([2]回答表!X50="●",[2]回答表!S144,IF([2]回答表!AA50="●",[2]回答表!S165,""))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IF([2]回答表!X50="●",[2]回答表!J144,IF([2]回答表!AA50="●",[2]回答表!J165,""))</f>
        <v/>
      </c>
      <c r="AN71" s="83"/>
      <c r="AO71" s="83"/>
      <c r="AP71" s="83"/>
      <c r="AQ71" s="83"/>
      <c r="AR71" s="83"/>
      <c r="AS71" s="83"/>
      <c r="AT71" s="153"/>
      <c r="AU71" s="82" t="str">
        <f>IF([2]回答表!X50="●",[2]回答表!J145,IF([2]回答表!AA50="●",[2]回答表!J166,""))</f>
        <v/>
      </c>
      <c r="AV71" s="83"/>
      <c r="AW71" s="83"/>
      <c r="AX71" s="83"/>
      <c r="AY71" s="83"/>
      <c r="AZ71" s="83"/>
      <c r="BA71" s="83"/>
      <c r="BB71" s="153"/>
      <c r="BC71" s="120"/>
      <c r="BD71" s="109"/>
      <c r="BE71" s="109"/>
      <c r="BF71" s="150" t="str">
        <f>IF([2]回答表!X50="●",[2]回答表!V144,IF([2]回答表!AA50="●",[2]回答表!V165,""))</f>
        <v/>
      </c>
      <c r="BG71" s="151"/>
      <c r="BH71" s="151"/>
      <c r="BI71" s="151"/>
      <c r="BJ71" s="150" t="str">
        <f>IF([2]回答表!X50="●",[2]回答表!V145,IF([2]回答表!AA50="●",[2]回答表!V166,""))</f>
        <v/>
      </c>
      <c r="BK71" s="151"/>
      <c r="BL71" s="151"/>
      <c r="BM71" s="151"/>
      <c r="BN71" s="150" t="str">
        <f>IF([2]回答表!X50="●",[2]回答表!V146,IF([2]回答表!AA50="●",[2]回答表!V167,""))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IF([2]回答表!X50="●",[2]回答表!E149,IF([2]回答表!AA50="●",[2]回答表!E170,""))</f>
        <v/>
      </c>
      <c r="V80" s="182"/>
      <c r="W80" s="182"/>
      <c r="X80" s="182"/>
      <c r="Y80" s="182"/>
      <c r="Z80" s="182"/>
      <c r="AA80" s="182"/>
      <c r="AB80" s="182"/>
      <c r="AC80" s="182"/>
      <c r="AD80" s="182"/>
      <c r="AE80" s="183" t="s">
        <v>33</v>
      </c>
      <c r="AF80" s="183"/>
      <c r="AG80" s="183"/>
      <c r="AH80" s="183"/>
      <c r="AI80" s="183"/>
      <c r="AJ80" s="184"/>
      <c r="AK80" s="136"/>
      <c r="AL80" s="136"/>
      <c r="AM80" s="133" t="str">
        <f>IF([2]回答表!X50="●",[2]回答表!B151,IF([2]回答表!AA50="●",[2]回答表!B172,""))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IF([2]回答表!AD50="●","●","")</f>
        <v/>
      </c>
      <c r="O87" s="131"/>
      <c r="P87" s="131"/>
      <c r="Q87" s="132"/>
      <c r="R87" s="119"/>
      <c r="S87" s="119"/>
      <c r="T87" s="119"/>
      <c r="U87" s="133" t="str">
        <f>IF([2]回答表!AD50="●",[2]回答表!B180,"")</f>
        <v/>
      </c>
      <c r="V87" s="134"/>
      <c r="W87" s="134"/>
      <c r="X87" s="134"/>
      <c r="Y87" s="134"/>
      <c r="Z87" s="134"/>
      <c r="AA87" s="134"/>
      <c r="AB87" s="134"/>
      <c r="AC87" s="134"/>
      <c r="AD87" s="134"/>
      <c r="AE87" s="134"/>
      <c r="AF87" s="134"/>
      <c r="AG87" s="134"/>
      <c r="AH87" s="134"/>
      <c r="AI87" s="134"/>
      <c r="AJ87" s="135"/>
      <c r="AK87" s="189"/>
      <c r="AL87" s="189"/>
      <c r="AM87" s="133" t="str">
        <f>IF([2]回答表!AD50="●",[2]回答表!B186,"")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IF([2]回答表!F18="水道事業",IF([2]回答表!X51="●","●",""),"")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IF([2]回答表!F18="水道事業",IF([2]回答表!X51="●",[2]回答表!B197,IF([2]回答表!AA51="●",[2]回答表!B275,"")),"")</f>
        <v/>
      </c>
      <c r="AN99" s="134"/>
      <c r="AO99" s="134"/>
      <c r="AP99" s="134"/>
      <c r="AQ99" s="134"/>
      <c r="AR99" s="134"/>
      <c r="AS99" s="134"/>
      <c r="AT99" s="134"/>
      <c r="AU99" s="134"/>
      <c r="AV99" s="134"/>
      <c r="AW99" s="134"/>
      <c r="AX99" s="134"/>
      <c r="AY99" s="134"/>
      <c r="AZ99" s="134"/>
      <c r="BA99" s="134"/>
      <c r="BB99" s="134"/>
      <c r="BC99" s="135"/>
      <c r="BD99" s="109"/>
      <c r="BE99" s="109"/>
      <c r="BF99" s="138" t="str">
        <f>IF([2]回答表!F18="水道事業",IF([2]回答表!X51="●",[2]回答表!B256,IF([2]回答表!AA51="●",[2]回答表!B335,"")),"")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IF([2]回答表!F18="水道事業",IF([2]回答表!X51="●",[2]回答表!J205,IF([2]回答表!AA51="●",[2]回答表!J283,"")),"")</f>
        <v/>
      </c>
      <c r="V101" s="83"/>
      <c r="W101" s="83"/>
      <c r="X101" s="83"/>
      <c r="Y101" s="83"/>
      <c r="Z101" s="83"/>
      <c r="AA101" s="83"/>
      <c r="AB101" s="153"/>
      <c r="AC101" s="82" t="str">
        <f>IF([2]回答表!F18="水道事業",IF([2]回答表!X51="●",[2]回答表!J210,IF([2]回答表!AA51="●",[2]回答表!J290,"")),"")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IF([2]回答表!F18="水道事業",IF([2]回答表!X51="●",[2]回答表!E256,IF([2]回答表!AA51="●",[2]回答表!E335,"")),"")</f>
        <v/>
      </c>
      <c r="BG102" s="151"/>
      <c r="BH102" s="151"/>
      <c r="BI102" s="151"/>
      <c r="BJ102" s="150" t="str">
        <f>IF([2]回答表!F18="水道事業",IF([2]回答表!X51="●",[2]回答表!E257,IF([2]回答表!AA51="●",[2]回答表!E336,"")),"")</f>
        <v/>
      </c>
      <c r="BK102" s="151"/>
      <c r="BL102" s="151"/>
      <c r="BM102" s="151"/>
      <c r="BN102" s="150" t="str">
        <f>IF([2]回答表!F18="水道事業",IF([2]回答表!X51="●",[2]回答表!E258,IF([2]回答表!AA51="●",[2]回答表!E337,"")),"")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IF([2]回答表!F18="水道事業",IF([2]回答表!AA51="●","●",""),"")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IF([2]回答表!F18="水道事業",IF([2]回答表!X51="●",[2]回答表!J213,IF([2]回答表!AA51="●",[2]回答表!J293,"")),"")</f>
        <v/>
      </c>
      <c r="V106" s="83"/>
      <c r="W106" s="83"/>
      <c r="X106" s="83"/>
      <c r="Y106" s="83"/>
      <c r="Z106" s="83"/>
      <c r="AA106" s="83"/>
      <c r="AB106" s="153"/>
      <c r="AC106" s="82" t="str">
        <f>IF([2]回答表!F18="水道事業",IF([2]回答表!X51="●",[2]回答表!J217,IF([2]回答表!AA51="●",[2]回答表!J297,"")),"")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IF([2]回答表!F18="水道事業",IF([2]回答表!X51="●",[2]回答表!E265,IF([2]回答表!AA51="●",[2]回答表!E344,"")),"")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IF([2]回答表!F18="水道事業",IF([2]回答表!X51="●",[2]回答表!B267,IF([2]回答表!AA51="●",[2]回答表!B346,"")),"")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IF([2]回答表!F18="水道事業",IF([2]回答表!AD51="●","●",""),"")</f>
        <v>●</v>
      </c>
      <c r="O118" s="131"/>
      <c r="P118" s="131"/>
      <c r="Q118" s="132"/>
      <c r="R118" s="119"/>
      <c r="S118" s="119"/>
      <c r="T118" s="119"/>
      <c r="U118" s="133" t="str">
        <f>IF([2]回答表!F18="水道事業",IF([2]回答表!AD51="●",[2]回答表!B354,""),"")</f>
        <v>市水道ビジョンにおける広域連携の推進
「秋田県水道広域化推進プラン」策定に伴う、他市町村との経営面などソフト部門の検討</v>
      </c>
      <c r="V118" s="134"/>
      <c r="W118" s="134"/>
      <c r="X118" s="134"/>
      <c r="Y118" s="134"/>
      <c r="Z118" s="134"/>
      <c r="AA118" s="134"/>
      <c r="AB118" s="134"/>
      <c r="AC118" s="134"/>
      <c r="AD118" s="134"/>
      <c r="AE118" s="134"/>
      <c r="AF118" s="134"/>
      <c r="AG118" s="134"/>
      <c r="AH118" s="134"/>
      <c r="AI118" s="134"/>
      <c r="AJ118" s="135"/>
      <c r="AK118" s="189"/>
      <c r="AL118" s="189"/>
      <c r="AM118" s="133" t="str">
        <f>IF([2]回答表!F18="水道事業",IF([2]回答表!AD51="●",[2]回答表!B360,""),"")</f>
        <v>「秋田県水道広域化推進プラン」策定では、秋田県が主導となり、秋田県内を５ブロックに分け、各ブロックごとの基礎資料を基にした、現状把握と施設整備、管理業務における広域連携シミュレーションを実施中</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IF([2]回答表!F18="簡易水道事業",IF([2]回答表!X51="●",[2]回答表!B197,IF([2]回答表!AA51="●",[2]回答表!B275,"")),"")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IF([2]回答表!F18="簡易水道事業",IF([2]回答表!X51="●",[2]回答表!B256,IF([2]回答表!AA51="●",[2]回答表!B335,"")),"")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IF([2]回答表!F18="簡易水道事業",IF([2]回答表!X51="●","●",""),"")</f>
        <v/>
      </c>
      <c r="O132" s="131"/>
      <c r="P132" s="131"/>
      <c r="Q132" s="132"/>
      <c r="R132" s="119"/>
      <c r="S132" s="119"/>
      <c r="T132" s="119"/>
      <c r="U132" s="82" t="str">
        <f>IF([2]回答表!F18="簡易水道事業",IF([2]回答表!X51="●",[2]回答表!S224,IF([2]回答表!AA51="●",[2]回答表!S304,"")),"")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IF([2]回答表!F18="簡易水道事業",IF([2]回答表!X51="●",[2]回答表!E256,IF([2]回答表!AA51="●",[2]回答表!E335,"")),"")</f>
        <v/>
      </c>
      <c r="BG133" s="151"/>
      <c r="BH133" s="151"/>
      <c r="BI133" s="151"/>
      <c r="BJ133" s="150" t="str">
        <f>IF([2]回答表!F18="簡易水道事業",IF([2]回答表!X51="●",[2]回答表!E257,IF([2]回答表!AA51="●",[2]回答表!E336,"")),"")</f>
        <v/>
      </c>
      <c r="BK133" s="151"/>
      <c r="BL133" s="151"/>
      <c r="BM133" s="151"/>
      <c r="BN133" s="150" t="str">
        <f>IF([2]回答表!F18="簡易水道事業",IF([2]回答表!X51="●",[2]回答表!E258,IF([2]回答表!AA51="●",[2]回答表!E337,"")),"")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IF([2]回答表!F18="簡易水道事業",IF([2]回答表!X51="●",[2]回答表!S225,IF([2]回答表!AA51="●",[2]回答表!S305,"")),"")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IF([2]回答表!F18="簡易水道事業",IF([2]回答表!AA51="●","●",""),"")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IF([2]回答表!F18="簡易水道事業",IF([2]回答表!X51="●",[2]回答表!S226,IF([2]回答表!AA51="●",[2]回答表!S306,"")),"")</f>
        <v/>
      </c>
      <c r="V142" s="83"/>
      <c r="W142" s="83"/>
      <c r="X142" s="83"/>
      <c r="Y142" s="83"/>
      <c r="Z142" s="83"/>
      <c r="AA142" s="83"/>
      <c r="AB142" s="83"/>
      <c r="AC142" s="83"/>
      <c r="AD142" s="83"/>
      <c r="AE142" s="83"/>
      <c r="AF142" s="83"/>
      <c r="AG142" s="83"/>
      <c r="AH142" s="83"/>
      <c r="AI142" s="83"/>
      <c r="AJ142" s="153"/>
      <c r="AK142" s="68"/>
      <c r="AL142" s="68"/>
      <c r="AM142" s="231" t="str">
        <f>IF([2]回答表!F18="簡易水道事業",IF([2]回答表!X51="●",[2]回答表!Y228,IF([2]回答表!AA51="●",[2]回答表!Y308,"")),"")</f>
        <v/>
      </c>
      <c r="AN142" s="231"/>
      <c r="AO142" s="231"/>
      <c r="AP142" s="231"/>
      <c r="AQ142" s="231"/>
      <c r="AR142" s="231"/>
      <c r="AS142" s="231" t="str">
        <f>IF([2]回答表!F18="簡易水道事業",IF([2]回答表!X51="●",[2]回答表!Y229,IF([2]回答表!AA51="●",[2]回答表!Y309,"")),"")</f>
        <v/>
      </c>
      <c r="AT142" s="231"/>
      <c r="AU142" s="231"/>
      <c r="AV142" s="231"/>
      <c r="AW142" s="231"/>
      <c r="AX142" s="231"/>
      <c r="AY142" s="231" t="str">
        <f>IF([2]回答表!F18="簡易水道事業",IF([2]回答表!X51="●",[2]回答表!Y230,IF([2]回答表!AA51="●",[2]回答表!Y310,"")),"")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IF([2]回答表!F18="簡易水道事業",IF([2]回答表!X51="●",[2]回答表!E265,IF([2]回答表!AA51="●",[2]回答表!E344,"")),"")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IF([2]回答表!F18="簡易水道事業",IF([2]回答表!X51="●",[2]回答表!B267,IF([2]回答表!AA51="●",[2]回答表!B346,"")),"")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IF([2]回答表!F18="簡易水道事業",IF([2]回答表!AD51="●","●",""),"")</f>
        <v/>
      </c>
      <c r="O154" s="131"/>
      <c r="P154" s="131"/>
      <c r="Q154" s="132"/>
      <c r="R154" s="119"/>
      <c r="S154" s="119"/>
      <c r="T154" s="119"/>
      <c r="U154" s="133" t="str">
        <f>IF([2]回答表!F18="簡易水道事業",IF([2]回答表!AD51="●",[2]回答表!B354,""),"")</f>
        <v/>
      </c>
      <c r="V154" s="134"/>
      <c r="W154" s="134"/>
      <c r="X154" s="134"/>
      <c r="Y154" s="134"/>
      <c r="Z154" s="134"/>
      <c r="AA154" s="134"/>
      <c r="AB154" s="134"/>
      <c r="AC154" s="134"/>
      <c r="AD154" s="134"/>
      <c r="AE154" s="134"/>
      <c r="AF154" s="134"/>
      <c r="AG154" s="134"/>
      <c r="AH154" s="134"/>
      <c r="AI154" s="134"/>
      <c r="AJ154" s="135"/>
      <c r="AK154" s="189"/>
      <c r="AL154" s="189"/>
      <c r="AM154" s="133" t="str">
        <f>IF([2]回答表!F18="簡易水道事業",IF([2]回答表!AD51="●",[2]回答表!B360,""),"")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IF([2]回答表!F18="下水道事業",IF([2]回答表!X51="●","●",""),"")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IF([2]回答表!F18="下水道事業",IF([2]回答表!X51="●",[2]回答表!B197,IF([2]回答表!AA51="●",[2]回答表!B275,"")),"")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IF([2]回答表!F18="下水道事業",IF([2]回答表!X51="●",[2]回答表!B256,IF([2]回答表!AA51="●",[2]回答表!B335,"")),"")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IF([2]回答表!F18="下水道事業",IF([2]回答表!X51="●",[2]回答表!N234,IF([2]回答表!AA51="●",[2]回答表!N314,"")),"")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IF([2]回答表!F18="下水道事業",IF([2]回答表!X51="●",[2]回答表!E256,IF([2]回答表!AA51="●",[2]回答表!E335,"")),"")</f>
        <v/>
      </c>
      <c r="BG169" s="151"/>
      <c r="BH169" s="151"/>
      <c r="BI169" s="151"/>
      <c r="BJ169" s="150" t="str">
        <f>IF([2]回答表!F18="下水道事業",IF([2]回答表!X51="●",[2]回答表!E257,IF([2]回答表!AA51="●",[2]回答表!E336,"")),"")</f>
        <v/>
      </c>
      <c r="BK169" s="151"/>
      <c r="BL169" s="151"/>
      <c r="BM169" s="151"/>
      <c r="BN169" s="150" t="str">
        <f>IF([2]回答表!F18="下水道事業",IF([2]回答表!X51="●",[2]回答表!E258,IF([2]回答表!AA51="●",[2]回答表!E337,"")),"")</f>
        <v/>
      </c>
      <c r="BO169" s="151"/>
      <c r="BP169" s="151"/>
      <c r="BQ169" s="152"/>
      <c r="BR169" s="112"/>
      <c r="BX169" s="234" t="str">
        <f>IF([2]回答表!AQ21="下水道事業",IF([2]回答表!BI54="○",[2]回答表!AM200,IF([2]回答表!BL54="○",[2]回答表!AM278,"")),"")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IF([2]回答表!F18="下水道事業",IF([2]回答表!X51="●",[2]回答表!Y236,IF([2]回答表!AA51="●",[2]回答表!Y316,"")),"")</f>
        <v/>
      </c>
      <c r="V174" s="83"/>
      <c r="W174" s="83"/>
      <c r="X174" s="83"/>
      <c r="Y174" s="83"/>
      <c r="Z174" s="83"/>
      <c r="AA174" s="83"/>
      <c r="AB174" s="153"/>
      <c r="AC174" s="82" t="str">
        <f>IF([2]回答表!F18="下水道事業",IF([2]回答表!X51="●",[2]回答表!Y237,IF([2]回答表!AA51="●",[2]回答表!Y317,"")),"")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IF([2]回答表!F18="下水道事業",IF([2]回答表!X51="●",[2]回答表!Y239,IF([2]回答表!AA51="●",[2]回答表!Y319,"")),"")</f>
        <v/>
      </c>
      <c r="V180" s="83"/>
      <c r="W180" s="83"/>
      <c r="X180" s="83"/>
      <c r="Y180" s="83"/>
      <c r="Z180" s="83"/>
      <c r="AA180" s="83"/>
      <c r="AB180" s="153"/>
      <c r="AC180" s="82" t="str">
        <f>IF([2]回答表!F18="下水道事業",IF([2]回答表!X51="●",[2]回答表!Y240,IF([2]回答表!AA51="●",[2]回答表!Y320,"")),"")</f>
        <v/>
      </c>
      <c r="AD180" s="83"/>
      <c r="AE180" s="83"/>
      <c r="AF180" s="83"/>
      <c r="AG180" s="83"/>
      <c r="AH180" s="83"/>
      <c r="AI180" s="83"/>
      <c r="AJ180" s="153"/>
      <c r="AK180" s="82" t="str">
        <f>IF([2]回答表!F18="下水道事業",IF([2]回答表!X51="●",[2]回答表!Y241,IF([2]回答表!AA51="●",[2]回答表!Y321,"")),"")</f>
        <v/>
      </c>
      <c r="AL180" s="83"/>
      <c r="AM180" s="83"/>
      <c r="AN180" s="83"/>
      <c r="AO180" s="83"/>
      <c r="AP180" s="83"/>
      <c r="AQ180" s="83"/>
      <c r="AR180" s="153"/>
      <c r="AS180" s="82" t="str">
        <f>IF([2]回答表!F18="下水道事業",IF([2]回答表!X51="●",[2]回答表!Y242,IF([2]回答表!AA51="●",[2]回答表!Y322,"")),"")</f>
        <v/>
      </c>
      <c r="AT180" s="83"/>
      <c r="AU180" s="83"/>
      <c r="AV180" s="83"/>
      <c r="AW180" s="83"/>
      <c r="AX180" s="83"/>
      <c r="AY180" s="83"/>
      <c r="AZ180" s="153"/>
      <c r="BA180" s="82" t="str">
        <f>IF([2]回答表!F18="下水道事業",IF([2]回答表!X51="●",[2]回答表!Y243,IF([2]回答表!AA51="●",[2]回答表!Y323,"")),"")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IF([2]回答表!F18="下水道事業",IF([2]回答表!AA51="●","●",""),"")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IF([2]回答表!F18="下水道事業",IF([2]回答表!X51="●",[2]回答表!N248,IF([2]回答表!AA51="●",[2]回答表!N328,"")),"")</f>
        <v/>
      </c>
      <c r="V186" s="83"/>
      <c r="W186" s="83"/>
      <c r="X186" s="83"/>
      <c r="Y186" s="83"/>
      <c r="Z186" s="83"/>
      <c r="AA186" s="83"/>
      <c r="AB186" s="153"/>
      <c r="AC186" s="82" t="str">
        <f>IF([2]回答表!F18="下水道事業",IF([2]回答表!X51="●",[2]回答表!N249,IF([2]回答表!AA51="●",[2]回答表!N329,"")),"")</f>
        <v/>
      </c>
      <c r="AD186" s="83"/>
      <c r="AE186" s="83"/>
      <c r="AF186" s="83"/>
      <c r="AG186" s="83"/>
      <c r="AH186" s="83"/>
      <c r="AI186" s="83"/>
      <c r="AJ186" s="153"/>
      <c r="AK186" s="82" t="str">
        <f>IF([2]回答表!F18="下水道事業",IF([2]回答表!X51="●",[2]回答表!N250,IF([2]回答表!AA51="●",[2]回答表!N330,"")),"")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IF([2]回答表!F18="下水道事業",IF([2]回答表!X51="●",[2]回答表!E265,IF([2]回答表!AA51="●",[2]回答表!E344,"")),"")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IF([2]回答表!F18="下水道事業",IF([2]回答表!X51="●",[2]回答表!B267,IF([2]回答表!AA51="●",[2]回答表!B346,"")),"")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IF([2]回答表!F18="下水道事業",IF([2]回答表!AD51="●","●",""),"")</f>
        <v/>
      </c>
      <c r="O198" s="131"/>
      <c r="P198" s="131"/>
      <c r="Q198" s="132"/>
      <c r="R198" s="119"/>
      <c r="S198" s="119"/>
      <c r="T198" s="119"/>
      <c r="U198" s="133" t="str">
        <f>IF([2]回答表!F18="下水道事業",IF([2]回答表!AD51="●",[2]回答表!B354,""),"")</f>
        <v/>
      </c>
      <c r="V198" s="134"/>
      <c r="W198" s="134"/>
      <c r="X198" s="134"/>
      <c r="Y198" s="134"/>
      <c r="Z198" s="134"/>
      <c r="AA198" s="134"/>
      <c r="AB198" s="134"/>
      <c r="AC198" s="134"/>
      <c r="AD198" s="134"/>
      <c r="AE198" s="134"/>
      <c r="AF198" s="134"/>
      <c r="AG198" s="134"/>
      <c r="AH198" s="134"/>
      <c r="AI198" s="134"/>
      <c r="AJ198" s="135"/>
      <c r="AK198" s="189"/>
      <c r="AL198" s="189"/>
      <c r="AM198" s="133" t="str">
        <f>IF([2]回答表!F18="下水道事業",IF([2]回答表!AD51="●",[2]回答表!B360,""),"")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IF([2]回答表!BD18="●",IF([2]回答表!X51="●","●",""),"")</f>
        <v/>
      </c>
      <c r="O210" s="131"/>
      <c r="P210" s="131"/>
      <c r="Q210" s="132"/>
      <c r="R210" s="119"/>
      <c r="S210" s="119"/>
      <c r="T210" s="119"/>
      <c r="U210" s="133" t="str">
        <f>IF([2]回答表!BD18="●",IF([2]回答表!X51="●",[2]回答表!B197,IF([2]回答表!AA51="●",[2]回答表!B275,"")),"")</f>
        <v/>
      </c>
      <c r="V210" s="134"/>
      <c r="W210" s="134"/>
      <c r="X210" s="134"/>
      <c r="Y210" s="134"/>
      <c r="Z210" s="134"/>
      <c r="AA210" s="134"/>
      <c r="AB210" s="134"/>
      <c r="AC210" s="134"/>
      <c r="AD210" s="134"/>
      <c r="AE210" s="134"/>
      <c r="AF210" s="134"/>
      <c r="AG210" s="134"/>
      <c r="AH210" s="134"/>
      <c r="AI210" s="134"/>
      <c r="AJ210" s="135"/>
      <c r="AK210" s="136"/>
      <c r="AL210" s="136"/>
      <c r="AM210" s="138" t="str">
        <f>IF([2]回答表!BD18="●",IF([2]回答表!X51="●",[2]回答表!B256,IF([2]回答表!AA51="●",[2]回答表!B335,"")),"")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IF([2]回答表!BD18="●",IF([2]回答表!X51="●",[2]回答表!E256,IF([2]回答表!AA51="●",[2]回答表!E335,"")),"")</f>
        <v/>
      </c>
      <c r="AN213" s="151"/>
      <c r="AO213" s="151"/>
      <c r="AP213" s="151"/>
      <c r="AQ213" s="150" t="str">
        <f>IF([2]回答表!BD18="●",IF([2]回答表!X51="●",[2]回答表!E257,IF([2]回答表!AA51="●",[2]回答表!E336,"")),"")</f>
        <v/>
      </c>
      <c r="AR213" s="151"/>
      <c r="AS213" s="151"/>
      <c r="AT213" s="151"/>
      <c r="AU213" s="150" t="str">
        <f>IF([2]回答表!BD18="●",IF([2]回答表!X51="●",[2]回答表!E258,IF([2]回答表!AA51="●",[2]回答表!E337,"")),"")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IF([2]回答表!BD18="●",IF([2]回答表!AA51="●","●",""),"")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IF([2]回答表!BD18="●",IF([2]回答表!X51="●",[2]回答表!E265,IF([2]回答表!AA51="●",[2]回答表!E344,"")),"")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IF([2]回答表!BD18="●",IF([2]回答表!X51="●",[2]回答表!B267,IF([2]回答表!AA51="●",[2]回答表!B346,"")),"")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IF([2]回答表!BD18="●",IF([2]回答表!AD51="●","●",""),"")</f>
        <v/>
      </c>
      <c r="O229" s="131"/>
      <c r="P229" s="131"/>
      <c r="Q229" s="132"/>
      <c r="R229" s="119"/>
      <c r="S229" s="119"/>
      <c r="T229" s="119"/>
      <c r="U229" s="133" t="str">
        <f>IF([2]回答表!BD18="●",IF([2]回答表!AD51="●",[2]回答表!B354,""),"")</f>
        <v/>
      </c>
      <c r="V229" s="134"/>
      <c r="W229" s="134"/>
      <c r="X229" s="134"/>
      <c r="Y229" s="134"/>
      <c r="Z229" s="134"/>
      <c r="AA229" s="134"/>
      <c r="AB229" s="134"/>
      <c r="AC229" s="134"/>
      <c r="AD229" s="134"/>
      <c r="AE229" s="134"/>
      <c r="AF229" s="134"/>
      <c r="AG229" s="134"/>
      <c r="AH229" s="134"/>
      <c r="AI229" s="134"/>
      <c r="AJ229" s="135"/>
      <c r="AK229" s="249"/>
      <c r="AL229" s="249"/>
      <c r="AM229" s="133" t="str">
        <f>IF([2]回答表!BD18="●",IF([2]回答表!AD51="●",[2]回答表!B360,""),"")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IF([2]回答表!X52="●","●","")</f>
        <v/>
      </c>
      <c r="O241" s="131"/>
      <c r="P241" s="131"/>
      <c r="Q241" s="132"/>
      <c r="R241" s="119"/>
      <c r="S241" s="119"/>
      <c r="T241" s="119"/>
      <c r="U241" s="133" t="str">
        <f>IF([2]回答表!X52="●",[2]回答表!B371,IF([2]回答表!AA52="●",[2]回答表!B396,""))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IF([2]回答表!X52="●",[2]回答表!U377,IF([2]回答表!AA52="●",[2]回答表!U402,""))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IF([2]回答表!X52="●",[2]回答表!G377,IF([2]回答表!AA52="●",[2]回答表!G402,""))</f>
        <v/>
      </c>
      <c r="AN244" s="83"/>
      <c r="AO244" s="83"/>
      <c r="AP244" s="83"/>
      <c r="AQ244" s="83"/>
      <c r="AR244" s="83"/>
      <c r="AS244" s="83"/>
      <c r="AT244" s="153"/>
      <c r="AU244" s="82" t="str">
        <f>IF([2]回答表!X52="●",[2]回答表!G378,IF([2]回答表!AA52="●",[2]回答表!G403,""))</f>
        <v/>
      </c>
      <c r="AV244" s="83"/>
      <c r="AW244" s="83"/>
      <c r="AX244" s="83"/>
      <c r="AY244" s="83"/>
      <c r="AZ244" s="83"/>
      <c r="BA244" s="83"/>
      <c r="BB244" s="153"/>
      <c r="BC244" s="120"/>
      <c r="BD244" s="109"/>
      <c r="BE244" s="109"/>
      <c r="BF244" s="150" t="str">
        <f>IF([2]回答表!X52="●",[2]回答表!X377,IF([2]回答表!AA52="●",[2]回答表!X402,""))</f>
        <v/>
      </c>
      <c r="BG244" s="151"/>
      <c r="BH244" s="151"/>
      <c r="BI244" s="151"/>
      <c r="BJ244" s="150" t="str">
        <f>IF([2]回答表!X52="●",[2]回答表!X378,IF([2]回答表!AA52="●",[2]回答表!X403,""))</f>
        <v/>
      </c>
      <c r="BK244" s="151"/>
      <c r="BL244" s="151"/>
      <c r="BM244" s="152"/>
      <c r="BN244" s="150" t="str">
        <f>IF([2]回答表!X52="●",[2]回答表!X379,IF([2]回答表!AA52="●",[2]回答表!X404,""))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IF([2]回答表!X52="●",[2]回答表!E386,IF([2]回答表!AA52="●",[2]回答表!E407,""))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IF([2]回答表!X52="●",[2]回答表!B388,IF([2]回答表!AA52="●",[2]回答表!B409,""))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IF([2]回答表!AD52="●","●","")</f>
        <v/>
      </c>
      <c r="O260" s="131"/>
      <c r="P260" s="131"/>
      <c r="Q260" s="132"/>
      <c r="R260" s="119"/>
      <c r="S260" s="119"/>
      <c r="T260" s="119"/>
      <c r="U260" s="133" t="str">
        <f>IF([2]回答表!AD52="●",[2]回答表!B417,"")</f>
        <v/>
      </c>
      <c r="V260" s="134"/>
      <c r="W260" s="134"/>
      <c r="X260" s="134"/>
      <c r="Y260" s="134"/>
      <c r="Z260" s="134"/>
      <c r="AA260" s="134"/>
      <c r="AB260" s="134"/>
      <c r="AC260" s="134"/>
      <c r="AD260" s="134"/>
      <c r="AE260" s="134"/>
      <c r="AF260" s="134"/>
      <c r="AG260" s="134"/>
      <c r="AH260" s="134"/>
      <c r="AI260" s="134"/>
      <c r="AJ260" s="135"/>
      <c r="AK260" s="249"/>
      <c r="AL260" s="249"/>
      <c r="AM260" s="133" t="str">
        <f>IF([2]回答表!AD52="●",[2]回答表!B423,"")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IF([2]回答表!X53="●","●","")</f>
        <v/>
      </c>
      <c r="O272" s="131"/>
      <c r="P272" s="131"/>
      <c r="Q272" s="132"/>
      <c r="R272" s="119"/>
      <c r="S272" s="119"/>
      <c r="T272" s="119"/>
      <c r="U272" s="133" t="str">
        <f>IF([2]回答表!X53="●",[2]回答表!B434,IF([2]回答表!AA53="●",[2]回答表!B465,""))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IF([2]回答表!X53="●",[2]回答表!B440,"")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IF([2]回答表!X53="●",[2]回答表!B446,IF([2]回答表!AA53="●",[2]回答表!B471,""))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IF([2]回答表!X53="●",[2]回答表!E446,IF([2]回答表!AA53="●",[2]回答表!E471,""))</f>
        <v/>
      </c>
      <c r="BG275" s="151"/>
      <c r="BH275" s="151"/>
      <c r="BI275" s="151"/>
      <c r="BJ275" s="150" t="str">
        <f>IF([2]回答表!X53="●",[2]回答表!E447,IF([2]回答表!AA53="●",[2]回答表!E472,""))</f>
        <v/>
      </c>
      <c r="BK275" s="151"/>
      <c r="BL275" s="151"/>
      <c r="BM275" s="152"/>
      <c r="BN275" s="150" t="str">
        <f>IF([2]回答表!X53="●",[2]回答表!E448,IF([2]回答表!AA53="●",[2]回答表!E473,""))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IF([2]回答表!X53="●",[2]回答表!E455,IF([2]回答表!AA53="●",[2]回答表!E476,""))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IF([2]回答表!X53="●",[2]回答表!B457,IF([2]回答表!AA53="●",[2]回答表!B478,""))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IF([2]回答表!AD53="●","●","")</f>
        <v>●</v>
      </c>
      <c r="O291" s="131"/>
      <c r="P291" s="131"/>
      <c r="Q291" s="132"/>
      <c r="R291" s="119"/>
      <c r="S291" s="119"/>
      <c r="T291" s="119"/>
      <c r="U291" s="133" t="str">
        <f>IF([2]回答表!AD53="●",[2]回答表!B486,"")</f>
        <v>市水道ビジョン等における民間活用の推進、対象は料金等徴収業務</v>
      </c>
      <c r="V291" s="134"/>
      <c r="W291" s="134"/>
      <c r="X291" s="134"/>
      <c r="Y291" s="134"/>
      <c r="Z291" s="134"/>
      <c r="AA291" s="134"/>
      <c r="AB291" s="134"/>
      <c r="AC291" s="134"/>
      <c r="AD291" s="134"/>
      <c r="AE291" s="134"/>
      <c r="AF291" s="134"/>
      <c r="AG291" s="134"/>
      <c r="AH291" s="134"/>
      <c r="AI291" s="134"/>
      <c r="AJ291" s="135"/>
      <c r="AK291" s="249"/>
      <c r="AL291" s="249"/>
      <c r="AM291" s="133" t="str">
        <f>IF([2]回答表!AD53="●",[2]回答表!B492,"")</f>
        <v>徴収料金の適正な管理や会計システムとの連携</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IF([2]回答表!X54="●","●","")</f>
        <v/>
      </c>
      <c r="O303" s="131"/>
      <c r="P303" s="131"/>
      <c r="Q303" s="132"/>
      <c r="R303" s="119"/>
      <c r="S303" s="119"/>
      <c r="T303" s="119"/>
      <c r="U303" s="133" t="str">
        <f>IF([2]回答表!X54="●",[2]回答表!B503,IF([2]回答表!AA54="●",[2]回答表!B526,""))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IF([2]回答表!X54="●",[2]回答表!BC510,IF([2]回答表!AA54="●",[2]回答表!BC533,""))</f>
        <v/>
      </c>
      <c r="AR303" s="271"/>
      <c r="AS303" s="271"/>
      <c r="AT303" s="271"/>
      <c r="AU303" s="272" t="s">
        <v>74</v>
      </c>
      <c r="AV303" s="273"/>
      <c r="AW303" s="273"/>
      <c r="AX303" s="274"/>
      <c r="AY303" s="271" t="str">
        <f>IF([2]回答表!X54="●",[2]回答表!BC515,IF([2]回答表!AA54="●",[2]回答表!BC538,""))</f>
        <v/>
      </c>
      <c r="AZ303" s="271"/>
      <c r="BA303" s="271"/>
      <c r="BB303" s="271"/>
      <c r="BC303" s="120"/>
      <c r="BD303" s="109"/>
      <c r="BE303" s="109"/>
      <c r="BF303" s="138" t="str">
        <f>IF([2]回答表!X54="●",[2]回答表!S509,IF([2]回答表!AA54="●",[2]回答表!S532,""))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IF([2]回答表!X54="●",[2]回答表!BC511,IF([2]回答表!AA54="●",[2]回答表!BC534,""))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IF([2]回答表!X54="●",[2]回答表!V509,IF([2]回答表!AA54="●",[2]回答表!V532,""))</f>
        <v/>
      </c>
      <c r="BG306" s="151"/>
      <c r="BH306" s="151"/>
      <c r="BI306" s="151"/>
      <c r="BJ306" s="150" t="str">
        <f>IF([2]回答表!X54="●",[2]回答表!V510,IF([2]回答表!AA54="●",[2]回答表!V533,""))</f>
        <v/>
      </c>
      <c r="BK306" s="151"/>
      <c r="BL306" s="151"/>
      <c r="BM306" s="152"/>
      <c r="BN306" s="150" t="str">
        <f>IF([2]回答表!X54="●",[2]回答表!V511,IF([2]回答表!AA54="●",[2]回答表!V534,""))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IF([2]回答表!X54="●",[2]回答表!BC512,IF([2]回答表!AA54="●",[2]回答表!BC535,""))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IF([2]回答表!X54="●",[2]回答表!BC516,IF([2]回答表!AA54="●",[2]回答表!BC539,""))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IF([2]回答表!X54="●",[2]回答表!BC513,IF([2]回答表!AA54="●",[2]回答表!BC536,""))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IF([2]回答表!X54="●",[2]回答表!BC514,IF([2]回答表!AA54="●",[2]回答表!BC537,""))</f>
        <v/>
      </c>
      <c r="AR311" s="271"/>
      <c r="AS311" s="271"/>
      <c r="AT311" s="271"/>
      <c r="AU311" s="222" t="s">
        <v>80</v>
      </c>
      <c r="AV311" s="223"/>
      <c r="AW311" s="223"/>
      <c r="AX311" s="224"/>
      <c r="AY311" s="281" t="str">
        <f>IF([2]回答表!X54="●",[2]回答表!BC517,IF([2]回答表!AA54="●",[2]回答表!BC540,""))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IF([2]回答表!X54="●",[2]回答表!E516,IF([2]回答表!AA54="●",[2]回答表!E538,""))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IF([2]回答表!X54="●",[2]回答表!B518,IF([2]回答表!AA54="●",[2]回答表!B540,""))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IF([2]回答表!AD54="●","●","")</f>
        <v>●</v>
      </c>
      <c r="O322" s="131"/>
      <c r="P322" s="131"/>
      <c r="Q322" s="132"/>
      <c r="R322" s="119"/>
      <c r="S322" s="119"/>
      <c r="T322" s="119"/>
      <c r="U322" s="133" t="str">
        <f>IF([2]回答表!AD54="●",[2]回答表!B548,"")</f>
        <v>市水道ビジョン等による検討、コンセッション方式の導入</v>
      </c>
      <c r="V322" s="134"/>
      <c r="W322" s="134"/>
      <c r="X322" s="134"/>
      <c r="Y322" s="134"/>
      <c r="Z322" s="134"/>
      <c r="AA322" s="134"/>
      <c r="AB322" s="134"/>
      <c r="AC322" s="134"/>
      <c r="AD322" s="134"/>
      <c r="AE322" s="134"/>
      <c r="AF322" s="134"/>
      <c r="AG322" s="134"/>
      <c r="AH322" s="134"/>
      <c r="AI322" s="134"/>
      <c r="AJ322" s="135"/>
      <c r="AK322" s="189"/>
      <c r="AL322" s="189"/>
      <c r="AM322" s="133" t="str">
        <f>IF([2]回答表!AD54="●",[2]回答表!B554,"")</f>
        <v>研修会に参加するなど情報収集に努めているが、デメリットなど水道事業の不利益が生じないかを含めて慎重に検討している。</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IF([2]回答表!X55="●","●","")</f>
        <v/>
      </c>
      <c r="O333" s="131"/>
      <c r="P333" s="131"/>
      <c r="Q333" s="132"/>
      <c r="R333" s="119"/>
      <c r="S333" s="119"/>
      <c r="T333" s="119"/>
      <c r="U333" s="133" t="str">
        <f>IF([2]回答表!X55="●",[2]回答表!B565,IF([2]回答表!AA55="●",[2]回答表!B590,""))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IF([2]回答表!X55="●",[2]回答表!B575,IF([2]回答表!AA55="●",[2]回答表!B600,""))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IF([2]回答表!X55="●",[2]回答表!G571,IF([2]回答表!AA55="●",[2]回答表!G596,""))</f>
        <v/>
      </c>
      <c r="AN335" s="83"/>
      <c r="AO335" s="83"/>
      <c r="AP335" s="83"/>
      <c r="AQ335" s="83"/>
      <c r="AR335" s="83"/>
      <c r="AS335" s="83"/>
      <c r="AT335" s="153"/>
      <c r="AU335" s="82" t="str">
        <f>IF([2]回答表!X55="●",[2]回答表!G572,IF([2]回答表!AA55="●",[2]回答表!G597,""))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IF([2]回答表!X55="●",[2]回答表!E575,IF([2]回答表!AA55="●",[2]回答表!E600,""))</f>
        <v/>
      </c>
      <c r="BG336" s="151"/>
      <c r="BH336" s="151"/>
      <c r="BI336" s="151"/>
      <c r="BJ336" s="150" t="str">
        <f>IF([2]回答表!X55="●",[2]回答表!E576,IF([2]回答表!AA55="●",[2]回答表!E601,""))</f>
        <v/>
      </c>
      <c r="BK336" s="151"/>
      <c r="BL336" s="151"/>
      <c r="BM336" s="152"/>
      <c r="BN336" s="150" t="str">
        <f>IF([2]回答表!X55="●",[2]回答表!E577,IF([2]回答表!AA55="●",[2]回答表!E602,""))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IF([2]回答表!X55="●",[2]回答表!E580,IF([2]回答表!AA55="●",[2]回答表!E605,""))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IF([2]回答表!X55="●",[2]回答表!B582,IF([2]回答表!AA55="●",[2]回答表!B607,""))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IF([2]回答表!AD55="●","●","")</f>
        <v/>
      </c>
      <c r="O352" s="131"/>
      <c r="P352" s="131"/>
      <c r="Q352" s="132"/>
      <c r="R352" s="119"/>
      <c r="S352" s="119"/>
      <c r="T352" s="119"/>
      <c r="U352" s="133" t="str">
        <f>IF([2]回答表!AD55="●",[2]回答表!B615,"")</f>
        <v/>
      </c>
      <c r="V352" s="134"/>
      <c r="W352" s="134"/>
      <c r="X352" s="134"/>
      <c r="Y352" s="134"/>
      <c r="Z352" s="134"/>
      <c r="AA352" s="134"/>
      <c r="AB352" s="134"/>
      <c r="AC352" s="134"/>
      <c r="AD352" s="134"/>
      <c r="AE352" s="134"/>
      <c r="AF352" s="134"/>
      <c r="AG352" s="134"/>
      <c r="AH352" s="134"/>
      <c r="AI352" s="134"/>
      <c r="AJ352" s="135"/>
      <c r="AK352" s="136"/>
      <c r="AL352" s="136"/>
      <c r="AM352" s="133" t="str">
        <f>IF([2]回答表!AD55="●",[2]回答表!B621,"")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IF([2]回答表!R56="●",[2]回答表!B634,"")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5F8CA-28E0-4ACC-AB6A-6D9D9E3694C2}">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IF(COUNTIF([3]回答表!K16,"*")&gt;0,[3]回答表!K16,"")</f>
        <v>大館市</v>
      </c>
      <c r="D11" s="8"/>
      <c r="E11" s="8"/>
      <c r="F11" s="8"/>
      <c r="G11" s="8"/>
      <c r="H11" s="8"/>
      <c r="I11" s="8"/>
      <c r="J11" s="8"/>
      <c r="K11" s="8"/>
      <c r="L11" s="8"/>
      <c r="M11" s="8"/>
      <c r="N11" s="8"/>
      <c r="O11" s="8"/>
      <c r="P11" s="8"/>
      <c r="Q11" s="8"/>
      <c r="R11" s="8"/>
      <c r="S11" s="8"/>
      <c r="T11" s="8"/>
      <c r="U11" s="22" t="str">
        <f>IF(COUNTIF([3]回答表!F18,"*")&gt;0,[3]回答表!F18,"")</f>
        <v>工業用水道事業</v>
      </c>
      <c r="V11" s="23"/>
      <c r="W11" s="23"/>
      <c r="X11" s="23"/>
      <c r="Y11" s="23"/>
      <c r="Z11" s="23"/>
      <c r="AA11" s="23"/>
      <c r="AB11" s="23"/>
      <c r="AC11" s="23"/>
      <c r="AD11" s="23"/>
      <c r="AE11" s="23"/>
      <c r="AF11" s="10"/>
      <c r="AG11" s="10"/>
      <c r="AH11" s="10"/>
      <c r="AI11" s="10"/>
      <c r="AJ11" s="10"/>
      <c r="AK11" s="10"/>
      <c r="AL11" s="10"/>
      <c r="AM11" s="10"/>
      <c r="AN11" s="11"/>
      <c r="AO11" s="24" t="str">
        <f>IF(COUNTIF([3]回答表!W18,"*")&gt;0,[3]回答表!W18,"")</f>
        <v>―</v>
      </c>
      <c r="AP11" s="10"/>
      <c r="AQ11" s="10"/>
      <c r="AR11" s="10"/>
      <c r="AS11" s="10"/>
      <c r="AT11" s="10"/>
      <c r="AU11" s="10"/>
      <c r="AV11" s="10"/>
      <c r="AW11" s="10"/>
      <c r="AX11" s="10"/>
      <c r="AY11" s="10"/>
      <c r="AZ11" s="10"/>
      <c r="BA11" s="10"/>
      <c r="BB11" s="10"/>
      <c r="BC11" s="10"/>
      <c r="BD11" s="10"/>
      <c r="BE11" s="10"/>
      <c r="BF11" s="11"/>
      <c r="BG11" s="21" t="str">
        <f>IF(COUNTIF([3]回答表!F20,"*")&gt;0,[3]回答表!F20,"")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IF([3]回答表!R49="●","●","")</f>
        <v/>
      </c>
      <c r="E24" s="80"/>
      <c r="F24" s="80"/>
      <c r="G24" s="80"/>
      <c r="H24" s="80"/>
      <c r="I24" s="80"/>
      <c r="J24" s="81"/>
      <c r="K24" s="79" t="str">
        <f>IF([3]回答表!R50="●","●","")</f>
        <v/>
      </c>
      <c r="L24" s="80"/>
      <c r="M24" s="80"/>
      <c r="N24" s="80"/>
      <c r="O24" s="80"/>
      <c r="P24" s="80"/>
      <c r="Q24" s="81"/>
      <c r="R24" s="79" t="str">
        <f>IF([3]回答表!R51="●","●","")</f>
        <v/>
      </c>
      <c r="S24" s="80"/>
      <c r="T24" s="80"/>
      <c r="U24" s="80"/>
      <c r="V24" s="80"/>
      <c r="W24" s="80"/>
      <c r="X24" s="81"/>
      <c r="Y24" s="79" t="str">
        <f>IF([3]回答表!R52="●","●","")</f>
        <v/>
      </c>
      <c r="Z24" s="80"/>
      <c r="AA24" s="80"/>
      <c r="AB24" s="80"/>
      <c r="AC24" s="80"/>
      <c r="AD24" s="80"/>
      <c r="AE24" s="81"/>
      <c r="AF24" s="79" t="str">
        <f>IF([3]回答表!R53="●","●","")</f>
        <v/>
      </c>
      <c r="AG24" s="80"/>
      <c r="AH24" s="80"/>
      <c r="AI24" s="80"/>
      <c r="AJ24" s="80"/>
      <c r="AK24" s="80"/>
      <c r="AL24" s="81"/>
      <c r="AM24" s="79" t="str">
        <f>IF([3]回答表!R54="●","●","")</f>
        <v/>
      </c>
      <c r="AN24" s="80"/>
      <c r="AO24" s="80"/>
      <c r="AP24" s="80"/>
      <c r="AQ24" s="80"/>
      <c r="AR24" s="80"/>
      <c r="AS24" s="81"/>
      <c r="AT24" s="79" t="str">
        <f>IF([3]回答表!R55="●","●","")</f>
        <v/>
      </c>
      <c r="AU24" s="80"/>
      <c r="AV24" s="80"/>
      <c r="AW24" s="80"/>
      <c r="AX24" s="80"/>
      <c r="AY24" s="80"/>
      <c r="AZ24" s="81"/>
      <c r="BA24" s="68"/>
      <c r="BB24" s="82" t="str">
        <f>IF([3]回答表!R56="●","●","")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IF([3]回答表!X49="●","●","")</f>
        <v/>
      </c>
      <c r="O36" s="131"/>
      <c r="P36" s="131"/>
      <c r="Q36" s="132"/>
      <c r="R36" s="119"/>
      <c r="S36" s="119"/>
      <c r="T36" s="119"/>
      <c r="U36" s="133" t="str">
        <f>IF([3]回答表!X49="●",[3]回答表!B67,IF([3]回答表!AA49="●",[3]回答表!B95,""))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IF([3]回答表!X49="●",[3]回答表!S73,IF([3]回答表!AA49="●",[3]回答表!S101,""))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IF([3]回答表!X49="●",[3]回答表!G73,IF([3]回答表!AA49="●",[3]回答表!G101,""))</f>
        <v/>
      </c>
      <c r="AN38" s="83"/>
      <c r="AO38" s="83"/>
      <c r="AP38" s="83"/>
      <c r="AQ38" s="83"/>
      <c r="AR38" s="83"/>
      <c r="AS38" s="83"/>
      <c r="AT38" s="153"/>
      <c r="AU38" s="82" t="str">
        <f>IF([3]回答表!X49="●",[3]回答表!G74,IF([3]回答表!AA49="●",[3]回答表!G102,""))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IF([3]回答表!X49="●",[3]回答表!V73,IF([3]回答表!AA49="●",[3]回答表!V101,""))</f>
        <v/>
      </c>
      <c r="BG39" s="16"/>
      <c r="BH39" s="16"/>
      <c r="BI39" s="17"/>
      <c r="BJ39" s="150" t="str">
        <f>IF([3]回答表!X49="●",[3]回答表!V74,IF([3]回答表!AA49="●",[3]回答表!V102,""))</f>
        <v/>
      </c>
      <c r="BK39" s="16"/>
      <c r="BL39" s="16"/>
      <c r="BM39" s="17"/>
      <c r="BN39" s="150" t="str">
        <f>IF([3]回答表!X49="●",[3]回答表!V75,IF([3]回答表!AA49="●",[3]回答表!V103,""))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IF([3]回答表!X49="●",[3]回答表!O79,IF([3]回答表!AA49="●",[3]回答表!O107,""))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IF([3]回答表!X49="●",[3]回答表!O80,IF([3]回答表!AA49="●",[3]回答表!O108,""))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IF([3]回答表!X49="●",[3]回答表!O81,IF([3]回答表!AA49="●",[3]回答表!O109,""))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IF([3]回答表!X49="●",[3]回答表!O82,IF([3]回答表!AA49="●",[3]回答表!O110,""))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IF([3]回答表!X49="●",[3]回答表!AG79,IF([3]回答表!AA49="●",[3]回答表!AG107,""))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IF([3]回答表!X49="●",[3]回答表!AG80,IF([3]回答表!AA49="●",[3]回答表!AG108,""))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IF([3]回答表!X49="●",[3]回答表!E85,IF([3]回答表!AA49="●",[3]回答表!E113,""))</f>
        <v/>
      </c>
      <c r="V50" s="182"/>
      <c r="W50" s="182"/>
      <c r="X50" s="182"/>
      <c r="Y50" s="182"/>
      <c r="Z50" s="182"/>
      <c r="AA50" s="182"/>
      <c r="AB50" s="182"/>
      <c r="AC50" s="182"/>
      <c r="AD50" s="182"/>
      <c r="AE50" s="183" t="s">
        <v>33</v>
      </c>
      <c r="AF50" s="183"/>
      <c r="AG50" s="183"/>
      <c r="AH50" s="183"/>
      <c r="AI50" s="183"/>
      <c r="AJ50" s="184"/>
      <c r="AK50" s="136"/>
      <c r="AL50" s="136"/>
      <c r="AM50" s="133" t="str">
        <f>IF([3]回答表!X49="●",[3]回答表!B87,IF([3]回答表!AA49="●",[3]回答表!B115,""))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IF([3]回答表!AD49="●","●","")</f>
        <v/>
      </c>
      <c r="O57" s="131"/>
      <c r="P57" s="131"/>
      <c r="Q57" s="132"/>
      <c r="R57" s="119"/>
      <c r="S57" s="119"/>
      <c r="T57" s="119"/>
      <c r="U57" s="133" t="str">
        <f>IF([3]回答表!AD49="●",[3]回答表!B123,"")</f>
        <v/>
      </c>
      <c r="V57" s="134"/>
      <c r="W57" s="134"/>
      <c r="X57" s="134"/>
      <c r="Y57" s="134"/>
      <c r="Z57" s="134"/>
      <c r="AA57" s="134"/>
      <c r="AB57" s="134"/>
      <c r="AC57" s="134"/>
      <c r="AD57" s="134"/>
      <c r="AE57" s="134"/>
      <c r="AF57" s="134"/>
      <c r="AG57" s="134"/>
      <c r="AH57" s="134"/>
      <c r="AI57" s="134"/>
      <c r="AJ57" s="135"/>
      <c r="AK57" s="189"/>
      <c r="AL57" s="189"/>
      <c r="AM57" s="133" t="str">
        <f>IF([3]回答表!AD49="●",[3]回答表!B128,"")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IF([3]回答表!X50="●","●","")</f>
        <v/>
      </c>
      <c r="O68" s="131"/>
      <c r="P68" s="131"/>
      <c r="Q68" s="132"/>
      <c r="R68" s="119"/>
      <c r="S68" s="119"/>
      <c r="T68" s="119"/>
      <c r="U68" s="133" t="str">
        <f>IF([3]回答表!X50="●",[3]回答表!B138,IF([3]回答表!AA50="●",[3]回答表!B159,""))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IF([3]回答表!X50="●",[3]回答表!S144,IF([3]回答表!AA50="●",[3]回答表!S165,""))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IF([3]回答表!X50="●",[3]回答表!J144,IF([3]回答表!AA50="●",[3]回答表!J165,""))</f>
        <v/>
      </c>
      <c r="AN71" s="83"/>
      <c r="AO71" s="83"/>
      <c r="AP71" s="83"/>
      <c r="AQ71" s="83"/>
      <c r="AR71" s="83"/>
      <c r="AS71" s="83"/>
      <c r="AT71" s="153"/>
      <c r="AU71" s="82" t="str">
        <f>IF([3]回答表!X50="●",[3]回答表!J145,IF([3]回答表!AA50="●",[3]回答表!J166,""))</f>
        <v/>
      </c>
      <c r="AV71" s="83"/>
      <c r="AW71" s="83"/>
      <c r="AX71" s="83"/>
      <c r="AY71" s="83"/>
      <c r="AZ71" s="83"/>
      <c r="BA71" s="83"/>
      <c r="BB71" s="153"/>
      <c r="BC71" s="120"/>
      <c r="BD71" s="109"/>
      <c r="BE71" s="109"/>
      <c r="BF71" s="150" t="str">
        <f>IF([3]回答表!X50="●",[3]回答表!V144,IF([3]回答表!AA50="●",[3]回答表!V165,""))</f>
        <v/>
      </c>
      <c r="BG71" s="151"/>
      <c r="BH71" s="151"/>
      <c r="BI71" s="151"/>
      <c r="BJ71" s="150" t="str">
        <f>IF([3]回答表!X50="●",[3]回答表!V145,IF([3]回答表!AA50="●",[3]回答表!V166,""))</f>
        <v/>
      </c>
      <c r="BK71" s="151"/>
      <c r="BL71" s="151"/>
      <c r="BM71" s="151"/>
      <c r="BN71" s="150" t="str">
        <f>IF([3]回答表!X50="●",[3]回答表!V146,IF([3]回答表!AA50="●",[3]回答表!V167,""))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IF([3]回答表!X50="●",[3]回答表!E149,IF([3]回答表!AA50="●",[3]回答表!E170,""))</f>
        <v/>
      </c>
      <c r="V80" s="182"/>
      <c r="W80" s="182"/>
      <c r="X80" s="182"/>
      <c r="Y80" s="182"/>
      <c r="Z80" s="182"/>
      <c r="AA80" s="182"/>
      <c r="AB80" s="182"/>
      <c r="AC80" s="182"/>
      <c r="AD80" s="182"/>
      <c r="AE80" s="183" t="s">
        <v>33</v>
      </c>
      <c r="AF80" s="183"/>
      <c r="AG80" s="183"/>
      <c r="AH80" s="183"/>
      <c r="AI80" s="183"/>
      <c r="AJ80" s="184"/>
      <c r="AK80" s="136"/>
      <c r="AL80" s="136"/>
      <c r="AM80" s="133" t="str">
        <f>IF([3]回答表!X50="●",[3]回答表!B151,IF([3]回答表!AA50="●",[3]回答表!B172,""))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IF([3]回答表!AD50="●","●","")</f>
        <v/>
      </c>
      <c r="O87" s="131"/>
      <c r="P87" s="131"/>
      <c r="Q87" s="132"/>
      <c r="R87" s="119"/>
      <c r="S87" s="119"/>
      <c r="T87" s="119"/>
      <c r="U87" s="133" t="str">
        <f>IF([3]回答表!AD50="●",[3]回答表!B180,"")</f>
        <v/>
      </c>
      <c r="V87" s="134"/>
      <c r="W87" s="134"/>
      <c r="X87" s="134"/>
      <c r="Y87" s="134"/>
      <c r="Z87" s="134"/>
      <c r="AA87" s="134"/>
      <c r="AB87" s="134"/>
      <c r="AC87" s="134"/>
      <c r="AD87" s="134"/>
      <c r="AE87" s="134"/>
      <c r="AF87" s="134"/>
      <c r="AG87" s="134"/>
      <c r="AH87" s="134"/>
      <c r="AI87" s="134"/>
      <c r="AJ87" s="135"/>
      <c r="AK87" s="189"/>
      <c r="AL87" s="189"/>
      <c r="AM87" s="133" t="str">
        <f>IF([3]回答表!AD50="●",[3]回答表!B186,"")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IF([3]回答表!F18="水道事業",IF([3]回答表!X51="●","●",""),"")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IF([3]回答表!F18="水道事業",IF([3]回答表!X51="●",[3]回答表!B197,IF([3]回答表!AA51="●",[3]回答表!B275,"")),"")</f>
        <v/>
      </c>
      <c r="AN99" s="134"/>
      <c r="AO99" s="134"/>
      <c r="AP99" s="134"/>
      <c r="AQ99" s="134"/>
      <c r="AR99" s="134"/>
      <c r="AS99" s="134"/>
      <c r="AT99" s="134"/>
      <c r="AU99" s="134"/>
      <c r="AV99" s="134"/>
      <c r="AW99" s="134"/>
      <c r="AX99" s="134"/>
      <c r="AY99" s="134"/>
      <c r="AZ99" s="134"/>
      <c r="BA99" s="134"/>
      <c r="BB99" s="134"/>
      <c r="BC99" s="135"/>
      <c r="BD99" s="109"/>
      <c r="BE99" s="109"/>
      <c r="BF99" s="138" t="str">
        <f>IF([3]回答表!F18="水道事業",IF([3]回答表!X51="●",[3]回答表!B256,IF([3]回答表!AA51="●",[3]回答表!B335,"")),"")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IF([3]回答表!F18="水道事業",IF([3]回答表!X51="●",[3]回答表!J205,IF([3]回答表!AA51="●",[3]回答表!J283,"")),"")</f>
        <v/>
      </c>
      <c r="V101" s="83"/>
      <c r="W101" s="83"/>
      <c r="X101" s="83"/>
      <c r="Y101" s="83"/>
      <c r="Z101" s="83"/>
      <c r="AA101" s="83"/>
      <c r="AB101" s="153"/>
      <c r="AC101" s="82" t="str">
        <f>IF([3]回答表!F18="水道事業",IF([3]回答表!X51="●",[3]回答表!J210,IF([3]回答表!AA51="●",[3]回答表!J290,"")),"")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IF([3]回答表!F18="水道事業",IF([3]回答表!X51="●",[3]回答表!E256,IF([3]回答表!AA51="●",[3]回答表!E335,"")),"")</f>
        <v/>
      </c>
      <c r="BG102" s="151"/>
      <c r="BH102" s="151"/>
      <c r="BI102" s="151"/>
      <c r="BJ102" s="150" t="str">
        <f>IF([3]回答表!F18="水道事業",IF([3]回答表!X51="●",[3]回答表!E257,IF([3]回答表!AA51="●",[3]回答表!E336,"")),"")</f>
        <v/>
      </c>
      <c r="BK102" s="151"/>
      <c r="BL102" s="151"/>
      <c r="BM102" s="151"/>
      <c r="BN102" s="150" t="str">
        <f>IF([3]回答表!F18="水道事業",IF([3]回答表!X51="●",[3]回答表!E258,IF([3]回答表!AA51="●",[3]回答表!E337,"")),"")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IF([3]回答表!F18="水道事業",IF([3]回答表!AA51="●","●",""),"")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IF([3]回答表!F18="水道事業",IF([3]回答表!X51="●",[3]回答表!J213,IF([3]回答表!AA51="●",[3]回答表!J293,"")),"")</f>
        <v/>
      </c>
      <c r="V106" s="83"/>
      <c r="W106" s="83"/>
      <c r="X106" s="83"/>
      <c r="Y106" s="83"/>
      <c r="Z106" s="83"/>
      <c r="AA106" s="83"/>
      <c r="AB106" s="153"/>
      <c r="AC106" s="82" t="str">
        <f>IF([3]回答表!F18="水道事業",IF([3]回答表!X51="●",[3]回答表!J217,IF([3]回答表!AA51="●",[3]回答表!J297,"")),"")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IF([3]回答表!F18="水道事業",IF([3]回答表!X51="●",[3]回答表!E265,IF([3]回答表!AA51="●",[3]回答表!E344,"")),"")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IF([3]回答表!F18="水道事業",IF([3]回答表!X51="●",[3]回答表!B267,IF([3]回答表!AA51="●",[3]回答表!B346,"")),"")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IF([3]回答表!F18="水道事業",IF([3]回答表!AD51="●","●",""),"")</f>
        <v/>
      </c>
      <c r="O118" s="131"/>
      <c r="P118" s="131"/>
      <c r="Q118" s="132"/>
      <c r="R118" s="119"/>
      <c r="S118" s="119"/>
      <c r="T118" s="119"/>
      <c r="U118" s="133" t="str">
        <f>IF([3]回答表!F18="水道事業",IF([3]回答表!AD51="●",[3]回答表!B354,""),"")</f>
        <v/>
      </c>
      <c r="V118" s="134"/>
      <c r="W118" s="134"/>
      <c r="X118" s="134"/>
      <c r="Y118" s="134"/>
      <c r="Z118" s="134"/>
      <c r="AA118" s="134"/>
      <c r="AB118" s="134"/>
      <c r="AC118" s="134"/>
      <c r="AD118" s="134"/>
      <c r="AE118" s="134"/>
      <c r="AF118" s="134"/>
      <c r="AG118" s="134"/>
      <c r="AH118" s="134"/>
      <c r="AI118" s="134"/>
      <c r="AJ118" s="135"/>
      <c r="AK118" s="189"/>
      <c r="AL118" s="189"/>
      <c r="AM118" s="133" t="str">
        <f>IF([3]回答表!F18="水道事業",IF([3]回答表!AD51="●",[3]回答表!B360,""),"")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IF([3]回答表!F18="簡易水道事業",IF([3]回答表!X51="●",[3]回答表!B197,IF([3]回答表!AA51="●",[3]回答表!B275,"")),"")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IF([3]回答表!F18="簡易水道事業",IF([3]回答表!X51="●",[3]回答表!B256,IF([3]回答表!AA51="●",[3]回答表!B335,"")),"")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IF([3]回答表!F18="簡易水道事業",IF([3]回答表!X51="●","●",""),"")</f>
        <v/>
      </c>
      <c r="O132" s="131"/>
      <c r="P132" s="131"/>
      <c r="Q132" s="132"/>
      <c r="R132" s="119"/>
      <c r="S132" s="119"/>
      <c r="T132" s="119"/>
      <c r="U132" s="82" t="str">
        <f>IF([3]回答表!F18="簡易水道事業",IF([3]回答表!X51="●",[3]回答表!S224,IF([3]回答表!AA51="●",[3]回答表!S304,"")),"")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IF([3]回答表!F18="簡易水道事業",IF([3]回答表!X51="●",[3]回答表!E256,IF([3]回答表!AA51="●",[3]回答表!E335,"")),"")</f>
        <v/>
      </c>
      <c r="BG133" s="151"/>
      <c r="BH133" s="151"/>
      <c r="BI133" s="151"/>
      <c r="BJ133" s="150" t="str">
        <f>IF([3]回答表!F18="簡易水道事業",IF([3]回答表!X51="●",[3]回答表!E257,IF([3]回答表!AA51="●",[3]回答表!E336,"")),"")</f>
        <v/>
      </c>
      <c r="BK133" s="151"/>
      <c r="BL133" s="151"/>
      <c r="BM133" s="151"/>
      <c r="BN133" s="150" t="str">
        <f>IF([3]回答表!F18="簡易水道事業",IF([3]回答表!X51="●",[3]回答表!E258,IF([3]回答表!AA51="●",[3]回答表!E337,"")),"")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IF([3]回答表!F18="簡易水道事業",IF([3]回答表!X51="●",[3]回答表!S225,IF([3]回答表!AA51="●",[3]回答表!S305,"")),"")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IF([3]回答表!F18="簡易水道事業",IF([3]回答表!AA51="●","●",""),"")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IF([3]回答表!F18="簡易水道事業",IF([3]回答表!X51="●",[3]回答表!S226,IF([3]回答表!AA51="●",[3]回答表!S306,"")),"")</f>
        <v/>
      </c>
      <c r="V142" s="83"/>
      <c r="W142" s="83"/>
      <c r="X142" s="83"/>
      <c r="Y142" s="83"/>
      <c r="Z142" s="83"/>
      <c r="AA142" s="83"/>
      <c r="AB142" s="83"/>
      <c r="AC142" s="83"/>
      <c r="AD142" s="83"/>
      <c r="AE142" s="83"/>
      <c r="AF142" s="83"/>
      <c r="AG142" s="83"/>
      <c r="AH142" s="83"/>
      <c r="AI142" s="83"/>
      <c r="AJ142" s="153"/>
      <c r="AK142" s="68"/>
      <c r="AL142" s="68"/>
      <c r="AM142" s="231" t="str">
        <f>IF([3]回答表!F18="簡易水道事業",IF([3]回答表!X51="●",[3]回答表!Y228,IF([3]回答表!AA51="●",[3]回答表!Y308,"")),"")</f>
        <v/>
      </c>
      <c r="AN142" s="231"/>
      <c r="AO142" s="231"/>
      <c r="AP142" s="231"/>
      <c r="AQ142" s="231"/>
      <c r="AR142" s="231"/>
      <c r="AS142" s="231" t="str">
        <f>IF([3]回答表!F18="簡易水道事業",IF([3]回答表!X51="●",[3]回答表!Y229,IF([3]回答表!AA51="●",[3]回答表!Y309,"")),"")</f>
        <v/>
      </c>
      <c r="AT142" s="231"/>
      <c r="AU142" s="231"/>
      <c r="AV142" s="231"/>
      <c r="AW142" s="231"/>
      <c r="AX142" s="231"/>
      <c r="AY142" s="231" t="str">
        <f>IF([3]回答表!F18="簡易水道事業",IF([3]回答表!X51="●",[3]回答表!Y230,IF([3]回答表!AA51="●",[3]回答表!Y310,"")),"")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IF([3]回答表!F18="簡易水道事業",IF([3]回答表!X51="●",[3]回答表!E265,IF([3]回答表!AA51="●",[3]回答表!E344,"")),"")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IF([3]回答表!F18="簡易水道事業",IF([3]回答表!X51="●",[3]回答表!B267,IF([3]回答表!AA51="●",[3]回答表!B346,"")),"")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IF([3]回答表!F18="簡易水道事業",IF([3]回答表!AD51="●","●",""),"")</f>
        <v/>
      </c>
      <c r="O154" s="131"/>
      <c r="P154" s="131"/>
      <c r="Q154" s="132"/>
      <c r="R154" s="119"/>
      <c r="S154" s="119"/>
      <c r="T154" s="119"/>
      <c r="U154" s="133" t="str">
        <f>IF([3]回答表!F18="簡易水道事業",IF([3]回答表!AD51="●",[3]回答表!B354,""),"")</f>
        <v/>
      </c>
      <c r="V154" s="134"/>
      <c r="W154" s="134"/>
      <c r="X154" s="134"/>
      <c r="Y154" s="134"/>
      <c r="Z154" s="134"/>
      <c r="AA154" s="134"/>
      <c r="AB154" s="134"/>
      <c r="AC154" s="134"/>
      <c r="AD154" s="134"/>
      <c r="AE154" s="134"/>
      <c r="AF154" s="134"/>
      <c r="AG154" s="134"/>
      <c r="AH154" s="134"/>
      <c r="AI154" s="134"/>
      <c r="AJ154" s="135"/>
      <c r="AK154" s="189"/>
      <c r="AL154" s="189"/>
      <c r="AM154" s="133" t="str">
        <f>IF([3]回答表!F18="簡易水道事業",IF([3]回答表!AD51="●",[3]回答表!B360,""),"")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IF([3]回答表!F18="下水道事業",IF([3]回答表!X51="●","●",""),"")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IF([3]回答表!F18="下水道事業",IF([3]回答表!X51="●",[3]回答表!B197,IF([3]回答表!AA51="●",[3]回答表!B275,"")),"")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IF([3]回答表!F18="下水道事業",IF([3]回答表!X51="●",[3]回答表!B256,IF([3]回答表!AA51="●",[3]回答表!B335,"")),"")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IF([3]回答表!F18="下水道事業",IF([3]回答表!X51="●",[3]回答表!N234,IF([3]回答表!AA51="●",[3]回答表!N314,"")),"")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IF([3]回答表!F18="下水道事業",IF([3]回答表!X51="●",[3]回答表!E256,IF([3]回答表!AA51="●",[3]回答表!E335,"")),"")</f>
        <v/>
      </c>
      <c r="BG169" s="151"/>
      <c r="BH169" s="151"/>
      <c r="BI169" s="151"/>
      <c r="BJ169" s="150" t="str">
        <f>IF([3]回答表!F18="下水道事業",IF([3]回答表!X51="●",[3]回答表!E257,IF([3]回答表!AA51="●",[3]回答表!E336,"")),"")</f>
        <v/>
      </c>
      <c r="BK169" s="151"/>
      <c r="BL169" s="151"/>
      <c r="BM169" s="151"/>
      <c r="BN169" s="150" t="str">
        <f>IF([3]回答表!F18="下水道事業",IF([3]回答表!X51="●",[3]回答表!E258,IF([3]回答表!AA51="●",[3]回答表!E337,"")),"")</f>
        <v/>
      </c>
      <c r="BO169" s="151"/>
      <c r="BP169" s="151"/>
      <c r="BQ169" s="152"/>
      <c r="BR169" s="112"/>
      <c r="BX169" s="234" t="str">
        <f>IF([3]回答表!AQ21="下水道事業",IF([3]回答表!BI54="○",[3]回答表!AM200,IF([3]回答表!BL54="○",[3]回答表!AM278,"")),"")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IF([3]回答表!F18="下水道事業",IF([3]回答表!X51="●",[3]回答表!Y236,IF([3]回答表!AA51="●",[3]回答表!Y316,"")),"")</f>
        <v/>
      </c>
      <c r="V174" s="83"/>
      <c r="W174" s="83"/>
      <c r="X174" s="83"/>
      <c r="Y174" s="83"/>
      <c r="Z174" s="83"/>
      <c r="AA174" s="83"/>
      <c r="AB174" s="153"/>
      <c r="AC174" s="82" t="str">
        <f>IF([3]回答表!F18="下水道事業",IF([3]回答表!X51="●",[3]回答表!Y237,IF([3]回答表!AA51="●",[3]回答表!Y317,"")),"")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IF([3]回答表!F18="下水道事業",IF([3]回答表!X51="●",[3]回答表!Y239,IF([3]回答表!AA51="●",[3]回答表!Y319,"")),"")</f>
        <v/>
      </c>
      <c r="V180" s="83"/>
      <c r="W180" s="83"/>
      <c r="X180" s="83"/>
      <c r="Y180" s="83"/>
      <c r="Z180" s="83"/>
      <c r="AA180" s="83"/>
      <c r="AB180" s="153"/>
      <c r="AC180" s="82" t="str">
        <f>IF([3]回答表!F18="下水道事業",IF([3]回答表!X51="●",[3]回答表!Y240,IF([3]回答表!AA51="●",[3]回答表!Y320,"")),"")</f>
        <v/>
      </c>
      <c r="AD180" s="83"/>
      <c r="AE180" s="83"/>
      <c r="AF180" s="83"/>
      <c r="AG180" s="83"/>
      <c r="AH180" s="83"/>
      <c r="AI180" s="83"/>
      <c r="AJ180" s="153"/>
      <c r="AK180" s="82" t="str">
        <f>IF([3]回答表!F18="下水道事業",IF([3]回答表!X51="●",[3]回答表!Y241,IF([3]回答表!AA51="●",[3]回答表!Y321,"")),"")</f>
        <v/>
      </c>
      <c r="AL180" s="83"/>
      <c r="AM180" s="83"/>
      <c r="AN180" s="83"/>
      <c r="AO180" s="83"/>
      <c r="AP180" s="83"/>
      <c r="AQ180" s="83"/>
      <c r="AR180" s="153"/>
      <c r="AS180" s="82" t="str">
        <f>IF([3]回答表!F18="下水道事業",IF([3]回答表!X51="●",[3]回答表!Y242,IF([3]回答表!AA51="●",[3]回答表!Y322,"")),"")</f>
        <v/>
      </c>
      <c r="AT180" s="83"/>
      <c r="AU180" s="83"/>
      <c r="AV180" s="83"/>
      <c r="AW180" s="83"/>
      <c r="AX180" s="83"/>
      <c r="AY180" s="83"/>
      <c r="AZ180" s="153"/>
      <c r="BA180" s="82" t="str">
        <f>IF([3]回答表!F18="下水道事業",IF([3]回答表!X51="●",[3]回答表!Y243,IF([3]回答表!AA51="●",[3]回答表!Y323,"")),"")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IF([3]回答表!F18="下水道事業",IF([3]回答表!AA51="●","●",""),"")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IF([3]回答表!F18="下水道事業",IF([3]回答表!X51="●",[3]回答表!N248,IF([3]回答表!AA51="●",[3]回答表!N328,"")),"")</f>
        <v/>
      </c>
      <c r="V186" s="83"/>
      <c r="W186" s="83"/>
      <c r="X186" s="83"/>
      <c r="Y186" s="83"/>
      <c r="Z186" s="83"/>
      <c r="AA186" s="83"/>
      <c r="AB186" s="153"/>
      <c r="AC186" s="82" t="str">
        <f>IF([3]回答表!F18="下水道事業",IF([3]回答表!X51="●",[3]回答表!N249,IF([3]回答表!AA51="●",[3]回答表!N329,"")),"")</f>
        <v/>
      </c>
      <c r="AD186" s="83"/>
      <c r="AE186" s="83"/>
      <c r="AF186" s="83"/>
      <c r="AG186" s="83"/>
      <c r="AH186" s="83"/>
      <c r="AI186" s="83"/>
      <c r="AJ186" s="153"/>
      <c r="AK186" s="82" t="str">
        <f>IF([3]回答表!F18="下水道事業",IF([3]回答表!X51="●",[3]回答表!N250,IF([3]回答表!AA51="●",[3]回答表!N330,"")),"")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IF([3]回答表!F18="下水道事業",IF([3]回答表!X51="●",[3]回答表!E265,IF([3]回答表!AA51="●",[3]回答表!E344,"")),"")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IF([3]回答表!F18="下水道事業",IF([3]回答表!X51="●",[3]回答表!B267,IF([3]回答表!AA51="●",[3]回答表!B346,"")),"")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IF([3]回答表!F18="下水道事業",IF([3]回答表!AD51="●","●",""),"")</f>
        <v/>
      </c>
      <c r="O198" s="131"/>
      <c r="P198" s="131"/>
      <c r="Q198" s="132"/>
      <c r="R198" s="119"/>
      <c r="S198" s="119"/>
      <c r="T198" s="119"/>
      <c r="U198" s="133" t="str">
        <f>IF([3]回答表!F18="下水道事業",IF([3]回答表!AD51="●",[3]回答表!B354,""),"")</f>
        <v/>
      </c>
      <c r="V198" s="134"/>
      <c r="W198" s="134"/>
      <c r="X198" s="134"/>
      <c r="Y198" s="134"/>
      <c r="Z198" s="134"/>
      <c r="AA198" s="134"/>
      <c r="AB198" s="134"/>
      <c r="AC198" s="134"/>
      <c r="AD198" s="134"/>
      <c r="AE198" s="134"/>
      <c r="AF198" s="134"/>
      <c r="AG198" s="134"/>
      <c r="AH198" s="134"/>
      <c r="AI198" s="134"/>
      <c r="AJ198" s="135"/>
      <c r="AK198" s="189"/>
      <c r="AL198" s="189"/>
      <c r="AM198" s="133" t="str">
        <f>IF([3]回答表!F18="下水道事業",IF([3]回答表!AD51="●",[3]回答表!B360,""),"")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IF([3]回答表!BD18="●",IF([3]回答表!X51="●","●",""),"")</f>
        <v/>
      </c>
      <c r="O210" s="131"/>
      <c r="P210" s="131"/>
      <c r="Q210" s="132"/>
      <c r="R210" s="119"/>
      <c r="S210" s="119"/>
      <c r="T210" s="119"/>
      <c r="U210" s="133" t="str">
        <f>IF([3]回答表!BD18="●",IF([3]回答表!X51="●",[3]回答表!B197,IF([3]回答表!AA51="●",[3]回答表!B275,"")),"")</f>
        <v/>
      </c>
      <c r="V210" s="134"/>
      <c r="W210" s="134"/>
      <c r="X210" s="134"/>
      <c r="Y210" s="134"/>
      <c r="Z210" s="134"/>
      <c r="AA210" s="134"/>
      <c r="AB210" s="134"/>
      <c r="AC210" s="134"/>
      <c r="AD210" s="134"/>
      <c r="AE210" s="134"/>
      <c r="AF210" s="134"/>
      <c r="AG210" s="134"/>
      <c r="AH210" s="134"/>
      <c r="AI210" s="134"/>
      <c r="AJ210" s="135"/>
      <c r="AK210" s="136"/>
      <c r="AL210" s="136"/>
      <c r="AM210" s="138" t="str">
        <f>IF([3]回答表!BD18="●",IF([3]回答表!X51="●",[3]回答表!B256,IF([3]回答表!AA51="●",[3]回答表!B335,"")),"")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IF([3]回答表!BD18="●",IF([3]回答表!X51="●",[3]回答表!E256,IF([3]回答表!AA51="●",[3]回答表!E335,"")),"")</f>
        <v/>
      </c>
      <c r="AN213" s="151"/>
      <c r="AO213" s="151"/>
      <c r="AP213" s="151"/>
      <c r="AQ213" s="150" t="str">
        <f>IF([3]回答表!BD18="●",IF([3]回答表!X51="●",[3]回答表!E257,IF([3]回答表!AA51="●",[3]回答表!E336,"")),"")</f>
        <v/>
      </c>
      <c r="AR213" s="151"/>
      <c r="AS213" s="151"/>
      <c r="AT213" s="151"/>
      <c r="AU213" s="150" t="str">
        <f>IF([3]回答表!BD18="●",IF([3]回答表!X51="●",[3]回答表!E258,IF([3]回答表!AA51="●",[3]回答表!E337,"")),"")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IF([3]回答表!BD18="●",IF([3]回答表!AA51="●","●",""),"")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IF([3]回答表!BD18="●",IF([3]回答表!X51="●",[3]回答表!E265,IF([3]回答表!AA51="●",[3]回答表!E344,"")),"")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IF([3]回答表!BD18="●",IF([3]回答表!X51="●",[3]回答表!B267,IF([3]回答表!AA51="●",[3]回答表!B346,"")),"")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IF([3]回答表!BD18="●",IF([3]回答表!AD51="●","●",""),"")</f>
        <v/>
      </c>
      <c r="O229" s="131"/>
      <c r="P229" s="131"/>
      <c r="Q229" s="132"/>
      <c r="R229" s="119"/>
      <c r="S229" s="119"/>
      <c r="T229" s="119"/>
      <c r="U229" s="133" t="str">
        <f>IF([3]回答表!BD18="●",IF([3]回答表!AD51="●",[3]回答表!B354,""),"")</f>
        <v/>
      </c>
      <c r="V229" s="134"/>
      <c r="W229" s="134"/>
      <c r="X229" s="134"/>
      <c r="Y229" s="134"/>
      <c r="Z229" s="134"/>
      <c r="AA229" s="134"/>
      <c r="AB229" s="134"/>
      <c r="AC229" s="134"/>
      <c r="AD229" s="134"/>
      <c r="AE229" s="134"/>
      <c r="AF229" s="134"/>
      <c r="AG229" s="134"/>
      <c r="AH229" s="134"/>
      <c r="AI229" s="134"/>
      <c r="AJ229" s="135"/>
      <c r="AK229" s="249"/>
      <c r="AL229" s="249"/>
      <c r="AM229" s="133" t="str">
        <f>IF([3]回答表!BD18="●",IF([3]回答表!AD51="●",[3]回答表!B360,""),"")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IF([3]回答表!X52="●","●","")</f>
        <v/>
      </c>
      <c r="O241" s="131"/>
      <c r="P241" s="131"/>
      <c r="Q241" s="132"/>
      <c r="R241" s="119"/>
      <c r="S241" s="119"/>
      <c r="T241" s="119"/>
      <c r="U241" s="133" t="str">
        <f>IF([3]回答表!X52="●",[3]回答表!B371,IF([3]回答表!AA52="●",[3]回答表!B396,""))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IF([3]回答表!X52="●",[3]回答表!U377,IF([3]回答表!AA52="●",[3]回答表!U402,""))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IF([3]回答表!X52="●",[3]回答表!G377,IF([3]回答表!AA52="●",[3]回答表!G402,""))</f>
        <v/>
      </c>
      <c r="AN244" s="83"/>
      <c r="AO244" s="83"/>
      <c r="AP244" s="83"/>
      <c r="AQ244" s="83"/>
      <c r="AR244" s="83"/>
      <c r="AS244" s="83"/>
      <c r="AT244" s="153"/>
      <c r="AU244" s="82" t="str">
        <f>IF([3]回答表!X52="●",[3]回答表!G378,IF([3]回答表!AA52="●",[3]回答表!G403,""))</f>
        <v/>
      </c>
      <c r="AV244" s="83"/>
      <c r="AW244" s="83"/>
      <c r="AX244" s="83"/>
      <c r="AY244" s="83"/>
      <c r="AZ244" s="83"/>
      <c r="BA244" s="83"/>
      <c r="BB244" s="153"/>
      <c r="BC244" s="120"/>
      <c r="BD244" s="109"/>
      <c r="BE244" s="109"/>
      <c r="BF244" s="150" t="str">
        <f>IF([3]回答表!X52="●",[3]回答表!X377,IF([3]回答表!AA52="●",[3]回答表!X402,""))</f>
        <v/>
      </c>
      <c r="BG244" s="151"/>
      <c r="BH244" s="151"/>
      <c r="BI244" s="151"/>
      <c r="BJ244" s="150" t="str">
        <f>IF([3]回答表!X52="●",[3]回答表!X378,IF([3]回答表!AA52="●",[3]回答表!X403,""))</f>
        <v/>
      </c>
      <c r="BK244" s="151"/>
      <c r="BL244" s="151"/>
      <c r="BM244" s="152"/>
      <c r="BN244" s="150" t="str">
        <f>IF([3]回答表!X52="●",[3]回答表!X379,IF([3]回答表!AA52="●",[3]回答表!X404,""))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IF([3]回答表!X52="●",[3]回答表!E386,IF([3]回答表!AA52="●",[3]回答表!E407,""))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IF([3]回答表!X52="●",[3]回答表!B388,IF([3]回答表!AA52="●",[3]回答表!B409,""))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IF([3]回答表!AD52="●","●","")</f>
        <v/>
      </c>
      <c r="O260" s="131"/>
      <c r="P260" s="131"/>
      <c r="Q260" s="132"/>
      <c r="R260" s="119"/>
      <c r="S260" s="119"/>
      <c r="T260" s="119"/>
      <c r="U260" s="133" t="str">
        <f>IF([3]回答表!AD52="●",[3]回答表!B417,"")</f>
        <v/>
      </c>
      <c r="V260" s="134"/>
      <c r="W260" s="134"/>
      <c r="X260" s="134"/>
      <c r="Y260" s="134"/>
      <c r="Z260" s="134"/>
      <c r="AA260" s="134"/>
      <c r="AB260" s="134"/>
      <c r="AC260" s="134"/>
      <c r="AD260" s="134"/>
      <c r="AE260" s="134"/>
      <c r="AF260" s="134"/>
      <c r="AG260" s="134"/>
      <c r="AH260" s="134"/>
      <c r="AI260" s="134"/>
      <c r="AJ260" s="135"/>
      <c r="AK260" s="249"/>
      <c r="AL260" s="249"/>
      <c r="AM260" s="133" t="str">
        <f>IF([3]回答表!AD52="●",[3]回答表!B423,"")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IF([3]回答表!X53="●","●","")</f>
        <v/>
      </c>
      <c r="O272" s="131"/>
      <c r="P272" s="131"/>
      <c r="Q272" s="132"/>
      <c r="R272" s="119"/>
      <c r="S272" s="119"/>
      <c r="T272" s="119"/>
      <c r="U272" s="133" t="str">
        <f>IF([3]回答表!X53="●",[3]回答表!B434,IF([3]回答表!AA53="●",[3]回答表!B465,""))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IF([3]回答表!X53="●",[3]回答表!B440,"")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IF([3]回答表!X53="●",[3]回答表!B446,IF([3]回答表!AA53="●",[3]回答表!B471,""))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IF([3]回答表!X53="●",[3]回答表!E446,IF([3]回答表!AA53="●",[3]回答表!E471,""))</f>
        <v/>
      </c>
      <c r="BG275" s="151"/>
      <c r="BH275" s="151"/>
      <c r="BI275" s="151"/>
      <c r="BJ275" s="150" t="str">
        <f>IF([3]回答表!X53="●",[3]回答表!E447,IF([3]回答表!AA53="●",[3]回答表!E472,""))</f>
        <v/>
      </c>
      <c r="BK275" s="151"/>
      <c r="BL275" s="151"/>
      <c r="BM275" s="152"/>
      <c r="BN275" s="150" t="str">
        <f>IF([3]回答表!X53="●",[3]回答表!E448,IF([3]回答表!AA53="●",[3]回答表!E473,""))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IF([3]回答表!X53="●",[3]回答表!E455,IF([3]回答表!AA53="●",[3]回答表!E476,""))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IF([3]回答表!X53="●",[3]回答表!B457,IF([3]回答表!AA53="●",[3]回答表!B478,""))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IF([3]回答表!AD53="●","●","")</f>
        <v/>
      </c>
      <c r="O291" s="131"/>
      <c r="P291" s="131"/>
      <c r="Q291" s="132"/>
      <c r="R291" s="119"/>
      <c r="S291" s="119"/>
      <c r="T291" s="119"/>
      <c r="U291" s="133" t="str">
        <f>IF([3]回答表!AD53="●",[3]回答表!B486,"")</f>
        <v/>
      </c>
      <c r="V291" s="134"/>
      <c r="W291" s="134"/>
      <c r="X291" s="134"/>
      <c r="Y291" s="134"/>
      <c r="Z291" s="134"/>
      <c r="AA291" s="134"/>
      <c r="AB291" s="134"/>
      <c r="AC291" s="134"/>
      <c r="AD291" s="134"/>
      <c r="AE291" s="134"/>
      <c r="AF291" s="134"/>
      <c r="AG291" s="134"/>
      <c r="AH291" s="134"/>
      <c r="AI291" s="134"/>
      <c r="AJ291" s="135"/>
      <c r="AK291" s="249"/>
      <c r="AL291" s="249"/>
      <c r="AM291" s="133" t="str">
        <f>IF([3]回答表!AD53="●",[3]回答表!B492,"")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IF([3]回答表!X54="●","●","")</f>
        <v/>
      </c>
      <c r="O303" s="131"/>
      <c r="P303" s="131"/>
      <c r="Q303" s="132"/>
      <c r="R303" s="119"/>
      <c r="S303" s="119"/>
      <c r="T303" s="119"/>
      <c r="U303" s="133" t="str">
        <f>IF([3]回答表!X54="●",[3]回答表!B503,IF([3]回答表!AA54="●",[3]回答表!B526,""))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IF([3]回答表!X54="●",[3]回答表!BC510,IF([3]回答表!AA54="●",[3]回答表!BC533,""))</f>
        <v/>
      </c>
      <c r="AR303" s="271"/>
      <c r="AS303" s="271"/>
      <c r="AT303" s="271"/>
      <c r="AU303" s="272" t="s">
        <v>74</v>
      </c>
      <c r="AV303" s="273"/>
      <c r="AW303" s="273"/>
      <c r="AX303" s="274"/>
      <c r="AY303" s="271" t="str">
        <f>IF([3]回答表!X54="●",[3]回答表!BC515,IF([3]回答表!AA54="●",[3]回答表!BC538,""))</f>
        <v/>
      </c>
      <c r="AZ303" s="271"/>
      <c r="BA303" s="271"/>
      <c r="BB303" s="271"/>
      <c r="BC303" s="120"/>
      <c r="BD303" s="109"/>
      <c r="BE303" s="109"/>
      <c r="BF303" s="138" t="str">
        <f>IF([3]回答表!X54="●",[3]回答表!S509,IF([3]回答表!AA54="●",[3]回答表!S532,""))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IF([3]回答表!X54="●",[3]回答表!BC511,IF([3]回答表!AA54="●",[3]回答表!BC534,""))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IF([3]回答表!X54="●",[3]回答表!V509,IF([3]回答表!AA54="●",[3]回答表!V532,""))</f>
        <v/>
      </c>
      <c r="BG306" s="151"/>
      <c r="BH306" s="151"/>
      <c r="BI306" s="151"/>
      <c r="BJ306" s="150" t="str">
        <f>IF([3]回答表!X54="●",[3]回答表!V510,IF([3]回答表!AA54="●",[3]回答表!V533,""))</f>
        <v/>
      </c>
      <c r="BK306" s="151"/>
      <c r="BL306" s="151"/>
      <c r="BM306" s="152"/>
      <c r="BN306" s="150" t="str">
        <f>IF([3]回答表!X54="●",[3]回答表!V511,IF([3]回答表!AA54="●",[3]回答表!V534,""))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IF([3]回答表!X54="●",[3]回答表!BC512,IF([3]回答表!AA54="●",[3]回答表!BC535,""))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IF([3]回答表!X54="●",[3]回答表!BC516,IF([3]回答表!AA54="●",[3]回答表!BC539,""))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IF([3]回答表!X54="●",[3]回答表!BC513,IF([3]回答表!AA54="●",[3]回答表!BC536,""))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IF([3]回答表!X54="●",[3]回答表!BC514,IF([3]回答表!AA54="●",[3]回答表!BC537,""))</f>
        <v/>
      </c>
      <c r="AR311" s="271"/>
      <c r="AS311" s="271"/>
      <c r="AT311" s="271"/>
      <c r="AU311" s="222" t="s">
        <v>80</v>
      </c>
      <c r="AV311" s="223"/>
      <c r="AW311" s="223"/>
      <c r="AX311" s="224"/>
      <c r="AY311" s="281" t="str">
        <f>IF([3]回答表!X54="●",[3]回答表!BC517,IF([3]回答表!AA54="●",[3]回答表!BC540,""))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IF([3]回答表!X54="●",[3]回答表!E516,IF([3]回答表!AA54="●",[3]回答表!E538,""))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IF([3]回答表!X54="●",[3]回答表!B518,IF([3]回答表!AA54="●",[3]回答表!B540,""))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IF([3]回答表!AD54="●","●","")</f>
        <v/>
      </c>
      <c r="O322" s="131"/>
      <c r="P322" s="131"/>
      <c r="Q322" s="132"/>
      <c r="R322" s="119"/>
      <c r="S322" s="119"/>
      <c r="T322" s="119"/>
      <c r="U322" s="133" t="str">
        <f>IF([3]回答表!AD54="●",[3]回答表!B548,"")</f>
        <v/>
      </c>
      <c r="V322" s="134"/>
      <c r="W322" s="134"/>
      <c r="X322" s="134"/>
      <c r="Y322" s="134"/>
      <c r="Z322" s="134"/>
      <c r="AA322" s="134"/>
      <c r="AB322" s="134"/>
      <c r="AC322" s="134"/>
      <c r="AD322" s="134"/>
      <c r="AE322" s="134"/>
      <c r="AF322" s="134"/>
      <c r="AG322" s="134"/>
      <c r="AH322" s="134"/>
      <c r="AI322" s="134"/>
      <c r="AJ322" s="135"/>
      <c r="AK322" s="189"/>
      <c r="AL322" s="189"/>
      <c r="AM322" s="133" t="str">
        <f>IF([3]回答表!AD54="●",[3]回答表!B554,"")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IF([3]回答表!X55="●","●","")</f>
        <v/>
      </c>
      <c r="O333" s="131"/>
      <c r="P333" s="131"/>
      <c r="Q333" s="132"/>
      <c r="R333" s="119"/>
      <c r="S333" s="119"/>
      <c r="T333" s="119"/>
      <c r="U333" s="133" t="str">
        <f>IF([3]回答表!X55="●",[3]回答表!B565,IF([3]回答表!AA55="●",[3]回答表!B590,""))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IF([3]回答表!X55="●",[3]回答表!B575,IF([3]回答表!AA55="●",[3]回答表!B600,""))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IF([3]回答表!X55="●",[3]回答表!G571,IF([3]回答表!AA55="●",[3]回答表!G596,""))</f>
        <v/>
      </c>
      <c r="AN335" s="83"/>
      <c r="AO335" s="83"/>
      <c r="AP335" s="83"/>
      <c r="AQ335" s="83"/>
      <c r="AR335" s="83"/>
      <c r="AS335" s="83"/>
      <c r="AT335" s="153"/>
      <c r="AU335" s="82" t="str">
        <f>IF([3]回答表!X55="●",[3]回答表!G572,IF([3]回答表!AA55="●",[3]回答表!G597,""))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IF([3]回答表!X55="●",[3]回答表!E575,IF([3]回答表!AA55="●",[3]回答表!E600,""))</f>
        <v/>
      </c>
      <c r="BG336" s="151"/>
      <c r="BH336" s="151"/>
      <c r="BI336" s="151"/>
      <c r="BJ336" s="150" t="str">
        <f>IF([3]回答表!X55="●",[3]回答表!E576,IF([3]回答表!AA55="●",[3]回答表!E601,""))</f>
        <v/>
      </c>
      <c r="BK336" s="151"/>
      <c r="BL336" s="151"/>
      <c r="BM336" s="152"/>
      <c r="BN336" s="150" t="str">
        <f>IF([3]回答表!X55="●",[3]回答表!E577,IF([3]回答表!AA55="●",[3]回答表!E602,""))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IF([3]回答表!X55="●",[3]回答表!E580,IF([3]回答表!AA55="●",[3]回答表!E605,""))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IF([3]回答表!X55="●",[3]回答表!B582,IF([3]回答表!AA55="●",[3]回答表!B607,""))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IF([3]回答表!AD55="●","●","")</f>
        <v/>
      </c>
      <c r="O352" s="131"/>
      <c r="P352" s="131"/>
      <c r="Q352" s="132"/>
      <c r="R352" s="119"/>
      <c r="S352" s="119"/>
      <c r="T352" s="119"/>
      <c r="U352" s="133" t="str">
        <f>IF([3]回答表!AD55="●",[3]回答表!B615,"")</f>
        <v/>
      </c>
      <c r="V352" s="134"/>
      <c r="W352" s="134"/>
      <c r="X352" s="134"/>
      <c r="Y352" s="134"/>
      <c r="Z352" s="134"/>
      <c r="AA352" s="134"/>
      <c r="AB352" s="134"/>
      <c r="AC352" s="134"/>
      <c r="AD352" s="134"/>
      <c r="AE352" s="134"/>
      <c r="AF352" s="134"/>
      <c r="AG352" s="134"/>
      <c r="AH352" s="134"/>
      <c r="AI352" s="134"/>
      <c r="AJ352" s="135"/>
      <c r="AK352" s="136"/>
      <c r="AL352" s="136"/>
      <c r="AM352" s="133" t="str">
        <f>IF([3]回答表!AD55="●",[3]回答表!B621,"")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IF([3]回答表!R56="●",[3]回答表!B634,"")</f>
        <v>現行の経営体制・手法では一般会計からの繰り入れにより、事業運営は問題が無い状況であり、大きな改革の予定はない。
今後の方向性
①専門的な知識や技術を持った人材の育成とその知識や技術を継承していくために研修等を実施し、安全性の強化をする。
②逓減型従量制料金制度による安価な料金体制を継続することで、企業誘致に貢献し、雇用確保、税収の増加を図る。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454C6-26BB-4888-ACB0-8EE179E3BEA7}">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IF(COUNTIF([4]回答表!K16,"*")&gt;0,[4]回答表!K16,"")</f>
        <v>大館市</v>
      </c>
      <c r="D11" s="8"/>
      <c r="E11" s="8"/>
      <c r="F11" s="8"/>
      <c r="G11" s="8"/>
      <c r="H11" s="8"/>
      <c r="I11" s="8"/>
      <c r="J11" s="8"/>
      <c r="K11" s="8"/>
      <c r="L11" s="8"/>
      <c r="M11" s="8"/>
      <c r="N11" s="8"/>
      <c r="O11" s="8"/>
      <c r="P11" s="8"/>
      <c r="Q11" s="8"/>
      <c r="R11" s="8"/>
      <c r="S11" s="8"/>
      <c r="T11" s="8"/>
      <c r="U11" s="22" t="str">
        <f>IF(COUNTIF([4]回答表!F18,"*")&gt;0,[4]回答表!F18,"")</f>
        <v>市場事業</v>
      </c>
      <c r="V11" s="23"/>
      <c r="W11" s="23"/>
      <c r="X11" s="23"/>
      <c r="Y11" s="23"/>
      <c r="Z11" s="23"/>
      <c r="AA11" s="23"/>
      <c r="AB11" s="23"/>
      <c r="AC11" s="23"/>
      <c r="AD11" s="23"/>
      <c r="AE11" s="23"/>
      <c r="AF11" s="10"/>
      <c r="AG11" s="10"/>
      <c r="AH11" s="10"/>
      <c r="AI11" s="10"/>
      <c r="AJ11" s="10"/>
      <c r="AK11" s="10"/>
      <c r="AL11" s="10"/>
      <c r="AM11" s="10"/>
      <c r="AN11" s="11"/>
      <c r="AO11" s="24" t="str">
        <f>IF(COUNTIF([4]回答表!W18,"*")&gt;0,[4]回答表!W18,"")</f>
        <v>―</v>
      </c>
      <c r="AP11" s="10"/>
      <c r="AQ11" s="10"/>
      <c r="AR11" s="10"/>
      <c r="AS11" s="10"/>
      <c r="AT11" s="10"/>
      <c r="AU11" s="10"/>
      <c r="AV11" s="10"/>
      <c r="AW11" s="10"/>
      <c r="AX11" s="10"/>
      <c r="AY11" s="10"/>
      <c r="AZ11" s="10"/>
      <c r="BA11" s="10"/>
      <c r="BB11" s="10"/>
      <c r="BC11" s="10"/>
      <c r="BD11" s="10"/>
      <c r="BE11" s="10"/>
      <c r="BF11" s="11"/>
      <c r="BG11" s="21" t="str">
        <f>IF(COUNTIF([4]回答表!F20,"*")&gt;0,[4]回答表!F20,"")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IF([4]回答表!R49="●","●","")</f>
        <v/>
      </c>
      <c r="E24" s="80"/>
      <c r="F24" s="80"/>
      <c r="G24" s="80"/>
      <c r="H24" s="80"/>
      <c r="I24" s="80"/>
      <c r="J24" s="81"/>
      <c r="K24" s="79" t="str">
        <f>IF([4]回答表!R50="●","●","")</f>
        <v/>
      </c>
      <c r="L24" s="80"/>
      <c r="M24" s="80"/>
      <c r="N24" s="80"/>
      <c r="O24" s="80"/>
      <c r="P24" s="80"/>
      <c r="Q24" s="81"/>
      <c r="R24" s="79" t="str">
        <f>IF([4]回答表!R51="●","●","")</f>
        <v/>
      </c>
      <c r="S24" s="80"/>
      <c r="T24" s="80"/>
      <c r="U24" s="80"/>
      <c r="V24" s="80"/>
      <c r="W24" s="80"/>
      <c r="X24" s="81"/>
      <c r="Y24" s="79" t="str">
        <f>IF([4]回答表!R52="●","●","")</f>
        <v/>
      </c>
      <c r="Z24" s="80"/>
      <c r="AA24" s="80"/>
      <c r="AB24" s="80"/>
      <c r="AC24" s="80"/>
      <c r="AD24" s="80"/>
      <c r="AE24" s="81"/>
      <c r="AF24" s="79" t="str">
        <f>IF([4]回答表!R53="●","●","")</f>
        <v/>
      </c>
      <c r="AG24" s="80"/>
      <c r="AH24" s="80"/>
      <c r="AI24" s="80"/>
      <c r="AJ24" s="80"/>
      <c r="AK24" s="80"/>
      <c r="AL24" s="81"/>
      <c r="AM24" s="79" t="str">
        <f>IF([4]回答表!R54="●","●","")</f>
        <v/>
      </c>
      <c r="AN24" s="80"/>
      <c r="AO24" s="80"/>
      <c r="AP24" s="80"/>
      <c r="AQ24" s="80"/>
      <c r="AR24" s="80"/>
      <c r="AS24" s="81"/>
      <c r="AT24" s="79" t="str">
        <f>IF([4]回答表!R55="●","●","")</f>
        <v/>
      </c>
      <c r="AU24" s="80"/>
      <c r="AV24" s="80"/>
      <c r="AW24" s="80"/>
      <c r="AX24" s="80"/>
      <c r="AY24" s="80"/>
      <c r="AZ24" s="81"/>
      <c r="BA24" s="68"/>
      <c r="BB24" s="82" t="str">
        <f>IF([4]回答表!R56="●","●","")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IF([4]回答表!X49="●","●","")</f>
        <v/>
      </c>
      <c r="O36" s="131"/>
      <c r="P36" s="131"/>
      <c r="Q36" s="132"/>
      <c r="R36" s="119"/>
      <c r="S36" s="119"/>
      <c r="T36" s="119"/>
      <c r="U36" s="133" t="str">
        <f>IF([4]回答表!X49="●",[4]回答表!B67,IF([4]回答表!AA49="●",[4]回答表!B95,""))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IF([4]回答表!X49="●",[4]回答表!S73,IF([4]回答表!AA49="●",[4]回答表!S101,""))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IF([4]回答表!X49="●",[4]回答表!G73,IF([4]回答表!AA49="●",[4]回答表!G101,""))</f>
        <v/>
      </c>
      <c r="AN38" s="83"/>
      <c r="AO38" s="83"/>
      <c r="AP38" s="83"/>
      <c r="AQ38" s="83"/>
      <c r="AR38" s="83"/>
      <c r="AS38" s="83"/>
      <c r="AT38" s="153"/>
      <c r="AU38" s="82" t="str">
        <f>IF([4]回答表!X49="●",[4]回答表!G74,IF([4]回答表!AA49="●",[4]回答表!G102,""))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IF([4]回答表!X49="●",[4]回答表!V73,IF([4]回答表!AA49="●",[4]回答表!V101,""))</f>
        <v/>
      </c>
      <c r="BG39" s="16"/>
      <c r="BH39" s="16"/>
      <c r="BI39" s="17"/>
      <c r="BJ39" s="150" t="str">
        <f>IF([4]回答表!X49="●",[4]回答表!V74,IF([4]回答表!AA49="●",[4]回答表!V102,""))</f>
        <v/>
      </c>
      <c r="BK39" s="16"/>
      <c r="BL39" s="16"/>
      <c r="BM39" s="17"/>
      <c r="BN39" s="150" t="str">
        <f>IF([4]回答表!X49="●",[4]回答表!V75,IF([4]回答表!AA49="●",[4]回答表!V103,""))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IF([4]回答表!X49="●",[4]回答表!O79,IF([4]回答表!AA49="●",[4]回答表!O107,""))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IF([4]回答表!X49="●",[4]回答表!O80,IF([4]回答表!AA49="●",[4]回答表!O108,""))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IF([4]回答表!X49="●",[4]回答表!O81,IF([4]回答表!AA49="●",[4]回答表!O109,""))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IF([4]回答表!X49="●",[4]回答表!O82,IF([4]回答表!AA49="●",[4]回答表!O110,""))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IF([4]回答表!X49="●",[4]回答表!AG79,IF([4]回答表!AA49="●",[4]回答表!AG107,""))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IF([4]回答表!X49="●",[4]回答表!AG80,IF([4]回答表!AA49="●",[4]回答表!AG108,""))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IF([4]回答表!X49="●",[4]回答表!E85,IF([4]回答表!AA49="●",[4]回答表!E113,""))</f>
        <v/>
      </c>
      <c r="V50" s="182"/>
      <c r="W50" s="182"/>
      <c r="X50" s="182"/>
      <c r="Y50" s="182"/>
      <c r="Z50" s="182"/>
      <c r="AA50" s="182"/>
      <c r="AB50" s="182"/>
      <c r="AC50" s="182"/>
      <c r="AD50" s="182"/>
      <c r="AE50" s="183" t="s">
        <v>33</v>
      </c>
      <c r="AF50" s="183"/>
      <c r="AG50" s="183"/>
      <c r="AH50" s="183"/>
      <c r="AI50" s="183"/>
      <c r="AJ50" s="184"/>
      <c r="AK50" s="136"/>
      <c r="AL50" s="136"/>
      <c r="AM50" s="133" t="str">
        <f>IF([4]回答表!X49="●",[4]回答表!B87,IF([4]回答表!AA49="●",[4]回答表!B115,""))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IF([4]回答表!AD49="●","●","")</f>
        <v/>
      </c>
      <c r="O57" s="131"/>
      <c r="P57" s="131"/>
      <c r="Q57" s="132"/>
      <c r="R57" s="119"/>
      <c r="S57" s="119"/>
      <c r="T57" s="119"/>
      <c r="U57" s="133" t="str">
        <f>IF([4]回答表!AD49="●",[4]回答表!B123,"")</f>
        <v/>
      </c>
      <c r="V57" s="134"/>
      <c r="W57" s="134"/>
      <c r="X57" s="134"/>
      <c r="Y57" s="134"/>
      <c r="Z57" s="134"/>
      <c r="AA57" s="134"/>
      <c r="AB57" s="134"/>
      <c r="AC57" s="134"/>
      <c r="AD57" s="134"/>
      <c r="AE57" s="134"/>
      <c r="AF57" s="134"/>
      <c r="AG57" s="134"/>
      <c r="AH57" s="134"/>
      <c r="AI57" s="134"/>
      <c r="AJ57" s="135"/>
      <c r="AK57" s="189"/>
      <c r="AL57" s="189"/>
      <c r="AM57" s="133" t="str">
        <f>IF([4]回答表!AD49="●",[4]回答表!B128,"")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IF([4]回答表!X50="●","●","")</f>
        <v/>
      </c>
      <c r="O68" s="131"/>
      <c r="P68" s="131"/>
      <c r="Q68" s="132"/>
      <c r="R68" s="119"/>
      <c r="S68" s="119"/>
      <c r="T68" s="119"/>
      <c r="U68" s="133" t="str">
        <f>IF([4]回答表!X50="●",[4]回答表!B138,IF([4]回答表!AA50="●",[4]回答表!B159,""))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IF([4]回答表!X50="●",[4]回答表!S144,IF([4]回答表!AA50="●",[4]回答表!S165,""))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IF([4]回答表!X50="●",[4]回答表!J144,IF([4]回答表!AA50="●",[4]回答表!J165,""))</f>
        <v/>
      </c>
      <c r="AN71" s="83"/>
      <c r="AO71" s="83"/>
      <c r="AP71" s="83"/>
      <c r="AQ71" s="83"/>
      <c r="AR71" s="83"/>
      <c r="AS71" s="83"/>
      <c r="AT71" s="153"/>
      <c r="AU71" s="82" t="str">
        <f>IF([4]回答表!X50="●",[4]回答表!J145,IF([4]回答表!AA50="●",[4]回答表!J166,""))</f>
        <v/>
      </c>
      <c r="AV71" s="83"/>
      <c r="AW71" s="83"/>
      <c r="AX71" s="83"/>
      <c r="AY71" s="83"/>
      <c r="AZ71" s="83"/>
      <c r="BA71" s="83"/>
      <c r="BB71" s="153"/>
      <c r="BC71" s="120"/>
      <c r="BD71" s="109"/>
      <c r="BE71" s="109"/>
      <c r="BF71" s="150" t="str">
        <f>IF([4]回答表!X50="●",[4]回答表!V144,IF([4]回答表!AA50="●",[4]回答表!V165,""))</f>
        <v/>
      </c>
      <c r="BG71" s="151"/>
      <c r="BH71" s="151"/>
      <c r="BI71" s="151"/>
      <c r="BJ71" s="150" t="str">
        <f>IF([4]回答表!X50="●",[4]回答表!V145,IF([4]回答表!AA50="●",[4]回答表!V166,""))</f>
        <v/>
      </c>
      <c r="BK71" s="151"/>
      <c r="BL71" s="151"/>
      <c r="BM71" s="151"/>
      <c r="BN71" s="150" t="str">
        <f>IF([4]回答表!X50="●",[4]回答表!V146,IF([4]回答表!AA50="●",[4]回答表!V167,""))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IF([4]回答表!X50="●",[4]回答表!E149,IF([4]回答表!AA50="●",[4]回答表!E170,""))</f>
        <v/>
      </c>
      <c r="V80" s="182"/>
      <c r="W80" s="182"/>
      <c r="X80" s="182"/>
      <c r="Y80" s="182"/>
      <c r="Z80" s="182"/>
      <c r="AA80" s="182"/>
      <c r="AB80" s="182"/>
      <c r="AC80" s="182"/>
      <c r="AD80" s="182"/>
      <c r="AE80" s="183" t="s">
        <v>33</v>
      </c>
      <c r="AF80" s="183"/>
      <c r="AG80" s="183"/>
      <c r="AH80" s="183"/>
      <c r="AI80" s="183"/>
      <c r="AJ80" s="184"/>
      <c r="AK80" s="136"/>
      <c r="AL80" s="136"/>
      <c r="AM80" s="133" t="str">
        <f>IF([4]回答表!X50="●",[4]回答表!B151,IF([4]回答表!AA50="●",[4]回答表!B172,""))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IF([4]回答表!AD50="●","●","")</f>
        <v/>
      </c>
      <c r="O87" s="131"/>
      <c r="P87" s="131"/>
      <c r="Q87" s="132"/>
      <c r="R87" s="119"/>
      <c r="S87" s="119"/>
      <c r="T87" s="119"/>
      <c r="U87" s="133" t="str">
        <f>IF([4]回答表!AD50="●",[4]回答表!B180,"")</f>
        <v/>
      </c>
      <c r="V87" s="134"/>
      <c r="W87" s="134"/>
      <c r="X87" s="134"/>
      <c r="Y87" s="134"/>
      <c r="Z87" s="134"/>
      <c r="AA87" s="134"/>
      <c r="AB87" s="134"/>
      <c r="AC87" s="134"/>
      <c r="AD87" s="134"/>
      <c r="AE87" s="134"/>
      <c r="AF87" s="134"/>
      <c r="AG87" s="134"/>
      <c r="AH87" s="134"/>
      <c r="AI87" s="134"/>
      <c r="AJ87" s="135"/>
      <c r="AK87" s="189"/>
      <c r="AL87" s="189"/>
      <c r="AM87" s="133" t="str">
        <f>IF([4]回答表!AD50="●",[4]回答表!B186,"")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IF([4]回答表!F18="水道事業",IF([4]回答表!X51="●","●",""),"")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IF([4]回答表!F18="水道事業",IF([4]回答表!X51="●",[4]回答表!B197,IF([4]回答表!AA51="●",[4]回答表!B275,"")),"")</f>
        <v/>
      </c>
      <c r="AN99" s="134"/>
      <c r="AO99" s="134"/>
      <c r="AP99" s="134"/>
      <c r="AQ99" s="134"/>
      <c r="AR99" s="134"/>
      <c r="AS99" s="134"/>
      <c r="AT99" s="134"/>
      <c r="AU99" s="134"/>
      <c r="AV99" s="134"/>
      <c r="AW99" s="134"/>
      <c r="AX99" s="134"/>
      <c r="AY99" s="134"/>
      <c r="AZ99" s="134"/>
      <c r="BA99" s="134"/>
      <c r="BB99" s="134"/>
      <c r="BC99" s="135"/>
      <c r="BD99" s="109"/>
      <c r="BE99" s="109"/>
      <c r="BF99" s="138" t="str">
        <f>IF([4]回答表!F18="水道事業",IF([4]回答表!X51="●",[4]回答表!B256,IF([4]回答表!AA51="●",[4]回答表!B335,"")),"")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IF([4]回答表!F18="水道事業",IF([4]回答表!X51="●",[4]回答表!J205,IF([4]回答表!AA51="●",[4]回答表!J283,"")),"")</f>
        <v/>
      </c>
      <c r="V101" s="83"/>
      <c r="W101" s="83"/>
      <c r="X101" s="83"/>
      <c r="Y101" s="83"/>
      <c r="Z101" s="83"/>
      <c r="AA101" s="83"/>
      <c r="AB101" s="153"/>
      <c r="AC101" s="82" t="str">
        <f>IF([4]回答表!F18="水道事業",IF([4]回答表!X51="●",[4]回答表!J210,IF([4]回答表!AA51="●",[4]回答表!J290,"")),"")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IF([4]回答表!F18="水道事業",IF([4]回答表!X51="●",[4]回答表!E256,IF([4]回答表!AA51="●",[4]回答表!E335,"")),"")</f>
        <v/>
      </c>
      <c r="BG102" s="151"/>
      <c r="BH102" s="151"/>
      <c r="BI102" s="151"/>
      <c r="BJ102" s="150" t="str">
        <f>IF([4]回答表!F18="水道事業",IF([4]回答表!X51="●",[4]回答表!E257,IF([4]回答表!AA51="●",[4]回答表!E336,"")),"")</f>
        <v/>
      </c>
      <c r="BK102" s="151"/>
      <c r="BL102" s="151"/>
      <c r="BM102" s="151"/>
      <c r="BN102" s="150" t="str">
        <f>IF([4]回答表!F18="水道事業",IF([4]回答表!X51="●",[4]回答表!E258,IF([4]回答表!AA51="●",[4]回答表!E337,"")),"")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IF([4]回答表!F18="水道事業",IF([4]回答表!AA51="●","●",""),"")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IF([4]回答表!F18="水道事業",IF([4]回答表!X51="●",[4]回答表!J213,IF([4]回答表!AA51="●",[4]回答表!J293,"")),"")</f>
        <v/>
      </c>
      <c r="V106" s="83"/>
      <c r="W106" s="83"/>
      <c r="X106" s="83"/>
      <c r="Y106" s="83"/>
      <c r="Z106" s="83"/>
      <c r="AA106" s="83"/>
      <c r="AB106" s="153"/>
      <c r="AC106" s="82" t="str">
        <f>IF([4]回答表!F18="水道事業",IF([4]回答表!X51="●",[4]回答表!J217,IF([4]回答表!AA51="●",[4]回答表!J297,"")),"")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IF([4]回答表!F18="水道事業",IF([4]回答表!X51="●",[4]回答表!E265,IF([4]回答表!AA51="●",[4]回答表!E344,"")),"")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IF([4]回答表!F18="水道事業",IF([4]回答表!X51="●",[4]回答表!B267,IF([4]回答表!AA51="●",[4]回答表!B346,"")),"")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IF([4]回答表!F18="水道事業",IF([4]回答表!AD51="●","●",""),"")</f>
        <v/>
      </c>
      <c r="O118" s="131"/>
      <c r="P118" s="131"/>
      <c r="Q118" s="132"/>
      <c r="R118" s="119"/>
      <c r="S118" s="119"/>
      <c r="T118" s="119"/>
      <c r="U118" s="133" t="str">
        <f>IF([4]回答表!F18="水道事業",IF([4]回答表!AD51="●",[4]回答表!B354,""),"")</f>
        <v/>
      </c>
      <c r="V118" s="134"/>
      <c r="W118" s="134"/>
      <c r="X118" s="134"/>
      <c r="Y118" s="134"/>
      <c r="Z118" s="134"/>
      <c r="AA118" s="134"/>
      <c r="AB118" s="134"/>
      <c r="AC118" s="134"/>
      <c r="AD118" s="134"/>
      <c r="AE118" s="134"/>
      <c r="AF118" s="134"/>
      <c r="AG118" s="134"/>
      <c r="AH118" s="134"/>
      <c r="AI118" s="134"/>
      <c r="AJ118" s="135"/>
      <c r="AK118" s="189"/>
      <c r="AL118" s="189"/>
      <c r="AM118" s="133" t="str">
        <f>IF([4]回答表!F18="水道事業",IF([4]回答表!AD51="●",[4]回答表!B360,""),"")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IF([4]回答表!F18="簡易水道事業",IF([4]回答表!X51="●",[4]回答表!B197,IF([4]回答表!AA51="●",[4]回答表!B275,"")),"")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IF([4]回答表!F18="簡易水道事業",IF([4]回答表!X51="●",[4]回答表!B256,IF([4]回答表!AA51="●",[4]回答表!B335,"")),"")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IF([4]回答表!F18="簡易水道事業",IF([4]回答表!X51="●","●",""),"")</f>
        <v/>
      </c>
      <c r="O132" s="131"/>
      <c r="P132" s="131"/>
      <c r="Q132" s="132"/>
      <c r="R132" s="119"/>
      <c r="S132" s="119"/>
      <c r="T132" s="119"/>
      <c r="U132" s="82" t="str">
        <f>IF([4]回答表!F18="簡易水道事業",IF([4]回答表!X51="●",[4]回答表!S224,IF([4]回答表!AA51="●",[4]回答表!S304,"")),"")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IF([4]回答表!F18="簡易水道事業",IF([4]回答表!X51="●",[4]回答表!E256,IF([4]回答表!AA51="●",[4]回答表!E335,"")),"")</f>
        <v/>
      </c>
      <c r="BG133" s="151"/>
      <c r="BH133" s="151"/>
      <c r="BI133" s="151"/>
      <c r="BJ133" s="150" t="str">
        <f>IF([4]回答表!F18="簡易水道事業",IF([4]回答表!X51="●",[4]回答表!E257,IF([4]回答表!AA51="●",[4]回答表!E336,"")),"")</f>
        <v/>
      </c>
      <c r="BK133" s="151"/>
      <c r="BL133" s="151"/>
      <c r="BM133" s="151"/>
      <c r="BN133" s="150" t="str">
        <f>IF([4]回答表!F18="簡易水道事業",IF([4]回答表!X51="●",[4]回答表!E258,IF([4]回答表!AA51="●",[4]回答表!E337,"")),"")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IF([4]回答表!F18="簡易水道事業",IF([4]回答表!X51="●",[4]回答表!S225,IF([4]回答表!AA51="●",[4]回答表!S305,"")),"")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IF([4]回答表!F18="簡易水道事業",IF([4]回答表!AA51="●","●",""),"")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IF([4]回答表!F18="簡易水道事業",IF([4]回答表!X51="●",[4]回答表!S226,IF([4]回答表!AA51="●",[4]回答表!S306,"")),"")</f>
        <v/>
      </c>
      <c r="V142" s="83"/>
      <c r="W142" s="83"/>
      <c r="X142" s="83"/>
      <c r="Y142" s="83"/>
      <c r="Z142" s="83"/>
      <c r="AA142" s="83"/>
      <c r="AB142" s="83"/>
      <c r="AC142" s="83"/>
      <c r="AD142" s="83"/>
      <c r="AE142" s="83"/>
      <c r="AF142" s="83"/>
      <c r="AG142" s="83"/>
      <c r="AH142" s="83"/>
      <c r="AI142" s="83"/>
      <c r="AJ142" s="153"/>
      <c r="AK142" s="68"/>
      <c r="AL142" s="68"/>
      <c r="AM142" s="231" t="str">
        <f>IF([4]回答表!F18="簡易水道事業",IF([4]回答表!X51="●",[4]回答表!Y228,IF([4]回答表!AA51="●",[4]回答表!Y308,"")),"")</f>
        <v/>
      </c>
      <c r="AN142" s="231"/>
      <c r="AO142" s="231"/>
      <c r="AP142" s="231"/>
      <c r="AQ142" s="231"/>
      <c r="AR142" s="231"/>
      <c r="AS142" s="231" t="str">
        <f>IF([4]回答表!F18="簡易水道事業",IF([4]回答表!X51="●",[4]回答表!Y229,IF([4]回答表!AA51="●",[4]回答表!Y309,"")),"")</f>
        <v/>
      </c>
      <c r="AT142" s="231"/>
      <c r="AU142" s="231"/>
      <c r="AV142" s="231"/>
      <c r="AW142" s="231"/>
      <c r="AX142" s="231"/>
      <c r="AY142" s="231" t="str">
        <f>IF([4]回答表!F18="簡易水道事業",IF([4]回答表!X51="●",[4]回答表!Y230,IF([4]回答表!AA51="●",[4]回答表!Y310,"")),"")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IF([4]回答表!F18="簡易水道事業",IF([4]回答表!X51="●",[4]回答表!E265,IF([4]回答表!AA51="●",[4]回答表!E344,"")),"")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IF([4]回答表!F18="簡易水道事業",IF([4]回答表!X51="●",[4]回答表!B267,IF([4]回答表!AA51="●",[4]回答表!B346,"")),"")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IF([4]回答表!F18="簡易水道事業",IF([4]回答表!AD51="●","●",""),"")</f>
        <v/>
      </c>
      <c r="O154" s="131"/>
      <c r="P154" s="131"/>
      <c r="Q154" s="132"/>
      <c r="R154" s="119"/>
      <c r="S154" s="119"/>
      <c r="T154" s="119"/>
      <c r="U154" s="133" t="str">
        <f>IF([4]回答表!F18="簡易水道事業",IF([4]回答表!AD51="●",[4]回答表!B354,""),"")</f>
        <v/>
      </c>
      <c r="V154" s="134"/>
      <c r="W154" s="134"/>
      <c r="X154" s="134"/>
      <c r="Y154" s="134"/>
      <c r="Z154" s="134"/>
      <c r="AA154" s="134"/>
      <c r="AB154" s="134"/>
      <c r="AC154" s="134"/>
      <c r="AD154" s="134"/>
      <c r="AE154" s="134"/>
      <c r="AF154" s="134"/>
      <c r="AG154" s="134"/>
      <c r="AH154" s="134"/>
      <c r="AI154" s="134"/>
      <c r="AJ154" s="135"/>
      <c r="AK154" s="189"/>
      <c r="AL154" s="189"/>
      <c r="AM154" s="133" t="str">
        <f>IF([4]回答表!F18="簡易水道事業",IF([4]回答表!AD51="●",[4]回答表!B360,""),"")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IF([4]回答表!F18="下水道事業",IF([4]回答表!X51="●","●",""),"")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IF([4]回答表!F18="下水道事業",IF([4]回答表!X51="●",[4]回答表!B197,IF([4]回答表!AA51="●",[4]回答表!B275,"")),"")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IF([4]回答表!F18="下水道事業",IF([4]回答表!X51="●",[4]回答表!B256,IF([4]回答表!AA51="●",[4]回答表!B335,"")),"")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IF([4]回答表!F18="下水道事業",IF([4]回答表!X51="●",[4]回答表!N234,IF([4]回答表!AA51="●",[4]回答表!N314,"")),"")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IF([4]回答表!F18="下水道事業",IF([4]回答表!X51="●",[4]回答表!E256,IF([4]回答表!AA51="●",[4]回答表!E335,"")),"")</f>
        <v/>
      </c>
      <c r="BG169" s="151"/>
      <c r="BH169" s="151"/>
      <c r="BI169" s="151"/>
      <c r="BJ169" s="150" t="str">
        <f>IF([4]回答表!F18="下水道事業",IF([4]回答表!X51="●",[4]回答表!E257,IF([4]回答表!AA51="●",[4]回答表!E336,"")),"")</f>
        <v/>
      </c>
      <c r="BK169" s="151"/>
      <c r="BL169" s="151"/>
      <c r="BM169" s="151"/>
      <c r="BN169" s="150" t="str">
        <f>IF([4]回答表!F18="下水道事業",IF([4]回答表!X51="●",[4]回答表!E258,IF([4]回答表!AA51="●",[4]回答表!E337,"")),"")</f>
        <v/>
      </c>
      <c r="BO169" s="151"/>
      <c r="BP169" s="151"/>
      <c r="BQ169" s="152"/>
      <c r="BR169" s="112"/>
      <c r="BX169" s="234" t="str">
        <f>IF([4]回答表!AQ21="下水道事業",IF([4]回答表!BI54="○",[4]回答表!AM200,IF([4]回答表!BL54="○",[4]回答表!AM278,"")),"")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IF([4]回答表!F18="下水道事業",IF([4]回答表!X51="●",[4]回答表!Y236,IF([4]回答表!AA51="●",[4]回答表!Y316,"")),"")</f>
        <v/>
      </c>
      <c r="V174" s="83"/>
      <c r="W174" s="83"/>
      <c r="X174" s="83"/>
      <c r="Y174" s="83"/>
      <c r="Z174" s="83"/>
      <c r="AA174" s="83"/>
      <c r="AB174" s="153"/>
      <c r="AC174" s="82" t="str">
        <f>IF([4]回答表!F18="下水道事業",IF([4]回答表!X51="●",[4]回答表!Y237,IF([4]回答表!AA51="●",[4]回答表!Y317,"")),"")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IF([4]回答表!F18="下水道事業",IF([4]回答表!X51="●",[4]回答表!Y239,IF([4]回答表!AA51="●",[4]回答表!Y319,"")),"")</f>
        <v/>
      </c>
      <c r="V180" s="83"/>
      <c r="W180" s="83"/>
      <c r="X180" s="83"/>
      <c r="Y180" s="83"/>
      <c r="Z180" s="83"/>
      <c r="AA180" s="83"/>
      <c r="AB180" s="153"/>
      <c r="AC180" s="82" t="str">
        <f>IF([4]回答表!F18="下水道事業",IF([4]回答表!X51="●",[4]回答表!Y240,IF([4]回答表!AA51="●",[4]回答表!Y320,"")),"")</f>
        <v/>
      </c>
      <c r="AD180" s="83"/>
      <c r="AE180" s="83"/>
      <c r="AF180" s="83"/>
      <c r="AG180" s="83"/>
      <c r="AH180" s="83"/>
      <c r="AI180" s="83"/>
      <c r="AJ180" s="153"/>
      <c r="AK180" s="82" t="str">
        <f>IF([4]回答表!F18="下水道事業",IF([4]回答表!X51="●",[4]回答表!Y241,IF([4]回答表!AA51="●",[4]回答表!Y321,"")),"")</f>
        <v/>
      </c>
      <c r="AL180" s="83"/>
      <c r="AM180" s="83"/>
      <c r="AN180" s="83"/>
      <c r="AO180" s="83"/>
      <c r="AP180" s="83"/>
      <c r="AQ180" s="83"/>
      <c r="AR180" s="153"/>
      <c r="AS180" s="82" t="str">
        <f>IF([4]回答表!F18="下水道事業",IF([4]回答表!X51="●",[4]回答表!Y242,IF([4]回答表!AA51="●",[4]回答表!Y322,"")),"")</f>
        <v/>
      </c>
      <c r="AT180" s="83"/>
      <c r="AU180" s="83"/>
      <c r="AV180" s="83"/>
      <c r="AW180" s="83"/>
      <c r="AX180" s="83"/>
      <c r="AY180" s="83"/>
      <c r="AZ180" s="153"/>
      <c r="BA180" s="82" t="str">
        <f>IF([4]回答表!F18="下水道事業",IF([4]回答表!X51="●",[4]回答表!Y243,IF([4]回答表!AA51="●",[4]回答表!Y323,"")),"")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IF([4]回答表!F18="下水道事業",IF([4]回答表!AA51="●","●",""),"")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IF([4]回答表!F18="下水道事業",IF([4]回答表!X51="●",[4]回答表!N248,IF([4]回答表!AA51="●",[4]回答表!N328,"")),"")</f>
        <v/>
      </c>
      <c r="V186" s="83"/>
      <c r="W186" s="83"/>
      <c r="X186" s="83"/>
      <c r="Y186" s="83"/>
      <c r="Z186" s="83"/>
      <c r="AA186" s="83"/>
      <c r="AB186" s="153"/>
      <c r="AC186" s="82" t="str">
        <f>IF([4]回答表!F18="下水道事業",IF([4]回答表!X51="●",[4]回答表!N249,IF([4]回答表!AA51="●",[4]回答表!N329,"")),"")</f>
        <v/>
      </c>
      <c r="AD186" s="83"/>
      <c r="AE186" s="83"/>
      <c r="AF186" s="83"/>
      <c r="AG186" s="83"/>
      <c r="AH186" s="83"/>
      <c r="AI186" s="83"/>
      <c r="AJ186" s="153"/>
      <c r="AK186" s="82" t="str">
        <f>IF([4]回答表!F18="下水道事業",IF([4]回答表!X51="●",[4]回答表!N250,IF([4]回答表!AA51="●",[4]回答表!N330,"")),"")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IF([4]回答表!F18="下水道事業",IF([4]回答表!X51="●",[4]回答表!E265,IF([4]回答表!AA51="●",[4]回答表!E344,"")),"")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IF([4]回答表!F18="下水道事業",IF([4]回答表!X51="●",[4]回答表!B267,IF([4]回答表!AA51="●",[4]回答表!B346,"")),"")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IF([4]回答表!F18="下水道事業",IF([4]回答表!AD51="●","●",""),"")</f>
        <v/>
      </c>
      <c r="O198" s="131"/>
      <c r="P198" s="131"/>
      <c r="Q198" s="132"/>
      <c r="R198" s="119"/>
      <c r="S198" s="119"/>
      <c r="T198" s="119"/>
      <c r="U198" s="133" t="str">
        <f>IF([4]回答表!F18="下水道事業",IF([4]回答表!AD51="●",[4]回答表!B354,""),"")</f>
        <v/>
      </c>
      <c r="V198" s="134"/>
      <c r="W198" s="134"/>
      <c r="X198" s="134"/>
      <c r="Y198" s="134"/>
      <c r="Z198" s="134"/>
      <c r="AA198" s="134"/>
      <c r="AB198" s="134"/>
      <c r="AC198" s="134"/>
      <c r="AD198" s="134"/>
      <c r="AE198" s="134"/>
      <c r="AF198" s="134"/>
      <c r="AG198" s="134"/>
      <c r="AH198" s="134"/>
      <c r="AI198" s="134"/>
      <c r="AJ198" s="135"/>
      <c r="AK198" s="189"/>
      <c r="AL198" s="189"/>
      <c r="AM198" s="133" t="str">
        <f>IF([4]回答表!F18="下水道事業",IF([4]回答表!AD51="●",[4]回答表!B360,""),"")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IF([4]回答表!BD18="●",IF([4]回答表!X51="●","●",""),"")</f>
        <v/>
      </c>
      <c r="O210" s="131"/>
      <c r="P210" s="131"/>
      <c r="Q210" s="132"/>
      <c r="R210" s="119"/>
      <c r="S210" s="119"/>
      <c r="T210" s="119"/>
      <c r="U210" s="133" t="str">
        <f>IF([4]回答表!BD18="●",IF([4]回答表!X51="●",[4]回答表!B197,IF([4]回答表!AA51="●",[4]回答表!B275,"")),"")</f>
        <v/>
      </c>
      <c r="V210" s="134"/>
      <c r="W210" s="134"/>
      <c r="X210" s="134"/>
      <c r="Y210" s="134"/>
      <c r="Z210" s="134"/>
      <c r="AA210" s="134"/>
      <c r="AB210" s="134"/>
      <c r="AC210" s="134"/>
      <c r="AD210" s="134"/>
      <c r="AE210" s="134"/>
      <c r="AF210" s="134"/>
      <c r="AG210" s="134"/>
      <c r="AH210" s="134"/>
      <c r="AI210" s="134"/>
      <c r="AJ210" s="135"/>
      <c r="AK210" s="136"/>
      <c r="AL210" s="136"/>
      <c r="AM210" s="138" t="str">
        <f>IF([4]回答表!BD18="●",IF([4]回答表!X51="●",[4]回答表!B256,IF([4]回答表!AA51="●",[4]回答表!B335,"")),"")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IF([4]回答表!BD18="●",IF([4]回答表!X51="●",[4]回答表!E256,IF([4]回答表!AA51="●",[4]回答表!E335,"")),"")</f>
        <v/>
      </c>
      <c r="AN213" s="151"/>
      <c r="AO213" s="151"/>
      <c r="AP213" s="151"/>
      <c r="AQ213" s="150" t="str">
        <f>IF([4]回答表!BD18="●",IF([4]回答表!X51="●",[4]回答表!E257,IF([4]回答表!AA51="●",[4]回答表!E336,"")),"")</f>
        <v/>
      </c>
      <c r="AR213" s="151"/>
      <c r="AS213" s="151"/>
      <c r="AT213" s="151"/>
      <c r="AU213" s="150" t="str">
        <f>IF([4]回答表!BD18="●",IF([4]回答表!X51="●",[4]回答表!E258,IF([4]回答表!AA51="●",[4]回答表!E337,"")),"")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IF([4]回答表!BD18="●",IF([4]回答表!AA51="●","●",""),"")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IF([4]回答表!BD18="●",IF([4]回答表!X51="●",[4]回答表!E265,IF([4]回答表!AA51="●",[4]回答表!E344,"")),"")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IF([4]回答表!BD18="●",IF([4]回答表!X51="●",[4]回答表!B267,IF([4]回答表!AA51="●",[4]回答表!B346,"")),"")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IF([4]回答表!BD18="●",IF([4]回答表!AD51="●","●",""),"")</f>
        <v/>
      </c>
      <c r="O229" s="131"/>
      <c r="P229" s="131"/>
      <c r="Q229" s="132"/>
      <c r="R229" s="119"/>
      <c r="S229" s="119"/>
      <c r="T229" s="119"/>
      <c r="U229" s="133" t="str">
        <f>IF([4]回答表!BD18="●",IF([4]回答表!AD51="●",[4]回答表!B354,""),"")</f>
        <v/>
      </c>
      <c r="V229" s="134"/>
      <c r="W229" s="134"/>
      <c r="X229" s="134"/>
      <c r="Y229" s="134"/>
      <c r="Z229" s="134"/>
      <c r="AA229" s="134"/>
      <c r="AB229" s="134"/>
      <c r="AC229" s="134"/>
      <c r="AD229" s="134"/>
      <c r="AE229" s="134"/>
      <c r="AF229" s="134"/>
      <c r="AG229" s="134"/>
      <c r="AH229" s="134"/>
      <c r="AI229" s="134"/>
      <c r="AJ229" s="135"/>
      <c r="AK229" s="249"/>
      <c r="AL229" s="249"/>
      <c r="AM229" s="133" t="str">
        <f>IF([4]回答表!BD18="●",IF([4]回答表!AD51="●",[4]回答表!B360,""),"")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IF([4]回答表!X52="●","●","")</f>
        <v/>
      </c>
      <c r="O241" s="131"/>
      <c r="P241" s="131"/>
      <c r="Q241" s="132"/>
      <c r="R241" s="119"/>
      <c r="S241" s="119"/>
      <c r="T241" s="119"/>
      <c r="U241" s="133" t="str">
        <f>IF([4]回答表!X52="●",[4]回答表!B371,IF([4]回答表!AA52="●",[4]回答表!B396,""))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IF([4]回答表!X52="●",[4]回答表!U377,IF([4]回答表!AA52="●",[4]回答表!U402,""))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IF([4]回答表!X52="●",[4]回答表!G377,IF([4]回答表!AA52="●",[4]回答表!G402,""))</f>
        <v/>
      </c>
      <c r="AN244" s="83"/>
      <c r="AO244" s="83"/>
      <c r="AP244" s="83"/>
      <c r="AQ244" s="83"/>
      <c r="AR244" s="83"/>
      <c r="AS244" s="83"/>
      <c r="AT244" s="153"/>
      <c r="AU244" s="82" t="str">
        <f>IF([4]回答表!X52="●",[4]回答表!G378,IF([4]回答表!AA52="●",[4]回答表!G403,""))</f>
        <v/>
      </c>
      <c r="AV244" s="83"/>
      <c r="AW244" s="83"/>
      <c r="AX244" s="83"/>
      <c r="AY244" s="83"/>
      <c r="AZ244" s="83"/>
      <c r="BA244" s="83"/>
      <c r="BB244" s="153"/>
      <c r="BC244" s="120"/>
      <c r="BD244" s="109"/>
      <c r="BE244" s="109"/>
      <c r="BF244" s="150" t="str">
        <f>IF([4]回答表!X52="●",[4]回答表!X377,IF([4]回答表!AA52="●",[4]回答表!X402,""))</f>
        <v/>
      </c>
      <c r="BG244" s="151"/>
      <c r="BH244" s="151"/>
      <c r="BI244" s="151"/>
      <c r="BJ244" s="150" t="str">
        <f>IF([4]回答表!X52="●",[4]回答表!X378,IF([4]回答表!AA52="●",[4]回答表!X403,""))</f>
        <v/>
      </c>
      <c r="BK244" s="151"/>
      <c r="BL244" s="151"/>
      <c r="BM244" s="152"/>
      <c r="BN244" s="150" t="str">
        <f>IF([4]回答表!X52="●",[4]回答表!X379,IF([4]回答表!AA52="●",[4]回答表!X404,""))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IF([4]回答表!X52="●",[4]回答表!E386,IF([4]回答表!AA52="●",[4]回答表!E407,""))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IF([4]回答表!X52="●",[4]回答表!B388,IF([4]回答表!AA52="●",[4]回答表!B409,""))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IF([4]回答表!AD52="●","●","")</f>
        <v/>
      </c>
      <c r="O260" s="131"/>
      <c r="P260" s="131"/>
      <c r="Q260" s="132"/>
      <c r="R260" s="119"/>
      <c r="S260" s="119"/>
      <c r="T260" s="119"/>
      <c r="U260" s="133" t="str">
        <f>IF([4]回答表!AD52="●",[4]回答表!B417,"")</f>
        <v/>
      </c>
      <c r="V260" s="134"/>
      <c r="W260" s="134"/>
      <c r="X260" s="134"/>
      <c r="Y260" s="134"/>
      <c r="Z260" s="134"/>
      <c r="AA260" s="134"/>
      <c r="AB260" s="134"/>
      <c r="AC260" s="134"/>
      <c r="AD260" s="134"/>
      <c r="AE260" s="134"/>
      <c r="AF260" s="134"/>
      <c r="AG260" s="134"/>
      <c r="AH260" s="134"/>
      <c r="AI260" s="134"/>
      <c r="AJ260" s="135"/>
      <c r="AK260" s="249"/>
      <c r="AL260" s="249"/>
      <c r="AM260" s="133" t="str">
        <f>IF([4]回答表!AD52="●",[4]回答表!B423,"")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IF([4]回答表!X53="●","●","")</f>
        <v/>
      </c>
      <c r="O272" s="131"/>
      <c r="P272" s="131"/>
      <c r="Q272" s="132"/>
      <c r="R272" s="119"/>
      <c r="S272" s="119"/>
      <c r="T272" s="119"/>
      <c r="U272" s="133" t="str">
        <f>IF([4]回答表!X53="●",[4]回答表!B434,IF([4]回答表!AA53="●",[4]回答表!B465,""))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IF([4]回答表!X53="●",[4]回答表!B440,"")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IF([4]回答表!X53="●",[4]回答表!B446,IF([4]回答表!AA53="●",[4]回答表!B471,""))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IF([4]回答表!X53="●",[4]回答表!E446,IF([4]回答表!AA53="●",[4]回答表!E471,""))</f>
        <v/>
      </c>
      <c r="BG275" s="151"/>
      <c r="BH275" s="151"/>
      <c r="BI275" s="151"/>
      <c r="BJ275" s="150" t="str">
        <f>IF([4]回答表!X53="●",[4]回答表!E447,IF([4]回答表!AA53="●",[4]回答表!E472,""))</f>
        <v/>
      </c>
      <c r="BK275" s="151"/>
      <c r="BL275" s="151"/>
      <c r="BM275" s="152"/>
      <c r="BN275" s="150" t="str">
        <f>IF([4]回答表!X53="●",[4]回答表!E448,IF([4]回答表!AA53="●",[4]回答表!E473,""))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IF([4]回答表!X53="●",[4]回答表!E455,IF([4]回答表!AA53="●",[4]回答表!E476,""))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IF([4]回答表!X53="●",[4]回答表!B457,IF([4]回答表!AA53="●",[4]回答表!B478,""))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IF([4]回答表!AD53="●","●","")</f>
        <v/>
      </c>
      <c r="O291" s="131"/>
      <c r="P291" s="131"/>
      <c r="Q291" s="132"/>
      <c r="R291" s="119"/>
      <c r="S291" s="119"/>
      <c r="T291" s="119"/>
      <c r="U291" s="133" t="str">
        <f>IF([4]回答表!AD53="●",[4]回答表!B486,"")</f>
        <v/>
      </c>
      <c r="V291" s="134"/>
      <c r="W291" s="134"/>
      <c r="X291" s="134"/>
      <c r="Y291" s="134"/>
      <c r="Z291" s="134"/>
      <c r="AA291" s="134"/>
      <c r="AB291" s="134"/>
      <c r="AC291" s="134"/>
      <c r="AD291" s="134"/>
      <c r="AE291" s="134"/>
      <c r="AF291" s="134"/>
      <c r="AG291" s="134"/>
      <c r="AH291" s="134"/>
      <c r="AI291" s="134"/>
      <c r="AJ291" s="135"/>
      <c r="AK291" s="249"/>
      <c r="AL291" s="249"/>
      <c r="AM291" s="133" t="str">
        <f>IF([4]回答表!AD53="●",[4]回答表!B492,"")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IF([4]回答表!X54="●","●","")</f>
        <v/>
      </c>
      <c r="O303" s="131"/>
      <c r="P303" s="131"/>
      <c r="Q303" s="132"/>
      <c r="R303" s="119"/>
      <c r="S303" s="119"/>
      <c r="T303" s="119"/>
      <c r="U303" s="133" t="str">
        <f>IF([4]回答表!X54="●",[4]回答表!B503,IF([4]回答表!AA54="●",[4]回答表!B526,""))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IF([4]回答表!X54="●",[4]回答表!BC510,IF([4]回答表!AA54="●",[4]回答表!BC533,""))</f>
        <v/>
      </c>
      <c r="AR303" s="271"/>
      <c r="AS303" s="271"/>
      <c r="AT303" s="271"/>
      <c r="AU303" s="272" t="s">
        <v>74</v>
      </c>
      <c r="AV303" s="273"/>
      <c r="AW303" s="273"/>
      <c r="AX303" s="274"/>
      <c r="AY303" s="271" t="str">
        <f>IF([4]回答表!X54="●",[4]回答表!BC515,IF([4]回答表!AA54="●",[4]回答表!BC538,""))</f>
        <v/>
      </c>
      <c r="AZ303" s="271"/>
      <c r="BA303" s="271"/>
      <c r="BB303" s="271"/>
      <c r="BC303" s="120"/>
      <c r="BD303" s="109"/>
      <c r="BE303" s="109"/>
      <c r="BF303" s="138" t="str">
        <f>IF([4]回答表!X54="●",[4]回答表!S509,IF([4]回答表!AA54="●",[4]回答表!S532,""))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IF([4]回答表!X54="●",[4]回答表!BC511,IF([4]回答表!AA54="●",[4]回答表!BC534,""))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IF([4]回答表!X54="●",[4]回答表!V509,IF([4]回答表!AA54="●",[4]回答表!V532,""))</f>
        <v/>
      </c>
      <c r="BG306" s="151"/>
      <c r="BH306" s="151"/>
      <c r="BI306" s="151"/>
      <c r="BJ306" s="150" t="str">
        <f>IF([4]回答表!X54="●",[4]回答表!V510,IF([4]回答表!AA54="●",[4]回答表!V533,""))</f>
        <v/>
      </c>
      <c r="BK306" s="151"/>
      <c r="BL306" s="151"/>
      <c r="BM306" s="152"/>
      <c r="BN306" s="150" t="str">
        <f>IF([4]回答表!X54="●",[4]回答表!V511,IF([4]回答表!AA54="●",[4]回答表!V534,""))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IF([4]回答表!X54="●",[4]回答表!BC512,IF([4]回答表!AA54="●",[4]回答表!BC535,""))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IF([4]回答表!X54="●",[4]回答表!BC516,IF([4]回答表!AA54="●",[4]回答表!BC539,""))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IF([4]回答表!X54="●",[4]回答表!BC513,IF([4]回答表!AA54="●",[4]回答表!BC536,""))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IF([4]回答表!X54="●",[4]回答表!BC514,IF([4]回答表!AA54="●",[4]回答表!BC537,""))</f>
        <v/>
      </c>
      <c r="AR311" s="271"/>
      <c r="AS311" s="271"/>
      <c r="AT311" s="271"/>
      <c r="AU311" s="222" t="s">
        <v>80</v>
      </c>
      <c r="AV311" s="223"/>
      <c r="AW311" s="223"/>
      <c r="AX311" s="224"/>
      <c r="AY311" s="281" t="str">
        <f>IF([4]回答表!X54="●",[4]回答表!BC517,IF([4]回答表!AA54="●",[4]回答表!BC540,""))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IF([4]回答表!X54="●",[4]回答表!E516,IF([4]回答表!AA54="●",[4]回答表!E538,""))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IF([4]回答表!X54="●",[4]回答表!B518,IF([4]回答表!AA54="●",[4]回答表!B540,""))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IF([4]回答表!AD54="●","●","")</f>
        <v/>
      </c>
      <c r="O322" s="131"/>
      <c r="P322" s="131"/>
      <c r="Q322" s="132"/>
      <c r="R322" s="119"/>
      <c r="S322" s="119"/>
      <c r="T322" s="119"/>
      <c r="U322" s="133" t="str">
        <f>IF([4]回答表!AD54="●",[4]回答表!B548,"")</f>
        <v/>
      </c>
      <c r="V322" s="134"/>
      <c r="W322" s="134"/>
      <c r="X322" s="134"/>
      <c r="Y322" s="134"/>
      <c r="Z322" s="134"/>
      <c r="AA322" s="134"/>
      <c r="AB322" s="134"/>
      <c r="AC322" s="134"/>
      <c r="AD322" s="134"/>
      <c r="AE322" s="134"/>
      <c r="AF322" s="134"/>
      <c r="AG322" s="134"/>
      <c r="AH322" s="134"/>
      <c r="AI322" s="134"/>
      <c r="AJ322" s="135"/>
      <c r="AK322" s="189"/>
      <c r="AL322" s="189"/>
      <c r="AM322" s="133" t="str">
        <f>IF([4]回答表!AD54="●",[4]回答表!B554,"")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IF([4]回答表!X55="●","●","")</f>
        <v/>
      </c>
      <c r="O333" s="131"/>
      <c r="P333" s="131"/>
      <c r="Q333" s="132"/>
      <c r="R333" s="119"/>
      <c r="S333" s="119"/>
      <c r="T333" s="119"/>
      <c r="U333" s="133" t="str">
        <f>IF([4]回答表!X55="●",[4]回答表!B565,IF([4]回答表!AA55="●",[4]回答表!B590,""))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IF([4]回答表!X55="●",[4]回答表!B575,IF([4]回答表!AA55="●",[4]回答表!B600,""))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IF([4]回答表!X55="●",[4]回答表!G571,IF([4]回答表!AA55="●",[4]回答表!G596,""))</f>
        <v/>
      </c>
      <c r="AN335" s="83"/>
      <c r="AO335" s="83"/>
      <c r="AP335" s="83"/>
      <c r="AQ335" s="83"/>
      <c r="AR335" s="83"/>
      <c r="AS335" s="83"/>
      <c r="AT335" s="153"/>
      <c r="AU335" s="82" t="str">
        <f>IF([4]回答表!X55="●",[4]回答表!G572,IF([4]回答表!AA55="●",[4]回答表!G597,""))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IF([4]回答表!X55="●",[4]回答表!E575,IF([4]回答表!AA55="●",[4]回答表!E600,""))</f>
        <v/>
      </c>
      <c r="BG336" s="151"/>
      <c r="BH336" s="151"/>
      <c r="BI336" s="151"/>
      <c r="BJ336" s="150" t="str">
        <f>IF([4]回答表!X55="●",[4]回答表!E576,IF([4]回答表!AA55="●",[4]回答表!E601,""))</f>
        <v/>
      </c>
      <c r="BK336" s="151"/>
      <c r="BL336" s="151"/>
      <c r="BM336" s="152"/>
      <c r="BN336" s="150" t="str">
        <f>IF([4]回答表!X55="●",[4]回答表!E577,IF([4]回答表!AA55="●",[4]回答表!E602,""))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IF([4]回答表!X55="●",[4]回答表!E580,IF([4]回答表!AA55="●",[4]回答表!E605,""))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IF([4]回答表!X55="●",[4]回答表!B582,IF([4]回答表!AA55="●",[4]回答表!B607,""))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IF([4]回答表!AD55="●","●","")</f>
        <v/>
      </c>
      <c r="O352" s="131"/>
      <c r="P352" s="131"/>
      <c r="Q352" s="132"/>
      <c r="R352" s="119"/>
      <c r="S352" s="119"/>
      <c r="T352" s="119"/>
      <c r="U352" s="133" t="str">
        <f>IF([4]回答表!AD55="●",[4]回答表!B615,"")</f>
        <v/>
      </c>
      <c r="V352" s="134"/>
      <c r="W352" s="134"/>
      <c r="X352" s="134"/>
      <c r="Y352" s="134"/>
      <c r="Z352" s="134"/>
      <c r="AA352" s="134"/>
      <c r="AB352" s="134"/>
      <c r="AC352" s="134"/>
      <c r="AD352" s="134"/>
      <c r="AE352" s="134"/>
      <c r="AF352" s="134"/>
      <c r="AG352" s="134"/>
      <c r="AH352" s="134"/>
      <c r="AI352" s="134"/>
      <c r="AJ352" s="135"/>
      <c r="AK352" s="136"/>
      <c r="AL352" s="136"/>
      <c r="AM352" s="133" t="str">
        <f>IF([4]回答表!AD55="●",[4]回答表!B621,"")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IF([4]回答表!R56="●",[4]回答表!B634,"")</f>
        <v>　現時点で人件費の計上がないこと、工事費（資本的支出）の計上がないこと、販売料金等の収入は全て施設の維持費に充当していること、一般会計からの繰入金はないこと、予算規模はＲ4当初予算案で450万弱で比較的小規模であることから、経営体制に問題がないと判断され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F325-1F0F-4BC9-8247-DCBF995E7F7F}">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IF(COUNTIF([5]回答表!K16,"*")&gt;0,[5]回答表!K16,"")</f>
        <v>大館市</v>
      </c>
      <c r="D11" s="8"/>
      <c r="E11" s="8"/>
      <c r="F11" s="8"/>
      <c r="G11" s="8"/>
      <c r="H11" s="8"/>
      <c r="I11" s="8"/>
      <c r="J11" s="8"/>
      <c r="K11" s="8"/>
      <c r="L11" s="8"/>
      <c r="M11" s="8"/>
      <c r="N11" s="8"/>
      <c r="O11" s="8"/>
      <c r="P11" s="8"/>
      <c r="Q11" s="8"/>
      <c r="R11" s="8"/>
      <c r="S11" s="8"/>
      <c r="T11" s="8"/>
      <c r="U11" s="22" t="str">
        <f>IF(COUNTIF([5]回答表!F18,"*")&gt;0,[5]回答表!F18,"")</f>
        <v>簡易水道事業</v>
      </c>
      <c r="V11" s="23"/>
      <c r="W11" s="23"/>
      <c r="X11" s="23"/>
      <c r="Y11" s="23"/>
      <c r="Z11" s="23"/>
      <c r="AA11" s="23"/>
      <c r="AB11" s="23"/>
      <c r="AC11" s="23"/>
      <c r="AD11" s="23"/>
      <c r="AE11" s="23"/>
      <c r="AF11" s="10"/>
      <c r="AG11" s="10"/>
      <c r="AH11" s="10"/>
      <c r="AI11" s="10"/>
      <c r="AJ11" s="10"/>
      <c r="AK11" s="10"/>
      <c r="AL11" s="10"/>
      <c r="AM11" s="10"/>
      <c r="AN11" s="11"/>
      <c r="AO11" s="24" t="str">
        <f>IF(COUNTIF([5]回答表!W18,"*")&gt;0,[5]回答表!W18,"")</f>
        <v>―</v>
      </c>
      <c r="AP11" s="10"/>
      <c r="AQ11" s="10"/>
      <c r="AR11" s="10"/>
      <c r="AS11" s="10"/>
      <c r="AT11" s="10"/>
      <c r="AU11" s="10"/>
      <c r="AV11" s="10"/>
      <c r="AW11" s="10"/>
      <c r="AX11" s="10"/>
      <c r="AY11" s="10"/>
      <c r="AZ11" s="10"/>
      <c r="BA11" s="10"/>
      <c r="BB11" s="10"/>
      <c r="BC11" s="10"/>
      <c r="BD11" s="10"/>
      <c r="BE11" s="10"/>
      <c r="BF11" s="11"/>
      <c r="BG11" s="21" t="str">
        <f>IF(COUNTIF([5]回答表!F20,"*")&gt;0,[5]回答表!F20,"")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IF([5]回答表!R49="●","●","")</f>
        <v>●</v>
      </c>
      <c r="E24" s="80"/>
      <c r="F24" s="80"/>
      <c r="G24" s="80"/>
      <c r="H24" s="80"/>
      <c r="I24" s="80"/>
      <c r="J24" s="81"/>
      <c r="K24" s="79" t="str">
        <f>IF([5]回答表!R50="●","●","")</f>
        <v/>
      </c>
      <c r="L24" s="80"/>
      <c r="M24" s="80"/>
      <c r="N24" s="80"/>
      <c r="O24" s="80"/>
      <c r="P24" s="80"/>
      <c r="Q24" s="81"/>
      <c r="R24" s="79" t="str">
        <f>IF([5]回答表!R51="●","●","")</f>
        <v/>
      </c>
      <c r="S24" s="80"/>
      <c r="T24" s="80"/>
      <c r="U24" s="80"/>
      <c r="V24" s="80"/>
      <c r="W24" s="80"/>
      <c r="X24" s="81"/>
      <c r="Y24" s="79" t="str">
        <f>IF([5]回答表!R52="●","●","")</f>
        <v/>
      </c>
      <c r="Z24" s="80"/>
      <c r="AA24" s="80"/>
      <c r="AB24" s="80"/>
      <c r="AC24" s="80"/>
      <c r="AD24" s="80"/>
      <c r="AE24" s="81"/>
      <c r="AF24" s="79" t="str">
        <f>IF([5]回答表!R53="●","●","")</f>
        <v/>
      </c>
      <c r="AG24" s="80"/>
      <c r="AH24" s="80"/>
      <c r="AI24" s="80"/>
      <c r="AJ24" s="80"/>
      <c r="AK24" s="80"/>
      <c r="AL24" s="81"/>
      <c r="AM24" s="79" t="str">
        <f>IF([5]回答表!R54="●","●","")</f>
        <v/>
      </c>
      <c r="AN24" s="80"/>
      <c r="AO24" s="80"/>
      <c r="AP24" s="80"/>
      <c r="AQ24" s="80"/>
      <c r="AR24" s="80"/>
      <c r="AS24" s="81"/>
      <c r="AT24" s="79" t="str">
        <f>IF([5]回答表!R55="●","●","")</f>
        <v/>
      </c>
      <c r="AU24" s="80"/>
      <c r="AV24" s="80"/>
      <c r="AW24" s="80"/>
      <c r="AX24" s="80"/>
      <c r="AY24" s="80"/>
      <c r="AZ24" s="81"/>
      <c r="BA24" s="68"/>
      <c r="BB24" s="82" t="str">
        <f>IF([5]回答表!R56="●","●","")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IF([5]回答表!X49="●","●","")</f>
        <v>●</v>
      </c>
      <c r="O36" s="131"/>
      <c r="P36" s="131"/>
      <c r="Q36" s="132"/>
      <c r="R36" s="119"/>
      <c r="S36" s="119"/>
      <c r="T36" s="119"/>
      <c r="U36" s="133" t="str">
        <f>IF([5]回答表!X49="●",[5]回答表!B67,IF([5]回答表!AA49="●",[5]回答表!B95,""))</f>
        <v>上水道と簡易水道に分かれていたため契約や決算など事務処理が繁雑であったが、統合したことにより迅速に処理できるようになった。</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IF([5]回答表!X49="●",[5]回答表!S73,IF([5]回答表!AA49="●",[5]回答表!S101,""))</f>
        <v>平成</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IF([5]回答表!X49="●",[5]回答表!G73,IF([5]回答表!AA49="●",[5]回答表!G101,""))</f>
        <v>●</v>
      </c>
      <c r="AN38" s="83"/>
      <c r="AO38" s="83"/>
      <c r="AP38" s="83"/>
      <c r="AQ38" s="83"/>
      <c r="AR38" s="83"/>
      <c r="AS38" s="83"/>
      <c r="AT38" s="153"/>
      <c r="AU38" s="82" t="str">
        <f>IF([5]回答表!X49="●",[5]回答表!G74,IF([5]回答表!AA49="●",[5]回答表!G102,""))</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IF([5]回答表!X49="●",[5]回答表!V73,IF([5]回答表!AA49="●",[5]回答表!V101,""))</f>
        <v>29</v>
      </c>
      <c r="BG39" s="16"/>
      <c r="BH39" s="16"/>
      <c r="BI39" s="17"/>
      <c r="BJ39" s="150">
        <f>IF([5]回答表!X49="●",[5]回答表!V74,IF([5]回答表!AA49="●",[5]回答表!V102,""))</f>
        <v>3</v>
      </c>
      <c r="BK39" s="16"/>
      <c r="BL39" s="16"/>
      <c r="BM39" s="17"/>
      <c r="BN39" s="150">
        <f>IF([5]回答表!X49="●",[5]回答表!V75,IF([5]回答表!AA49="●",[5]回答表!V103,""))</f>
        <v>31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IF([5]回答表!X49="●",[5]回答表!O79,IF([5]回答表!AA49="●",[5]回答表!O107,""))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IF([5]回答表!X49="●",[5]回答表!O80,IF([5]回答表!AA49="●",[5]回答表!O108,""))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IF([5]回答表!X49="●",[5]回答表!O81,IF([5]回答表!AA49="●",[5]回答表!O109,""))</f>
        <v xml:space="preserve">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IF([5]回答表!X49="●",[5]回答表!O82,IF([5]回答表!AA49="●",[5]回答表!O110,""))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IF([5]回答表!X49="●",[5]回答表!AG79,IF([5]回答表!AA49="●",[5]回答表!AG107,""))</f>
        <v>●</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IF([5]回答表!X49="●",[5]回答表!AG80,IF([5]回答表!AA49="●",[5]回答表!AG108,""))</f>
        <v xml:space="preserve">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f>IF([5]回答表!X49="●",[5]回答表!E85,IF([5]回答表!AA49="●",[5]回答表!E113,""))</f>
        <v>0</v>
      </c>
      <c r="V50" s="182"/>
      <c r="W50" s="182"/>
      <c r="X50" s="182"/>
      <c r="Y50" s="182"/>
      <c r="Z50" s="182"/>
      <c r="AA50" s="182"/>
      <c r="AB50" s="182"/>
      <c r="AC50" s="182"/>
      <c r="AD50" s="182"/>
      <c r="AE50" s="183" t="s">
        <v>33</v>
      </c>
      <c r="AF50" s="183"/>
      <c r="AG50" s="183"/>
      <c r="AH50" s="183"/>
      <c r="AI50" s="183"/>
      <c r="AJ50" s="184"/>
      <c r="AK50" s="136"/>
      <c r="AL50" s="136"/>
      <c r="AM50" s="133" t="str">
        <f>IF([5]回答表!X49="●",[5]回答表!B87,IF([5]回答表!AA49="●",[5]回答表!B115,""))</f>
        <v>資産、維持管理は上水道に引き継がれたため、実質的な効果額は見込めない。</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IF([5]回答表!AD49="●","●","")</f>
        <v/>
      </c>
      <c r="O57" s="131"/>
      <c r="P57" s="131"/>
      <c r="Q57" s="132"/>
      <c r="R57" s="119"/>
      <c r="S57" s="119"/>
      <c r="T57" s="119"/>
      <c r="U57" s="133" t="str">
        <f>IF([5]回答表!AD49="●",[5]回答表!B123,"")</f>
        <v/>
      </c>
      <c r="V57" s="134"/>
      <c r="W57" s="134"/>
      <c r="X57" s="134"/>
      <c r="Y57" s="134"/>
      <c r="Z57" s="134"/>
      <c r="AA57" s="134"/>
      <c r="AB57" s="134"/>
      <c r="AC57" s="134"/>
      <c r="AD57" s="134"/>
      <c r="AE57" s="134"/>
      <c r="AF57" s="134"/>
      <c r="AG57" s="134"/>
      <c r="AH57" s="134"/>
      <c r="AI57" s="134"/>
      <c r="AJ57" s="135"/>
      <c r="AK57" s="189"/>
      <c r="AL57" s="189"/>
      <c r="AM57" s="133" t="str">
        <f>IF([5]回答表!AD49="●",[5]回答表!B128,"")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IF([5]回答表!X50="●","●","")</f>
        <v/>
      </c>
      <c r="O68" s="131"/>
      <c r="P68" s="131"/>
      <c r="Q68" s="132"/>
      <c r="R68" s="119"/>
      <c r="S68" s="119"/>
      <c r="T68" s="119"/>
      <c r="U68" s="133" t="str">
        <f>IF([5]回答表!X50="●",[5]回答表!B138,IF([5]回答表!AA50="●",[5]回答表!B159,""))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IF([5]回答表!X50="●",[5]回答表!S144,IF([5]回答表!AA50="●",[5]回答表!S165,""))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IF([5]回答表!X50="●",[5]回答表!J144,IF([5]回答表!AA50="●",[5]回答表!J165,""))</f>
        <v/>
      </c>
      <c r="AN71" s="83"/>
      <c r="AO71" s="83"/>
      <c r="AP71" s="83"/>
      <c r="AQ71" s="83"/>
      <c r="AR71" s="83"/>
      <c r="AS71" s="83"/>
      <c r="AT71" s="153"/>
      <c r="AU71" s="82" t="str">
        <f>IF([5]回答表!X50="●",[5]回答表!J145,IF([5]回答表!AA50="●",[5]回答表!J166,""))</f>
        <v/>
      </c>
      <c r="AV71" s="83"/>
      <c r="AW71" s="83"/>
      <c r="AX71" s="83"/>
      <c r="AY71" s="83"/>
      <c r="AZ71" s="83"/>
      <c r="BA71" s="83"/>
      <c r="BB71" s="153"/>
      <c r="BC71" s="120"/>
      <c r="BD71" s="109"/>
      <c r="BE71" s="109"/>
      <c r="BF71" s="150" t="str">
        <f>IF([5]回答表!X50="●",[5]回答表!V144,IF([5]回答表!AA50="●",[5]回答表!V165,""))</f>
        <v/>
      </c>
      <c r="BG71" s="151"/>
      <c r="BH71" s="151"/>
      <c r="BI71" s="151"/>
      <c r="BJ71" s="150" t="str">
        <f>IF([5]回答表!X50="●",[5]回答表!V145,IF([5]回答表!AA50="●",[5]回答表!V166,""))</f>
        <v/>
      </c>
      <c r="BK71" s="151"/>
      <c r="BL71" s="151"/>
      <c r="BM71" s="151"/>
      <c r="BN71" s="150" t="str">
        <f>IF([5]回答表!X50="●",[5]回答表!V146,IF([5]回答表!AA50="●",[5]回答表!V167,""))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IF([5]回答表!X50="●",[5]回答表!E149,IF([5]回答表!AA50="●",[5]回答表!E170,""))</f>
        <v/>
      </c>
      <c r="V80" s="182"/>
      <c r="W80" s="182"/>
      <c r="X80" s="182"/>
      <c r="Y80" s="182"/>
      <c r="Z80" s="182"/>
      <c r="AA80" s="182"/>
      <c r="AB80" s="182"/>
      <c r="AC80" s="182"/>
      <c r="AD80" s="182"/>
      <c r="AE80" s="183" t="s">
        <v>33</v>
      </c>
      <c r="AF80" s="183"/>
      <c r="AG80" s="183"/>
      <c r="AH80" s="183"/>
      <c r="AI80" s="183"/>
      <c r="AJ80" s="184"/>
      <c r="AK80" s="136"/>
      <c r="AL80" s="136"/>
      <c r="AM80" s="133" t="str">
        <f>IF([5]回答表!X50="●",[5]回答表!B151,IF([5]回答表!AA50="●",[5]回答表!B172,""))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IF([5]回答表!AD50="●","●","")</f>
        <v/>
      </c>
      <c r="O87" s="131"/>
      <c r="P87" s="131"/>
      <c r="Q87" s="132"/>
      <c r="R87" s="119"/>
      <c r="S87" s="119"/>
      <c r="T87" s="119"/>
      <c r="U87" s="133" t="str">
        <f>IF([5]回答表!AD50="●",[5]回答表!B180,"")</f>
        <v/>
      </c>
      <c r="V87" s="134"/>
      <c r="W87" s="134"/>
      <c r="X87" s="134"/>
      <c r="Y87" s="134"/>
      <c r="Z87" s="134"/>
      <c r="AA87" s="134"/>
      <c r="AB87" s="134"/>
      <c r="AC87" s="134"/>
      <c r="AD87" s="134"/>
      <c r="AE87" s="134"/>
      <c r="AF87" s="134"/>
      <c r="AG87" s="134"/>
      <c r="AH87" s="134"/>
      <c r="AI87" s="134"/>
      <c r="AJ87" s="135"/>
      <c r="AK87" s="189"/>
      <c r="AL87" s="189"/>
      <c r="AM87" s="133" t="str">
        <f>IF([5]回答表!AD50="●",[5]回答表!B186,"")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IF([5]回答表!F18="水道事業",IF([5]回答表!X51="●","●",""),"")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IF([5]回答表!F18="水道事業",IF([5]回答表!X51="●",[5]回答表!B197,IF([5]回答表!AA51="●",[5]回答表!B275,"")),"")</f>
        <v/>
      </c>
      <c r="AN99" s="134"/>
      <c r="AO99" s="134"/>
      <c r="AP99" s="134"/>
      <c r="AQ99" s="134"/>
      <c r="AR99" s="134"/>
      <c r="AS99" s="134"/>
      <c r="AT99" s="134"/>
      <c r="AU99" s="134"/>
      <c r="AV99" s="134"/>
      <c r="AW99" s="134"/>
      <c r="AX99" s="134"/>
      <c r="AY99" s="134"/>
      <c r="AZ99" s="134"/>
      <c r="BA99" s="134"/>
      <c r="BB99" s="134"/>
      <c r="BC99" s="135"/>
      <c r="BD99" s="109"/>
      <c r="BE99" s="109"/>
      <c r="BF99" s="138" t="str">
        <f>IF([5]回答表!F18="水道事業",IF([5]回答表!X51="●",[5]回答表!B256,IF([5]回答表!AA51="●",[5]回答表!B335,"")),"")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IF([5]回答表!F18="水道事業",IF([5]回答表!X51="●",[5]回答表!J205,IF([5]回答表!AA51="●",[5]回答表!J283,"")),"")</f>
        <v/>
      </c>
      <c r="V101" s="83"/>
      <c r="W101" s="83"/>
      <c r="X101" s="83"/>
      <c r="Y101" s="83"/>
      <c r="Z101" s="83"/>
      <c r="AA101" s="83"/>
      <c r="AB101" s="153"/>
      <c r="AC101" s="82" t="str">
        <f>IF([5]回答表!F18="水道事業",IF([5]回答表!X51="●",[5]回答表!J210,IF([5]回答表!AA51="●",[5]回答表!J290,"")),"")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IF([5]回答表!F18="水道事業",IF([5]回答表!X51="●",[5]回答表!E256,IF([5]回答表!AA51="●",[5]回答表!E335,"")),"")</f>
        <v/>
      </c>
      <c r="BG102" s="151"/>
      <c r="BH102" s="151"/>
      <c r="BI102" s="151"/>
      <c r="BJ102" s="150" t="str">
        <f>IF([5]回答表!F18="水道事業",IF([5]回答表!X51="●",[5]回答表!E257,IF([5]回答表!AA51="●",[5]回答表!E336,"")),"")</f>
        <v/>
      </c>
      <c r="BK102" s="151"/>
      <c r="BL102" s="151"/>
      <c r="BM102" s="151"/>
      <c r="BN102" s="150" t="str">
        <f>IF([5]回答表!F18="水道事業",IF([5]回答表!X51="●",[5]回答表!E258,IF([5]回答表!AA51="●",[5]回答表!E337,"")),"")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IF([5]回答表!F18="水道事業",IF([5]回答表!AA51="●","●",""),"")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IF([5]回答表!F18="水道事業",IF([5]回答表!X51="●",[5]回答表!J213,IF([5]回答表!AA51="●",[5]回答表!J293,"")),"")</f>
        <v/>
      </c>
      <c r="V106" s="83"/>
      <c r="W106" s="83"/>
      <c r="X106" s="83"/>
      <c r="Y106" s="83"/>
      <c r="Z106" s="83"/>
      <c r="AA106" s="83"/>
      <c r="AB106" s="153"/>
      <c r="AC106" s="82" t="str">
        <f>IF([5]回答表!F18="水道事業",IF([5]回答表!X51="●",[5]回答表!J217,IF([5]回答表!AA51="●",[5]回答表!J297,"")),"")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IF([5]回答表!F18="水道事業",IF([5]回答表!X51="●",[5]回答表!E265,IF([5]回答表!AA51="●",[5]回答表!E344,"")),"")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IF([5]回答表!F18="水道事業",IF([5]回答表!X51="●",[5]回答表!B267,IF([5]回答表!AA51="●",[5]回答表!B346,"")),"")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IF([5]回答表!F18="水道事業",IF([5]回答表!AD51="●","●",""),"")</f>
        <v/>
      </c>
      <c r="O118" s="131"/>
      <c r="P118" s="131"/>
      <c r="Q118" s="132"/>
      <c r="R118" s="119"/>
      <c r="S118" s="119"/>
      <c r="T118" s="119"/>
      <c r="U118" s="133" t="str">
        <f>IF([5]回答表!F18="水道事業",IF([5]回答表!AD51="●",[5]回答表!B354,""),"")</f>
        <v/>
      </c>
      <c r="V118" s="134"/>
      <c r="W118" s="134"/>
      <c r="X118" s="134"/>
      <c r="Y118" s="134"/>
      <c r="Z118" s="134"/>
      <c r="AA118" s="134"/>
      <c r="AB118" s="134"/>
      <c r="AC118" s="134"/>
      <c r="AD118" s="134"/>
      <c r="AE118" s="134"/>
      <c r="AF118" s="134"/>
      <c r="AG118" s="134"/>
      <c r="AH118" s="134"/>
      <c r="AI118" s="134"/>
      <c r="AJ118" s="135"/>
      <c r="AK118" s="189"/>
      <c r="AL118" s="189"/>
      <c r="AM118" s="133" t="str">
        <f>IF([5]回答表!F18="水道事業",IF([5]回答表!AD51="●",[5]回答表!B360,""),"")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IF([5]回答表!F18="簡易水道事業",IF([5]回答表!X51="●",[5]回答表!B197,IF([5]回答表!AA51="●",[5]回答表!B275,"")),"")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IF([5]回答表!F18="簡易水道事業",IF([5]回答表!X51="●",[5]回答表!B256,IF([5]回答表!AA51="●",[5]回答表!B335,"")),"")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IF([5]回答表!F18="簡易水道事業",IF([5]回答表!X51="●","●",""),"")</f>
        <v/>
      </c>
      <c r="O132" s="131"/>
      <c r="P132" s="131"/>
      <c r="Q132" s="132"/>
      <c r="R132" s="119"/>
      <c r="S132" s="119"/>
      <c r="T132" s="119"/>
      <c r="U132" s="82" t="str">
        <f>IF([5]回答表!F18="簡易水道事業",IF([5]回答表!X51="●",[5]回答表!S224,IF([5]回答表!AA51="●",[5]回答表!S304,"")),"")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IF([5]回答表!F18="簡易水道事業",IF([5]回答表!X51="●",[5]回答表!E256,IF([5]回答表!AA51="●",[5]回答表!E335,"")),"")</f>
        <v/>
      </c>
      <c r="BG133" s="151"/>
      <c r="BH133" s="151"/>
      <c r="BI133" s="151"/>
      <c r="BJ133" s="150" t="str">
        <f>IF([5]回答表!F18="簡易水道事業",IF([5]回答表!X51="●",[5]回答表!E257,IF([5]回答表!AA51="●",[5]回答表!E336,"")),"")</f>
        <v/>
      </c>
      <c r="BK133" s="151"/>
      <c r="BL133" s="151"/>
      <c r="BM133" s="151"/>
      <c r="BN133" s="150" t="str">
        <f>IF([5]回答表!F18="簡易水道事業",IF([5]回答表!X51="●",[5]回答表!E258,IF([5]回答表!AA51="●",[5]回答表!E337,"")),"")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IF([5]回答表!F18="簡易水道事業",IF([5]回答表!X51="●",[5]回答表!S225,IF([5]回答表!AA51="●",[5]回答表!S305,"")),"")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IF([5]回答表!F18="簡易水道事業",IF([5]回答表!AA51="●","●",""),"")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IF([5]回答表!F18="簡易水道事業",IF([5]回答表!X51="●",[5]回答表!S226,IF([5]回答表!AA51="●",[5]回答表!S306,"")),"")</f>
        <v/>
      </c>
      <c r="V142" s="83"/>
      <c r="W142" s="83"/>
      <c r="X142" s="83"/>
      <c r="Y142" s="83"/>
      <c r="Z142" s="83"/>
      <c r="AA142" s="83"/>
      <c r="AB142" s="83"/>
      <c r="AC142" s="83"/>
      <c r="AD142" s="83"/>
      <c r="AE142" s="83"/>
      <c r="AF142" s="83"/>
      <c r="AG142" s="83"/>
      <c r="AH142" s="83"/>
      <c r="AI142" s="83"/>
      <c r="AJ142" s="153"/>
      <c r="AK142" s="68"/>
      <c r="AL142" s="68"/>
      <c r="AM142" s="231" t="str">
        <f>IF([5]回答表!F18="簡易水道事業",IF([5]回答表!X51="●",[5]回答表!Y228,IF([5]回答表!AA51="●",[5]回答表!Y308,"")),"")</f>
        <v/>
      </c>
      <c r="AN142" s="231"/>
      <c r="AO142" s="231"/>
      <c r="AP142" s="231"/>
      <c r="AQ142" s="231"/>
      <c r="AR142" s="231"/>
      <c r="AS142" s="231" t="str">
        <f>IF([5]回答表!F18="簡易水道事業",IF([5]回答表!X51="●",[5]回答表!Y229,IF([5]回答表!AA51="●",[5]回答表!Y309,"")),"")</f>
        <v/>
      </c>
      <c r="AT142" s="231"/>
      <c r="AU142" s="231"/>
      <c r="AV142" s="231"/>
      <c r="AW142" s="231"/>
      <c r="AX142" s="231"/>
      <c r="AY142" s="231" t="str">
        <f>IF([5]回答表!F18="簡易水道事業",IF([5]回答表!X51="●",[5]回答表!Y230,IF([5]回答表!AA51="●",[5]回答表!Y310,"")),"")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IF([5]回答表!F18="簡易水道事業",IF([5]回答表!X51="●",[5]回答表!E265,IF([5]回答表!AA51="●",[5]回答表!E344,"")),"")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IF([5]回答表!F18="簡易水道事業",IF([5]回答表!X51="●",[5]回答表!B267,IF([5]回答表!AA51="●",[5]回答表!B346,"")),"")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IF([5]回答表!F18="簡易水道事業",IF([5]回答表!AD51="●","●",""),"")</f>
        <v/>
      </c>
      <c r="O154" s="131"/>
      <c r="P154" s="131"/>
      <c r="Q154" s="132"/>
      <c r="R154" s="119"/>
      <c r="S154" s="119"/>
      <c r="T154" s="119"/>
      <c r="U154" s="133" t="str">
        <f>IF([5]回答表!F18="簡易水道事業",IF([5]回答表!AD51="●",[5]回答表!B354,""),"")</f>
        <v/>
      </c>
      <c r="V154" s="134"/>
      <c r="W154" s="134"/>
      <c r="X154" s="134"/>
      <c r="Y154" s="134"/>
      <c r="Z154" s="134"/>
      <c r="AA154" s="134"/>
      <c r="AB154" s="134"/>
      <c r="AC154" s="134"/>
      <c r="AD154" s="134"/>
      <c r="AE154" s="134"/>
      <c r="AF154" s="134"/>
      <c r="AG154" s="134"/>
      <c r="AH154" s="134"/>
      <c r="AI154" s="134"/>
      <c r="AJ154" s="135"/>
      <c r="AK154" s="189"/>
      <c r="AL154" s="189"/>
      <c r="AM154" s="133" t="str">
        <f>IF([5]回答表!F18="簡易水道事業",IF([5]回答表!AD51="●",[5]回答表!B360,""),"")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IF([5]回答表!F18="下水道事業",IF([5]回答表!X51="●","●",""),"")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IF([5]回答表!F18="下水道事業",IF([5]回答表!X51="●",[5]回答表!B197,IF([5]回答表!AA51="●",[5]回答表!B275,"")),"")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IF([5]回答表!F18="下水道事業",IF([5]回答表!X51="●",[5]回答表!B256,IF([5]回答表!AA51="●",[5]回答表!B335,"")),"")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IF([5]回答表!F18="下水道事業",IF([5]回答表!X51="●",[5]回答表!N234,IF([5]回答表!AA51="●",[5]回答表!N314,"")),"")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IF([5]回答表!F18="下水道事業",IF([5]回答表!X51="●",[5]回答表!E256,IF([5]回答表!AA51="●",[5]回答表!E335,"")),"")</f>
        <v/>
      </c>
      <c r="BG169" s="151"/>
      <c r="BH169" s="151"/>
      <c r="BI169" s="151"/>
      <c r="BJ169" s="150" t="str">
        <f>IF([5]回答表!F18="下水道事業",IF([5]回答表!X51="●",[5]回答表!E257,IF([5]回答表!AA51="●",[5]回答表!E336,"")),"")</f>
        <v/>
      </c>
      <c r="BK169" s="151"/>
      <c r="BL169" s="151"/>
      <c r="BM169" s="151"/>
      <c r="BN169" s="150" t="str">
        <f>IF([5]回答表!F18="下水道事業",IF([5]回答表!X51="●",[5]回答表!E258,IF([5]回答表!AA51="●",[5]回答表!E337,"")),"")</f>
        <v/>
      </c>
      <c r="BO169" s="151"/>
      <c r="BP169" s="151"/>
      <c r="BQ169" s="152"/>
      <c r="BR169" s="112"/>
      <c r="BX169" s="234" t="str">
        <f>IF([5]回答表!AQ21="下水道事業",IF([5]回答表!BI54="○",[5]回答表!AM200,IF([5]回答表!BL54="○",[5]回答表!AM278,"")),"")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IF([5]回答表!F18="下水道事業",IF([5]回答表!X51="●",[5]回答表!Y236,IF([5]回答表!AA51="●",[5]回答表!Y316,"")),"")</f>
        <v/>
      </c>
      <c r="V174" s="83"/>
      <c r="W174" s="83"/>
      <c r="X174" s="83"/>
      <c r="Y174" s="83"/>
      <c r="Z174" s="83"/>
      <c r="AA174" s="83"/>
      <c r="AB174" s="153"/>
      <c r="AC174" s="82" t="str">
        <f>IF([5]回答表!F18="下水道事業",IF([5]回答表!X51="●",[5]回答表!Y237,IF([5]回答表!AA51="●",[5]回答表!Y317,"")),"")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IF([5]回答表!F18="下水道事業",IF([5]回答表!X51="●",[5]回答表!Y239,IF([5]回答表!AA51="●",[5]回答表!Y319,"")),"")</f>
        <v/>
      </c>
      <c r="V180" s="83"/>
      <c r="W180" s="83"/>
      <c r="X180" s="83"/>
      <c r="Y180" s="83"/>
      <c r="Z180" s="83"/>
      <c r="AA180" s="83"/>
      <c r="AB180" s="153"/>
      <c r="AC180" s="82" t="str">
        <f>IF([5]回答表!F18="下水道事業",IF([5]回答表!X51="●",[5]回答表!Y240,IF([5]回答表!AA51="●",[5]回答表!Y320,"")),"")</f>
        <v/>
      </c>
      <c r="AD180" s="83"/>
      <c r="AE180" s="83"/>
      <c r="AF180" s="83"/>
      <c r="AG180" s="83"/>
      <c r="AH180" s="83"/>
      <c r="AI180" s="83"/>
      <c r="AJ180" s="153"/>
      <c r="AK180" s="82" t="str">
        <f>IF([5]回答表!F18="下水道事業",IF([5]回答表!X51="●",[5]回答表!Y241,IF([5]回答表!AA51="●",[5]回答表!Y321,"")),"")</f>
        <v/>
      </c>
      <c r="AL180" s="83"/>
      <c r="AM180" s="83"/>
      <c r="AN180" s="83"/>
      <c r="AO180" s="83"/>
      <c r="AP180" s="83"/>
      <c r="AQ180" s="83"/>
      <c r="AR180" s="153"/>
      <c r="AS180" s="82" t="str">
        <f>IF([5]回答表!F18="下水道事業",IF([5]回答表!X51="●",[5]回答表!Y242,IF([5]回答表!AA51="●",[5]回答表!Y322,"")),"")</f>
        <v/>
      </c>
      <c r="AT180" s="83"/>
      <c r="AU180" s="83"/>
      <c r="AV180" s="83"/>
      <c r="AW180" s="83"/>
      <c r="AX180" s="83"/>
      <c r="AY180" s="83"/>
      <c r="AZ180" s="153"/>
      <c r="BA180" s="82" t="str">
        <f>IF([5]回答表!F18="下水道事業",IF([5]回答表!X51="●",[5]回答表!Y243,IF([5]回答表!AA51="●",[5]回答表!Y323,"")),"")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IF([5]回答表!F18="下水道事業",IF([5]回答表!AA51="●","●",""),"")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IF([5]回答表!F18="下水道事業",IF([5]回答表!X51="●",[5]回答表!N248,IF([5]回答表!AA51="●",[5]回答表!N328,"")),"")</f>
        <v/>
      </c>
      <c r="V186" s="83"/>
      <c r="W186" s="83"/>
      <c r="X186" s="83"/>
      <c r="Y186" s="83"/>
      <c r="Z186" s="83"/>
      <c r="AA186" s="83"/>
      <c r="AB186" s="153"/>
      <c r="AC186" s="82" t="str">
        <f>IF([5]回答表!F18="下水道事業",IF([5]回答表!X51="●",[5]回答表!N249,IF([5]回答表!AA51="●",[5]回答表!N329,"")),"")</f>
        <v/>
      </c>
      <c r="AD186" s="83"/>
      <c r="AE186" s="83"/>
      <c r="AF186" s="83"/>
      <c r="AG186" s="83"/>
      <c r="AH186" s="83"/>
      <c r="AI186" s="83"/>
      <c r="AJ186" s="153"/>
      <c r="AK186" s="82" t="str">
        <f>IF([5]回答表!F18="下水道事業",IF([5]回答表!X51="●",[5]回答表!N250,IF([5]回答表!AA51="●",[5]回答表!N330,"")),"")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IF([5]回答表!F18="下水道事業",IF([5]回答表!X51="●",[5]回答表!E265,IF([5]回答表!AA51="●",[5]回答表!E344,"")),"")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IF([5]回答表!F18="下水道事業",IF([5]回答表!X51="●",[5]回答表!B267,IF([5]回答表!AA51="●",[5]回答表!B346,"")),"")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IF([5]回答表!F18="下水道事業",IF([5]回答表!AD51="●","●",""),"")</f>
        <v/>
      </c>
      <c r="O198" s="131"/>
      <c r="P198" s="131"/>
      <c r="Q198" s="132"/>
      <c r="R198" s="119"/>
      <c r="S198" s="119"/>
      <c r="T198" s="119"/>
      <c r="U198" s="133" t="str">
        <f>IF([5]回答表!F18="下水道事業",IF([5]回答表!AD51="●",[5]回答表!B354,""),"")</f>
        <v/>
      </c>
      <c r="V198" s="134"/>
      <c r="W198" s="134"/>
      <c r="X198" s="134"/>
      <c r="Y198" s="134"/>
      <c r="Z198" s="134"/>
      <c r="AA198" s="134"/>
      <c r="AB198" s="134"/>
      <c r="AC198" s="134"/>
      <c r="AD198" s="134"/>
      <c r="AE198" s="134"/>
      <c r="AF198" s="134"/>
      <c r="AG198" s="134"/>
      <c r="AH198" s="134"/>
      <c r="AI198" s="134"/>
      <c r="AJ198" s="135"/>
      <c r="AK198" s="189"/>
      <c r="AL198" s="189"/>
      <c r="AM198" s="133" t="str">
        <f>IF([5]回答表!F18="下水道事業",IF([5]回答表!AD51="●",[5]回答表!B360,""),"")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IF([5]回答表!BD18="●",IF([5]回答表!X51="●","●",""),"")</f>
        <v/>
      </c>
      <c r="O210" s="131"/>
      <c r="P210" s="131"/>
      <c r="Q210" s="132"/>
      <c r="R210" s="119"/>
      <c r="S210" s="119"/>
      <c r="T210" s="119"/>
      <c r="U210" s="133" t="str">
        <f>IF([5]回答表!BD18="●",IF([5]回答表!X51="●",[5]回答表!B197,IF([5]回答表!AA51="●",[5]回答表!B275,"")),"")</f>
        <v/>
      </c>
      <c r="V210" s="134"/>
      <c r="W210" s="134"/>
      <c r="X210" s="134"/>
      <c r="Y210" s="134"/>
      <c r="Z210" s="134"/>
      <c r="AA210" s="134"/>
      <c r="AB210" s="134"/>
      <c r="AC210" s="134"/>
      <c r="AD210" s="134"/>
      <c r="AE210" s="134"/>
      <c r="AF210" s="134"/>
      <c r="AG210" s="134"/>
      <c r="AH210" s="134"/>
      <c r="AI210" s="134"/>
      <c r="AJ210" s="135"/>
      <c r="AK210" s="136"/>
      <c r="AL210" s="136"/>
      <c r="AM210" s="138" t="str">
        <f>IF([5]回答表!BD18="●",IF([5]回答表!X51="●",[5]回答表!B256,IF([5]回答表!AA51="●",[5]回答表!B335,"")),"")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IF([5]回答表!BD18="●",IF([5]回答表!X51="●",[5]回答表!E256,IF([5]回答表!AA51="●",[5]回答表!E335,"")),"")</f>
        <v/>
      </c>
      <c r="AN213" s="151"/>
      <c r="AO213" s="151"/>
      <c r="AP213" s="151"/>
      <c r="AQ213" s="150" t="str">
        <f>IF([5]回答表!BD18="●",IF([5]回答表!X51="●",[5]回答表!E257,IF([5]回答表!AA51="●",[5]回答表!E336,"")),"")</f>
        <v/>
      </c>
      <c r="AR213" s="151"/>
      <c r="AS213" s="151"/>
      <c r="AT213" s="151"/>
      <c r="AU213" s="150" t="str">
        <f>IF([5]回答表!BD18="●",IF([5]回答表!X51="●",[5]回答表!E258,IF([5]回答表!AA51="●",[5]回答表!E337,"")),"")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IF([5]回答表!BD18="●",IF([5]回答表!AA51="●","●",""),"")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IF([5]回答表!BD18="●",IF([5]回答表!X51="●",[5]回答表!E265,IF([5]回答表!AA51="●",[5]回答表!E344,"")),"")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IF([5]回答表!BD18="●",IF([5]回答表!X51="●",[5]回答表!B267,IF([5]回答表!AA51="●",[5]回答表!B346,"")),"")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IF([5]回答表!BD18="●",IF([5]回答表!AD51="●","●",""),"")</f>
        <v/>
      </c>
      <c r="O229" s="131"/>
      <c r="P229" s="131"/>
      <c r="Q229" s="132"/>
      <c r="R229" s="119"/>
      <c r="S229" s="119"/>
      <c r="T229" s="119"/>
      <c r="U229" s="133" t="str">
        <f>IF([5]回答表!BD18="●",IF([5]回答表!AD51="●",[5]回答表!B354,""),"")</f>
        <v/>
      </c>
      <c r="V229" s="134"/>
      <c r="W229" s="134"/>
      <c r="X229" s="134"/>
      <c r="Y229" s="134"/>
      <c r="Z229" s="134"/>
      <c r="AA229" s="134"/>
      <c r="AB229" s="134"/>
      <c r="AC229" s="134"/>
      <c r="AD229" s="134"/>
      <c r="AE229" s="134"/>
      <c r="AF229" s="134"/>
      <c r="AG229" s="134"/>
      <c r="AH229" s="134"/>
      <c r="AI229" s="134"/>
      <c r="AJ229" s="135"/>
      <c r="AK229" s="249"/>
      <c r="AL229" s="249"/>
      <c r="AM229" s="133" t="str">
        <f>IF([5]回答表!BD18="●",IF([5]回答表!AD51="●",[5]回答表!B360,""),"")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IF([5]回答表!X52="●","●","")</f>
        <v/>
      </c>
      <c r="O241" s="131"/>
      <c r="P241" s="131"/>
      <c r="Q241" s="132"/>
      <c r="R241" s="119"/>
      <c r="S241" s="119"/>
      <c r="T241" s="119"/>
      <c r="U241" s="133" t="str">
        <f>IF([5]回答表!X52="●",[5]回答表!B371,IF([5]回答表!AA52="●",[5]回答表!B396,""))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IF([5]回答表!X52="●",[5]回答表!U377,IF([5]回答表!AA52="●",[5]回答表!U402,""))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IF([5]回答表!X52="●",[5]回答表!G377,IF([5]回答表!AA52="●",[5]回答表!G402,""))</f>
        <v/>
      </c>
      <c r="AN244" s="83"/>
      <c r="AO244" s="83"/>
      <c r="AP244" s="83"/>
      <c r="AQ244" s="83"/>
      <c r="AR244" s="83"/>
      <c r="AS244" s="83"/>
      <c r="AT244" s="153"/>
      <c r="AU244" s="82" t="str">
        <f>IF([5]回答表!X52="●",[5]回答表!G378,IF([5]回答表!AA52="●",[5]回答表!G403,""))</f>
        <v/>
      </c>
      <c r="AV244" s="83"/>
      <c r="AW244" s="83"/>
      <c r="AX244" s="83"/>
      <c r="AY244" s="83"/>
      <c r="AZ244" s="83"/>
      <c r="BA244" s="83"/>
      <c r="BB244" s="153"/>
      <c r="BC244" s="120"/>
      <c r="BD244" s="109"/>
      <c r="BE244" s="109"/>
      <c r="BF244" s="150" t="str">
        <f>IF([5]回答表!X52="●",[5]回答表!X377,IF([5]回答表!AA52="●",[5]回答表!X402,""))</f>
        <v/>
      </c>
      <c r="BG244" s="151"/>
      <c r="BH244" s="151"/>
      <c r="BI244" s="151"/>
      <c r="BJ244" s="150" t="str">
        <f>IF([5]回答表!X52="●",[5]回答表!X378,IF([5]回答表!AA52="●",[5]回答表!X403,""))</f>
        <v/>
      </c>
      <c r="BK244" s="151"/>
      <c r="BL244" s="151"/>
      <c r="BM244" s="152"/>
      <c r="BN244" s="150" t="str">
        <f>IF([5]回答表!X52="●",[5]回答表!X379,IF([5]回答表!AA52="●",[5]回答表!X404,""))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IF([5]回答表!X52="●",[5]回答表!E386,IF([5]回答表!AA52="●",[5]回答表!E407,""))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IF([5]回答表!X52="●",[5]回答表!B388,IF([5]回答表!AA52="●",[5]回答表!B409,""))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IF([5]回答表!AD52="●","●","")</f>
        <v/>
      </c>
      <c r="O260" s="131"/>
      <c r="P260" s="131"/>
      <c r="Q260" s="132"/>
      <c r="R260" s="119"/>
      <c r="S260" s="119"/>
      <c r="T260" s="119"/>
      <c r="U260" s="133" t="str">
        <f>IF([5]回答表!AD52="●",[5]回答表!B417,"")</f>
        <v/>
      </c>
      <c r="V260" s="134"/>
      <c r="W260" s="134"/>
      <c r="X260" s="134"/>
      <c r="Y260" s="134"/>
      <c r="Z260" s="134"/>
      <c r="AA260" s="134"/>
      <c r="AB260" s="134"/>
      <c r="AC260" s="134"/>
      <c r="AD260" s="134"/>
      <c r="AE260" s="134"/>
      <c r="AF260" s="134"/>
      <c r="AG260" s="134"/>
      <c r="AH260" s="134"/>
      <c r="AI260" s="134"/>
      <c r="AJ260" s="135"/>
      <c r="AK260" s="249"/>
      <c r="AL260" s="249"/>
      <c r="AM260" s="133" t="str">
        <f>IF([5]回答表!AD52="●",[5]回答表!B423,"")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IF([5]回答表!X53="●","●","")</f>
        <v/>
      </c>
      <c r="O272" s="131"/>
      <c r="P272" s="131"/>
      <c r="Q272" s="132"/>
      <c r="R272" s="119"/>
      <c r="S272" s="119"/>
      <c r="T272" s="119"/>
      <c r="U272" s="133" t="str">
        <f>IF([5]回答表!X53="●",[5]回答表!B434,IF([5]回答表!AA53="●",[5]回答表!B465,""))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IF([5]回答表!X53="●",[5]回答表!B440,"")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IF([5]回答表!X53="●",[5]回答表!B446,IF([5]回答表!AA53="●",[5]回答表!B471,""))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IF([5]回答表!X53="●",[5]回答表!E446,IF([5]回答表!AA53="●",[5]回答表!E471,""))</f>
        <v/>
      </c>
      <c r="BG275" s="151"/>
      <c r="BH275" s="151"/>
      <c r="BI275" s="151"/>
      <c r="BJ275" s="150" t="str">
        <f>IF([5]回答表!X53="●",[5]回答表!E447,IF([5]回答表!AA53="●",[5]回答表!E472,""))</f>
        <v/>
      </c>
      <c r="BK275" s="151"/>
      <c r="BL275" s="151"/>
      <c r="BM275" s="152"/>
      <c r="BN275" s="150" t="str">
        <f>IF([5]回答表!X53="●",[5]回答表!E448,IF([5]回答表!AA53="●",[5]回答表!E473,""))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IF([5]回答表!X53="●",[5]回答表!E455,IF([5]回答表!AA53="●",[5]回答表!E476,""))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IF([5]回答表!X53="●",[5]回答表!B457,IF([5]回答表!AA53="●",[5]回答表!B478,""))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IF([5]回答表!AD53="●","●","")</f>
        <v/>
      </c>
      <c r="O291" s="131"/>
      <c r="P291" s="131"/>
      <c r="Q291" s="132"/>
      <c r="R291" s="119"/>
      <c r="S291" s="119"/>
      <c r="T291" s="119"/>
      <c r="U291" s="133" t="str">
        <f>IF([5]回答表!AD53="●",[5]回答表!B486,"")</f>
        <v/>
      </c>
      <c r="V291" s="134"/>
      <c r="W291" s="134"/>
      <c r="X291" s="134"/>
      <c r="Y291" s="134"/>
      <c r="Z291" s="134"/>
      <c r="AA291" s="134"/>
      <c r="AB291" s="134"/>
      <c r="AC291" s="134"/>
      <c r="AD291" s="134"/>
      <c r="AE291" s="134"/>
      <c r="AF291" s="134"/>
      <c r="AG291" s="134"/>
      <c r="AH291" s="134"/>
      <c r="AI291" s="134"/>
      <c r="AJ291" s="135"/>
      <c r="AK291" s="249"/>
      <c r="AL291" s="249"/>
      <c r="AM291" s="133" t="str">
        <f>IF([5]回答表!AD53="●",[5]回答表!B492,"")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IF([5]回答表!X54="●","●","")</f>
        <v/>
      </c>
      <c r="O303" s="131"/>
      <c r="P303" s="131"/>
      <c r="Q303" s="132"/>
      <c r="R303" s="119"/>
      <c r="S303" s="119"/>
      <c r="T303" s="119"/>
      <c r="U303" s="133" t="str">
        <f>IF([5]回答表!X54="●",[5]回答表!B503,IF([5]回答表!AA54="●",[5]回答表!B526,""))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IF([5]回答表!X54="●",[5]回答表!BC510,IF([5]回答表!AA54="●",[5]回答表!BC533,""))</f>
        <v/>
      </c>
      <c r="AR303" s="271"/>
      <c r="AS303" s="271"/>
      <c r="AT303" s="271"/>
      <c r="AU303" s="272" t="s">
        <v>74</v>
      </c>
      <c r="AV303" s="273"/>
      <c r="AW303" s="273"/>
      <c r="AX303" s="274"/>
      <c r="AY303" s="271" t="str">
        <f>IF([5]回答表!X54="●",[5]回答表!BC515,IF([5]回答表!AA54="●",[5]回答表!BC538,""))</f>
        <v/>
      </c>
      <c r="AZ303" s="271"/>
      <c r="BA303" s="271"/>
      <c r="BB303" s="271"/>
      <c r="BC303" s="120"/>
      <c r="BD303" s="109"/>
      <c r="BE303" s="109"/>
      <c r="BF303" s="138" t="str">
        <f>IF([5]回答表!X54="●",[5]回答表!S509,IF([5]回答表!AA54="●",[5]回答表!S532,""))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IF([5]回答表!X54="●",[5]回答表!BC511,IF([5]回答表!AA54="●",[5]回答表!BC534,""))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IF([5]回答表!X54="●",[5]回答表!V509,IF([5]回答表!AA54="●",[5]回答表!V532,""))</f>
        <v/>
      </c>
      <c r="BG306" s="151"/>
      <c r="BH306" s="151"/>
      <c r="BI306" s="151"/>
      <c r="BJ306" s="150" t="str">
        <f>IF([5]回答表!X54="●",[5]回答表!V510,IF([5]回答表!AA54="●",[5]回答表!V533,""))</f>
        <v/>
      </c>
      <c r="BK306" s="151"/>
      <c r="BL306" s="151"/>
      <c r="BM306" s="152"/>
      <c r="BN306" s="150" t="str">
        <f>IF([5]回答表!X54="●",[5]回答表!V511,IF([5]回答表!AA54="●",[5]回答表!V534,""))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IF([5]回答表!X54="●",[5]回答表!BC512,IF([5]回答表!AA54="●",[5]回答表!BC535,""))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IF([5]回答表!X54="●",[5]回答表!BC516,IF([5]回答表!AA54="●",[5]回答表!BC539,""))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IF([5]回答表!X54="●",[5]回答表!BC513,IF([5]回答表!AA54="●",[5]回答表!BC536,""))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IF([5]回答表!X54="●",[5]回答表!BC514,IF([5]回答表!AA54="●",[5]回答表!BC537,""))</f>
        <v/>
      </c>
      <c r="AR311" s="271"/>
      <c r="AS311" s="271"/>
      <c r="AT311" s="271"/>
      <c r="AU311" s="222" t="s">
        <v>80</v>
      </c>
      <c r="AV311" s="223"/>
      <c r="AW311" s="223"/>
      <c r="AX311" s="224"/>
      <c r="AY311" s="281" t="str">
        <f>IF([5]回答表!X54="●",[5]回答表!BC517,IF([5]回答表!AA54="●",[5]回答表!BC540,""))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IF([5]回答表!X54="●",[5]回答表!E516,IF([5]回答表!AA54="●",[5]回答表!E538,""))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IF([5]回答表!X54="●",[5]回答表!B518,IF([5]回答表!AA54="●",[5]回答表!B540,""))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IF([5]回答表!AD54="●","●","")</f>
        <v/>
      </c>
      <c r="O322" s="131"/>
      <c r="P322" s="131"/>
      <c r="Q322" s="132"/>
      <c r="R322" s="119"/>
      <c r="S322" s="119"/>
      <c r="T322" s="119"/>
      <c r="U322" s="133" t="str">
        <f>IF([5]回答表!AD54="●",[5]回答表!B548,"")</f>
        <v/>
      </c>
      <c r="V322" s="134"/>
      <c r="W322" s="134"/>
      <c r="X322" s="134"/>
      <c r="Y322" s="134"/>
      <c r="Z322" s="134"/>
      <c r="AA322" s="134"/>
      <c r="AB322" s="134"/>
      <c r="AC322" s="134"/>
      <c r="AD322" s="134"/>
      <c r="AE322" s="134"/>
      <c r="AF322" s="134"/>
      <c r="AG322" s="134"/>
      <c r="AH322" s="134"/>
      <c r="AI322" s="134"/>
      <c r="AJ322" s="135"/>
      <c r="AK322" s="189"/>
      <c r="AL322" s="189"/>
      <c r="AM322" s="133" t="str">
        <f>IF([5]回答表!AD54="●",[5]回答表!B554,"")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IF([5]回答表!X55="●","●","")</f>
        <v/>
      </c>
      <c r="O333" s="131"/>
      <c r="P333" s="131"/>
      <c r="Q333" s="132"/>
      <c r="R333" s="119"/>
      <c r="S333" s="119"/>
      <c r="T333" s="119"/>
      <c r="U333" s="133" t="str">
        <f>IF([5]回答表!X55="●",[5]回答表!B565,IF([5]回答表!AA55="●",[5]回答表!B590,""))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IF([5]回答表!X55="●",[5]回答表!B575,IF([5]回答表!AA55="●",[5]回答表!B600,""))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IF([5]回答表!X55="●",[5]回答表!G571,IF([5]回答表!AA55="●",[5]回答表!G596,""))</f>
        <v/>
      </c>
      <c r="AN335" s="83"/>
      <c r="AO335" s="83"/>
      <c r="AP335" s="83"/>
      <c r="AQ335" s="83"/>
      <c r="AR335" s="83"/>
      <c r="AS335" s="83"/>
      <c r="AT335" s="153"/>
      <c r="AU335" s="82" t="str">
        <f>IF([5]回答表!X55="●",[5]回答表!G572,IF([5]回答表!AA55="●",[5]回答表!G597,""))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IF([5]回答表!X55="●",[5]回答表!E575,IF([5]回答表!AA55="●",[5]回答表!E600,""))</f>
        <v/>
      </c>
      <c r="BG336" s="151"/>
      <c r="BH336" s="151"/>
      <c r="BI336" s="151"/>
      <c r="BJ336" s="150" t="str">
        <f>IF([5]回答表!X55="●",[5]回答表!E576,IF([5]回答表!AA55="●",[5]回答表!E601,""))</f>
        <v/>
      </c>
      <c r="BK336" s="151"/>
      <c r="BL336" s="151"/>
      <c r="BM336" s="152"/>
      <c r="BN336" s="150" t="str">
        <f>IF([5]回答表!X55="●",[5]回答表!E577,IF([5]回答表!AA55="●",[5]回答表!E602,""))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IF([5]回答表!X55="●",[5]回答表!E580,IF([5]回答表!AA55="●",[5]回答表!E605,""))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IF([5]回答表!X55="●",[5]回答表!B582,IF([5]回答表!AA55="●",[5]回答表!B607,""))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IF([5]回答表!AD55="●","●","")</f>
        <v/>
      </c>
      <c r="O352" s="131"/>
      <c r="P352" s="131"/>
      <c r="Q352" s="132"/>
      <c r="R352" s="119"/>
      <c r="S352" s="119"/>
      <c r="T352" s="119"/>
      <c r="U352" s="133" t="str">
        <f>IF([5]回答表!AD55="●",[5]回答表!B615,"")</f>
        <v/>
      </c>
      <c r="V352" s="134"/>
      <c r="W352" s="134"/>
      <c r="X352" s="134"/>
      <c r="Y352" s="134"/>
      <c r="Z352" s="134"/>
      <c r="AA352" s="134"/>
      <c r="AB352" s="134"/>
      <c r="AC352" s="134"/>
      <c r="AD352" s="134"/>
      <c r="AE352" s="134"/>
      <c r="AF352" s="134"/>
      <c r="AG352" s="134"/>
      <c r="AH352" s="134"/>
      <c r="AI352" s="134"/>
      <c r="AJ352" s="135"/>
      <c r="AK352" s="136"/>
      <c r="AL352" s="136"/>
      <c r="AM352" s="133" t="str">
        <f>IF([5]回答表!AD55="●",[5]回答表!B621,"")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IF([5]回答表!R56="●",[5]回答表!B634,"")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27D7-B216-431D-9858-BCB798C61991}">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IF(COUNTIF([6]回答表!K16,"*")&gt;0,[6]回答表!K16,"")</f>
        <v>大館市</v>
      </c>
      <c r="D11" s="8"/>
      <c r="E11" s="8"/>
      <c r="F11" s="8"/>
      <c r="G11" s="8"/>
      <c r="H11" s="8"/>
      <c r="I11" s="8"/>
      <c r="J11" s="8"/>
      <c r="K11" s="8"/>
      <c r="L11" s="8"/>
      <c r="M11" s="8"/>
      <c r="N11" s="8"/>
      <c r="O11" s="8"/>
      <c r="P11" s="8"/>
      <c r="Q11" s="8"/>
      <c r="R11" s="8"/>
      <c r="S11" s="8"/>
      <c r="T11" s="8"/>
      <c r="U11" s="22" t="str">
        <f>IF(COUNTIF([6]回答表!F18,"*")&gt;0,[6]回答表!F18,"")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IF(COUNTIF([6]回答表!W18,"*")&gt;0,[6]回答表!W18,"")</f>
        <v>老人短期入所施設</v>
      </c>
      <c r="AP11" s="10"/>
      <c r="AQ11" s="10"/>
      <c r="AR11" s="10"/>
      <c r="AS11" s="10"/>
      <c r="AT11" s="10"/>
      <c r="AU11" s="10"/>
      <c r="AV11" s="10"/>
      <c r="AW11" s="10"/>
      <c r="AX11" s="10"/>
      <c r="AY11" s="10"/>
      <c r="AZ11" s="10"/>
      <c r="BA11" s="10"/>
      <c r="BB11" s="10"/>
      <c r="BC11" s="10"/>
      <c r="BD11" s="10"/>
      <c r="BE11" s="10"/>
      <c r="BF11" s="11"/>
      <c r="BG11" s="21" t="str">
        <f>IF(COUNTIF([6]回答表!F20,"*")&gt;0,[6]回答表!F20,"")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IF([6]回答表!R49="●","●","")</f>
        <v/>
      </c>
      <c r="E24" s="80"/>
      <c r="F24" s="80"/>
      <c r="G24" s="80"/>
      <c r="H24" s="80"/>
      <c r="I24" s="80"/>
      <c r="J24" s="81"/>
      <c r="K24" s="79" t="str">
        <f>IF([6]回答表!R50="●","●","")</f>
        <v>●</v>
      </c>
      <c r="L24" s="80"/>
      <c r="M24" s="80"/>
      <c r="N24" s="80"/>
      <c r="O24" s="80"/>
      <c r="P24" s="80"/>
      <c r="Q24" s="81"/>
      <c r="R24" s="79" t="str">
        <f>IF([6]回答表!R51="●","●","")</f>
        <v/>
      </c>
      <c r="S24" s="80"/>
      <c r="T24" s="80"/>
      <c r="U24" s="80"/>
      <c r="V24" s="80"/>
      <c r="W24" s="80"/>
      <c r="X24" s="81"/>
      <c r="Y24" s="79" t="str">
        <f>IF([6]回答表!R52="●","●","")</f>
        <v>●</v>
      </c>
      <c r="Z24" s="80"/>
      <c r="AA24" s="80"/>
      <c r="AB24" s="80"/>
      <c r="AC24" s="80"/>
      <c r="AD24" s="80"/>
      <c r="AE24" s="81"/>
      <c r="AF24" s="79" t="str">
        <f>IF([6]回答表!R53="●","●","")</f>
        <v/>
      </c>
      <c r="AG24" s="80"/>
      <c r="AH24" s="80"/>
      <c r="AI24" s="80"/>
      <c r="AJ24" s="80"/>
      <c r="AK24" s="80"/>
      <c r="AL24" s="81"/>
      <c r="AM24" s="79" t="str">
        <f>IF([6]回答表!R54="●","●","")</f>
        <v/>
      </c>
      <c r="AN24" s="80"/>
      <c r="AO24" s="80"/>
      <c r="AP24" s="80"/>
      <c r="AQ24" s="80"/>
      <c r="AR24" s="80"/>
      <c r="AS24" s="81"/>
      <c r="AT24" s="79" t="str">
        <f>IF([6]回答表!R55="●","●","")</f>
        <v/>
      </c>
      <c r="AU24" s="80"/>
      <c r="AV24" s="80"/>
      <c r="AW24" s="80"/>
      <c r="AX24" s="80"/>
      <c r="AY24" s="80"/>
      <c r="AZ24" s="81"/>
      <c r="BA24" s="68"/>
      <c r="BB24" s="82" t="str">
        <f>IF([6]回答表!R56="●","●","")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IF([6]回答表!X49="●","●","")</f>
        <v/>
      </c>
      <c r="O36" s="131"/>
      <c r="P36" s="131"/>
      <c r="Q36" s="132"/>
      <c r="R36" s="119"/>
      <c r="S36" s="119"/>
      <c r="T36" s="119"/>
      <c r="U36" s="133" t="str">
        <f>IF([6]回答表!X49="●",[6]回答表!B67,IF([6]回答表!AA49="●",[6]回答表!B95,""))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IF([6]回答表!X49="●",[6]回答表!S73,IF([6]回答表!AA49="●",[6]回答表!S101,""))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IF([6]回答表!X49="●",[6]回答表!G73,IF([6]回答表!AA49="●",[6]回答表!G101,""))</f>
        <v/>
      </c>
      <c r="AN38" s="83"/>
      <c r="AO38" s="83"/>
      <c r="AP38" s="83"/>
      <c r="AQ38" s="83"/>
      <c r="AR38" s="83"/>
      <c r="AS38" s="83"/>
      <c r="AT38" s="153"/>
      <c r="AU38" s="82" t="str">
        <f>IF([6]回答表!X49="●",[6]回答表!G74,IF([6]回答表!AA49="●",[6]回答表!G102,""))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IF([6]回答表!X49="●",[6]回答表!V73,IF([6]回答表!AA49="●",[6]回答表!V101,""))</f>
        <v/>
      </c>
      <c r="BG39" s="16"/>
      <c r="BH39" s="16"/>
      <c r="BI39" s="17"/>
      <c r="BJ39" s="150" t="str">
        <f>IF([6]回答表!X49="●",[6]回答表!V74,IF([6]回答表!AA49="●",[6]回答表!V102,""))</f>
        <v/>
      </c>
      <c r="BK39" s="16"/>
      <c r="BL39" s="16"/>
      <c r="BM39" s="17"/>
      <c r="BN39" s="150" t="str">
        <f>IF([6]回答表!X49="●",[6]回答表!V75,IF([6]回答表!AA49="●",[6]回答表!V103,""))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IF([6]回答表!X49="●",[6]回答表!O79,IF([6]回答表!AA49="●",[6]回答表!O107,""))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IF([6]回答表!X49="●",[6]回答表!O80,IF([6]回答表!AA49="●",[6]回答表!O108,""))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IF([6]回答表!X49="●",[6]回答表!O81,IF([6]回答表!AA49="●",[6]回答表!O109,""))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IF([6]回答表!X49="●",[6]回答表!O82,IF([6]回答表!AA49="●",[6]回答表!O110,""))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IF([6]回答表!X49="●",[6]回答表!AG79,IF([6]回答表!AA49="●",[6]回答表!AG107,""))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IF([6]回答表!X49="●",[6]回答表!AG80,IF([6]回答表!AA49="●",[6]回答表!AG108,""))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IF([6]回答表!X49="●",[6]回答表!E85,IF([6]回答表!AA49="●",[6]回答表!E113,""))</f>
        <v/>
      </c>
      <c r="V50" s="182"/>
      <c r="W50" s="182"/>
      <c r="X50" s="182"/>
      <c r="Y50" s="182"/>
      <c r="Z50" s="182"/>
      <c r="AA50" s="182"/>
      <c r="AB50" s="182"/>
      <c r="AC50" s="182"/>
      <c r="AD50" s="182"/>
      <c r="AE50" s="183" t="s">
        <v>33</v>
      </c>
      <c r="AF50" s="183"/>
      <c r="AG50" s="183"/>
      <c r="AH50" s="183"/>
      <c r="AI50" s="183"/>
      <c r="AJ50" s="184"/>
      <c r="AK50" s="136"/>
      <c r="AL50" s="136"/>
      <c r="AM50" s="133" t="str">
        <f>IF([6]回答表!X49="●",[6]回答表!B87,IF([6]回答表!AA49="●",[6]回答表!B115,""))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IF([6]回答表!AD49="●","●","")</f>
        <v/>
      </c>
      <c r="O57" s="131"/>
      <c r="P57" s="131"/>
      <c r="Q57" s="132"/>
      <c r="R57" s="119"/>
      <c r="S57" s="119"/>
      <c r="T57" s="119"/>
      <c r="U57" s="133" t="str">
        <f>IF([6]回答表!AD49="●",[6]回答表!B123,"")</f>
        <v/>
      </c>
      <c r="V57" s="134"/>
      <c r="W57" s="134"/>
      <c r="X57" s="134"/>
      <c r="Y57" s="134"/>
      <c r="Z57" s="134"/>
      <c r="AA57" s="134"/>
      <c r="AB57" s="134"/>
      <c r="AC57" s="134"/>
      <c r="AD57" s="134"/>
      <c r="AE57" s="134"/>
      <c r="AF57" s="134"/>
      <c r="AG57" s="134"/>
      <c r="AH57" s="134"/>
      <c r="AI57" s="134"/>
      <c r="AJ57" s="135"/>
      <c r="AK57" s="189"/>
      <c r="AL57" s="189"/>
      <c r="AM57" s="133" t="str">
        <f>IF([6]回答表!AD49="●",[6]回答表!B128,"")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IF([6]回答表!X50="●","●","")</f>
        <v/>
      </c>
      <c r="O68" s="131"/>
      <c r="P68" s="131"/>
      <c r="Q68" s="132"/>
      <c r="R68" s="119"/>
      <c r="S68" s="119"/>
      <c r="T68" s="119"/>
      <c r="U68" s="133" t="str">
        <f>IF([6]回答表!X50="●",[6]回答表!B138,IF([6]回答表!AA50="●",[6]回答表!B159,""))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IF([6]回答表!X50="●",[6]回答表!S144,IF([6]回答表!AA50="●",[6]回答表!S165,""))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IF([6]回答表!X50="●",[6]回答表!J144,IF([6]回答表!AA50="●",[6]回答表!J165,""))</f>
        <v/>
      </c>
      <c r="AN71" s="83"/>
      <c r="AO71" s="83"/>
      <c r="AP71" s="83"/>
      <c r="AQ71" s="83"/>
      <c r="AR71" s="83"/>
      <c r="AS71" s="83"/>
      <c r="AT71" s="153"/>
      <c r="AU71" s="82" t="str">
        <f>IF([6]回答表!X50="●",[6]回答表!J145,IF([6]回答表!AA50="●",[6]回答表!J166,""))</f>
        <v/>
      </c>
      <c r="AV71" s="83"/>
      <c r="AW71" s="83"/>
      <c r="AX71" s="83"/>
      <c r="AY71" s="83"/>
      <c r="AZ71" s="83"/>
      <c r="BA71" s="83"/>
      <c r="BB71" s="153"/>
      <c r="BC71" s="120"/>
      <c r="BD71" s="109"/>
      <c r="BE71" s="109"/>
      <c r="BF71" s="150" t="str">
        <f>IF([6]回答表!X50="●",[6]回答表!V144,IF([6]回答表!AA50="●",[6]回答表!V165,""))</f>
        <v/>
      </c>
      <c r="BG71" s="151"/>
      <c r="BH71" s="151"/>
      <c r="BI71" s="151"/>
      <c r="BJ71" s="150" t="str">
        <f>IF([6]回答表!X50="●",[6]回答表!V145,IF([6]回答表!AA50="●",[6]回答表!V166,""))</f>
        <v/>
      </c>
      <c r="BK71" s="151"/>
      <c r="BL71" s="151"/>
      <c r="BM71" s="151"/>
      <c r="BN71" s="150" t="str">
        <f>IF([6]回答表!X50="●",[6]回答表!V146,IF([6]回答表!AA50="●",[6]回答表!V167,""))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IF([6]回答表!X50="●",[6]回答表!E149,IF([6]回答表!AA50="●",[6]回答表!E170,""))</f>
        <v/>
      </c>
      <c r="V80" s="182"/>
      <c r="W80" s="182"/>
      <c r="X80" s="182"/>
      <c r="Y80" s="182"/>
      <c r="Z80" s="182"/>
      <c r="AA80" s="182"/>
      <c r="AB80" s="182"/>
      <c r="AC80" s="182"/>
      <c r="AD80" s="182"/>
      <c r="AE80" s="183" t="s">
        <v>33</v>
      </c>
      <c r="AF80" s="183"/>
      <c r="AG80" s="183"/>
      <c r="AH80" s="183"/>
      <c r="AI80" s="183"/>
      <c r="AJ80" s="184"/>
      <c r="AK80" s="136"/>
      <c r="AL80" s="136"/>
      <c r="AM80" s="133" t="str">
        <f>IF([6]回答表!X50="●",[6]回答表!B151,IF([6]回答表!AA50="●",[6]回答表!B172,""))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IF([6]回答表!AD50="●","●","")</f>
        <v>●</v>
      </c>
      <c r="O87" s="131"/>
      <c r="P87" s="131"/>
      <c r="Q87" s="132"/>
      <c r="R87" s="119"/>
      <c r="S87" s="119"/>
      <c r="T87" s="119"/>
      <c r="U87" s="133" t="str">
        <f>IF([6]回答表!AD50="●",[6]回答表!B180,"")</f>
        <v>大館市介護保険事業計画第９期で民間への譲渡を検討している。
公共施設等総合管理計画を策定し、議会への報告、ホームページで公開済み。</v>
      </c>
      <c r="V87" s="134"/>
      <c r="W87" s="134"/>
      <c r="X87" s="134"/>
      <c r="Y87" s="134"/>
      <c r="Z87" s="134"/>
      <c r="AA87" s="134"/>
      <c r="AB87" s="134"/>
      <c r="AC87" s="134"/>
      <c r="AD87" s="134"/>
      <c r="AE87" s="134"/>
      <c r="AF87" s="134"/>
      <c r="AG87" s="134"/>
      <c r="AH87" s="134"/>
      <c r="AI87" s="134"/>
      <c r="AJ87" s="135"/>
      <c r="AK87" s="189"/>
      <c r="AL87" s="189"/>
      <c r="AM87" s="133" t="str">
        <f>IF([6]回答表!AD50="●",[6]回答表!B186,"")</f>
        <v>令和６年４月を目途に譲渡することで検討。
施設の老朽化もあり、経費が増大しないよう譲渡方法を検討している。</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IF([6]回答表!F18="水道事業",IF([6]回答表!X51="●","●",""),"")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IF([6]回答表!F18="水道事業",IF([6]回答表!X51="●",[6]回答表!B197,IF([6]回答表!AA51="●",[6]回答表!B275,"")),"")</f>
        <v/>
      </c>
      <c r="AN99" s="134"/>
      <c r="AO99" s="134"/>
      <c r="AP99" s="134"/>
      <c r="AQ99" s="134"/>
      <c r="AR99" s="134"/>
      <c r="AS99" s="134"/>
      <c r="AT99" s="134"/>
      <c r="AU99" s="134"/>
      <c r="AV99" s="134"/>
      <c r="AW99" s="134"/>
      <c r="AX99" s="134"/>
      <c r="AY99" s="134"/>
      <c r="AZ99" s="134"/>
      <c r="BA99" s="134"/>
      <c r="BB99" s="134"/>
      <c r="BC99" s="135"/>
      <c r="BD99" s="109"/>
      <c r="BE99" s="109"/>
      <c r="BF99" s="138" t="str">
        <f>IF([6]回答表!F18="水道事業",IF([6]回答表!X51="●",[6]回答表!B256,IF([6]回答表!AA51="●",[6]回答表!B335,"")),"")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IF([6]回答表!F18="水道事業",IF([6]回答表!X51="●",[6]回答表!J205,IF([6]回答表!AA51="●",[6]回答表!J283,"")),"")</f>
        <v/>
      </c>
      <c r="V101" s="83"/>
      <c r="W101" s="83"/>
      <c r="X101" s="83"/>
      <c r="Y101" s="83"/>
      <c r="Z101" s="83"/>
      <c r="AA101" s="83"/>
      <c r="AB101" s="153"/>
      <c r="AC101" s="82" t="str">
        <f>IF([6]回答表!F18="水道事業",IF([6]回答表!X51="●",[6]回答表!J210,IF([6]回答表!AA51="●",[6]回答表!J290,"")),"")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IF([6]回答表!F18="水道事業",IF([6]回答表!X51="●",[6]回答表!E256,IF([6]回答表!AA51="●",[6]回答表!E335,"")),"")</f>
        <v/>
      </c>
      <c r="BG102" s="151"/>
      <c r="BH102" s="151"/>
      <c r="BI102" s="151"/>
      <c r="BJ102" s="150" t="str">
        <f>IF([6]回答表!F18="水道事業",IF([6]回答表!X51="●",[6]回答表!E257,IF([6]回答表!AA51="●",[6]回答表!E336,"")),"")</f>
        <v/>
      </c>
      <c r="BK102" s="151"/>
      <c r="BL102" s="151"/>
      <c r="BM102" s="151"/>
      <c r="BN102" s="150" t="str">
        <f>IF([6]回答表!F18="水道事業",IF([6]回答表!X51="●",[6]回答表!E258,IF([6]回答表!AA51="●",[6]回答表!E337,"")),"")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IF([6]回答表!F18="水道事業",IF([6]回答表!AA51="●","●",""),"")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IF([6]回答表!F18="水道事業",IF([6]回答表!X51="●",[6]回答表!J213,IF([6]回答表!AA51="●",[6]回答表!J293,"")),"")</f>
        <v/>
      </c>
      <c r="V106" s="83"/>
      <c r="W106" s="83"/>
      <c r="X106" s="83"/>
      <c r="Y106" s="83"/>
      <c r="Z106" s="83"/>
      <c r="AA106" s="83"/>
      <c r="AB106" s="153"/>
      <c r="AC106" s="82" t="str">
        <f>IF([6]回答表!F18="水道事業",IF([6]回答表!X51="●",[6]回答表!J217,IF([6]回答表!AA51="●",[6]回答表!J297,"")),"")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IF([6]回答表!F18="水道事業",IF([6]回答表!X51="●",[6]回答表!E265,IF([6]回答表!AA51="●",[6]回答表!E344,"")),"")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IF([6]回答表!F18="水道事業",IF([6]回答表!X51="●",[6]回答表!B267,IF([6]回答表!AA51="●",[6]回答表!B346,"")),"")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IF([6]回答表!F18="水道事業",IF([6]回答表!AD51="●","●",""),"")</f>
        <v/>
      </c>
      <c r="O118" s="131"/>
      <c r="P118" s="131"/>
      <c r="Q118" s="132"/>
      <c r="R118" s="119"/>
      <c r="S118" s="119"/>
      <c r="T118" s="119"/>
      <c r="U118" s="133" t="str">
        <f>IF([6]回答表!F18="水道事業",IF([6]回答表!AD51="●",[6]回答表!B354,""),"")</f>
        <v/>
      </c>
      <c r="V118" s="134"/>
      <c r="W118" s="134"/>
      <c r="X118" s="134"/>
      <c r="Y118" s="134"/>
      <c r="Z118" s="134"/>
      <c r="AA118" s="134"/>
      <c r="AB118" s="134"/>
      <c r="AC118" s="134"/>
      <c r="AD118" s="134"/>
      <c r="AE118" s="134"/>
      <c r="AF118" s="134"/>
      <c r="AG118" s="134"/>
      <c r="AH118" s="134"/>
      <c r="AI118" s="134"/>
      <c r="AJ118" s="135"/>
      <c r="AK118" s="189"/>
      <c r="AL118" s="189"/>
      <c r="AM118" s="133" t="str">
        <f>IF([6]回答表!F18="水道事業",IF([6]回答表!AD51="●",[6]回答表!B360,""),"")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IF([6]回答表!F18="簡易水道事業",IF([6]回答表!X51="●",[6]回答表!B197,IF([6]回答表!AA51="●",[6]回答表!B275,"")),"")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IF([6]回答表!F18="簡易水道事業",IF([6]回答表!X51="●",[6]回答表!B256,IF([6]回答表!AA51="●",[6]回答表!B335,"")),"")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IF([6]回答表!F18="簡易水道事業",IF([6]回答表!X51="●","●",""),"")</f>
        <v/>
      </c>
      <c r="O132" s="131"/>
      <c r="P132" s="131"/>
      <c r="Q132" s="132"/>
      <c r="R132" s="119"/>
      <c r="S132" s="119"/>
      <c r="T132" s="119"/>
      <c r="U132" s="82" t="str">
        <f>IF([6]回答表!F18="簡易水道事業",IF([6]回答表!X51="●",[6]回答表!S224,IF([6]回答表!AA51="●",[6]回答表!S304,"")),"")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IF([6]回答表!F18="簡易水道事業",IF([6]回答表!X51="●",[6]回答表!E256,IF([6]回答表!AA51="●",[6]回答表!E335,"")),"")</f>
        <v/>
      </c>
      <c r="BG133" s="151"/>
      <c r="BH133" s="151"/>
      <c r="BI133" s="151"/>
      <c r="BJ133" s="150" t="str">
        <f>IF([6]回答表!F18="簡易水道事業",IF([6]回答表!X51="●",[6]回答表!E257,IF([6]回答表!AA51="●",[6]回答表!E336,"")),"")</f>
        <v/>
      </c>
      <c r="BK133" s="151"/>
      <c r="BL133" s="151"/>
      <c r="BM133" s="151"/>
      <c r="BN133" s="150" t="str">
        <f>IF([6]回答表!F18="簡易水道事業",IF([6]回答表!X51="●",[6]回答表!E258,IF([6]回答表!AA51="●",[6]回答表!E337,"")),"")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IF([6]回答表!F18="簡易水道事業",IF([6]回答表!X51="●",[6]回答表!S225,IF([6]回答表!AA51="●",[6]回答表!S305,"")),"")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IF([6]回答表!F18="簡易水道事業",IF([6]回答表!AA51="●","●",""),"")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IF([6]回答表!F18="簡易水道事業",IF([6]回答表!X51="●",[6]回答表!S226,IF([6]回答表!AA51="●",[6]回答表!S306,"")),"")</f>
        <v/>
      </c>
      <c r="V142" s="83"/>
      <c r="W142" s="83"/>
      <c r="X142" s="83"/>
      <c r="Y142" s="83"/>
      <c r="Z142" s="83"/>
      <c r="AA142" s="83"/>
      <c r="AB142" s="83"/>
      <c r="AC142" s="83"/>
      <c r="AD142" s="83"/>
      <c r="AE142" s="83"/>
      <c r="AF142" s="83"/>
      <c r="AG142" s="83"/>
      <c r="AH142" s="83"/>
      <c r="AI142" s="83"/>
      <c r="AJ142" s="153"/>
      <c r="AK142" s="68"/>
      <c r="AL142" s="68"/>
      <c r="AM142" s="231" t="str">
        <f>IF([6]回答表!F18="簡易水道事業",IF([6]回答表!X51="●",[6]回答表!Y228,IF([6]回答表!AA51="●",[6]回答表!Y308,"")),"")</f>
        <v/>
      </c>
      <c r="AN142" s="231"/>
      <c r="AO142" s="231"/>
      <c r="AP142" s="231"/>
      <c r="AQ142" s="231"/>
      <c r="AR142" s="231"/>
      <c r="AS142" s="231" t="str">
        <f>IF([6]回答表!F18="簡易水道事業",IF([6]回答表!X51="●",[6]回答表!Y229,IF([6]回答表!AA51="●",[6]回答表!Y309,"")),"")</f>
        <v/>
      </c>
      <c r="AT142" s="231"/>
      <c r="AU142" s="231"/>
      <c r="AV142" s="231"/>
      <c r="AW142" s="231"/>
      <c r="AX142" s="231"/>
      <c r="AY142" s="231" t="str">
        <f>IF([6]回答表!F18="簡易水道事業",IF([6]回答表!X51="●",[6]回答表!Y230,IF([6]回答表!AA51="●",[6]回答表!Y310,"")),"")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IF([6]回答表!F18="簡易水道事業",IF([6]回答表!X51="●",[6]回答表!E265,IF([6]回答表!AA51="●",[6]回答表!E344,"")),"")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IF([6]回答表!F18="簡易水道事業",IF([6]回答表!X51="●",[6]回答表!B267,IF([6]回答表!AA51="●",[6]回答表!B346,"")),"")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IF([6]回答表!F18="簡易水道事業",IF([6]回答表!AD51="●","●",""),"")</f>
        <v/>
      </c>
      <c r="O154" s="131"/>
      <c r="P154" s="131"/>
      <c r="Q154" s="132"/>
      <c r="R154" s="119"/>
      <c r="S154" s="119"/>
      <c r="T154" s="119"/>
      <c r="U154" s="133" t="str">
        <f>IF([6]回答表!F18="簡易水道事業",IF([6]回答表!AD51="●",[6]回答表!B354,""),"")</f>
        <v/>
      </c>
      <c r="V154" s="134"/>
      <c r="W154" s="134"/>
      <c r="X154" s="134"/>
      <c r="Y154" s="134"/>
      <c r="Z154" s="134"/>
      <c r="AA154" s="134"/>
      <c r="AB154" s="134"/>
      <c r="AC154" s="134"/>
      <c r="AD154" s="134"/>
      <c r="AE154" s="134"/>
      <c r="AF154" s="134"/>
      <c r="AG154" s="134"/>
      <c r="AH154" s="134"/>
      <c r="AI154" s="134"/>
      <c r="AJ154" s="135"/>
      <c r="AK154" s="189"/>
      <c r="AL154" s="189"/>
      <c r="AM154" s="133" t="str">
        <f>IF([6]回答表!F18="簡易水道事業",IF([6]回答表!AD51="●",[6]回答表!B360,""),"")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IF([6]回答表!F18="下水道事業",IF([6]回答表!X51="●","●",""),"")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IF([6]回答表!F18="下水道事業",IF([6]回答表!X51="●",[6]回答表!B197,IF([6]回答表!AA51="●",[6]回答表!B275,"")),"")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IF([6]回答表!F18="下水道事業",IF([6]回答表!X51="●",[6]回答表!B256,IF([6]回答表!AA51="●",[6]回答表!B335,"")),"")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IF([6]回答表!F18="下水道事業",IF([6]回答表!X51="●",[6]回答表!N234,IF([6]回答表!AA51="●",[6]回答表!N314,"")),"")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IF([6]回答表!F18="下水道事業",IF([6]回答表!X51="●",[6]回答表!E256,IF([6]回答表!AA51="●",[6]回答表!E335,"")),"")</f>
        <v/>
      </c>
      <c r="BG169" s="151"/>
      <c r="BH169" s="151"/>
      <c r="BI169" s="151"/>
      <c r="BJ169" s="150" t="str">
        <f>IF([6]回答表!F18="下水道事業",IF([6]回答表!X51="●",[6]回答表!E257,IF([6]回答表!AA51="●",[6]回答表!E336,"")),"")</f>
        <v/>
      </c>
      <c r="BK169" s="151"/>
      <c r="BL169" s="151"/>
      <c r="BM169" s="151"/>
      <c r="BN169" s="150" t="str">
        <f>IF([6]回答表!F18="下水道事業",IF([6]回答表!X51="●",[6]回答表!E258,IF([6]回答表!AA51="●",[6]回答表!E337,"")),"")</f>
        <v/>
      </c>
      <c r="BO169" s="151"/>
      <c r="BP169" s="151"/>
      <c r="BQ169" s="152"/>
      <c r="BR169" s="112"/>
      <c r="BX169" s="234" t="str">
        <f>IF([6]回答表!AQ21="下水道事業",IF([6]回答表!BI54="○",[6]回答表!AM200,IF([6]回答表!BL54="○",[6]回答表!AM278,"")),"")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IF([6]回答表!F18="下水道事業",IF([6]回答表!X51="●",[6]回答表!Y236,IF([6]回答表!AA51="●",[6]回答表!Y316,"")),"")</f>
        <v/>
      </c>
      <c r="V174" s="83"/>
      <c r="W174" s="83"/>
      <c r="X174" s="83"/>
      <c r="Y174" s="83"/>
      <c r="Z174" s="83"/>
      <c r="AA174" s="83"/>
      <c r="AB174" s="153"/>
      <c r="AC174" s="82" t="str">
        <f>IF([6]回答表!F18="下水道事業",IF([6]回答表!X51="●",[6]回答表!Y237,IF([6]回答表!AA51="●",[6]回答表!Y317,"")),"")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IF([6]回答表!F18="下水道事業",IF([6]回答表!X51="●",[6]回答表!Y239,IF([6]回答表!AA51="●",[6]回答表!Y319,"")),"")</f>
        <v/>
      </c>
      <c r="V180" s="83"/>
      <c r="W180" s="83"/>
      <c r="X180" s="83"/>
      <c r="Y180" s="83"/>
      <c r="Z180" s="83"/>
      <c r="AA180" s="83"/>
      <c r="AB180" s="153"/>
      <c r="AC180" s="82" t="str">
        <f>IF([6]回答表!F18="下水道事業",IF([6]回答表!X51="●",[6]回答表!Y240,IF([6]回答表!AA51="●",[6]回答表!Y320,"")),"")</f>
        <v/>
      </c>
      <c r="AD180" s="83"/>
      <c r="AE180" s="83"/>
      <c r="AF180" s="83"/>
      <c r="AG180" s="83"/>
      <c r="AH180" s="83"/>
      <c r="AI180" s="83"/>
      <c r="AJ180" s="153"/>
      <c r="AK180" s="82" t="str">
        <f>IF([6]回答表!F18="下水道事業",IF([6]回答表!X51="●",[6]回答表!Y241,IF([6]回答表!AA51="●",[6]回答表!Y321,"")),"")</f>
        <v/>
      </c>
      <c r="AL180" s="83"/>
      <c r="AM180" s="83"/>
      <c r="AN180" s="83"/>
      <c r="AO180" s="83"/>
      <c r="AP180" s="83"/>
      <c r="AQ180" s="83"/>
      <c r="AR180" s="153"/>
      <c r="AS180" s="82" t="str">
        <f>IF([6]回答表!F18="下水道事業",IF([6]回答表!X51="●",[6]回答表!Y242,IF([6]回答表!AA51="●",[6]回答表!Y322,"")),"")</f>
        <v/>
      </c>
      <c r="AT180" s="83"/>
      <c r="AU180" s="83"/>
      <c r="AV180" s="83"/>
      <c r="AW180" s="83"/>
      <c r="AX180" s="83"/>
      <c r="AY180" s="83"/>
      <c r="AZ180" s="153"/>
      <c r="BA180" s="82" t="str">
        <f>IF([6]回答表!F18="下水道事業",IF([6]回答表!X51="●",[6]回答表!Y243,IF([6]回答表!AA51="●",[6]回答表!Y323,"")),"")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IF([6]回答表!F18="下水道事業",IF([6]回答表!AA51="●","●",""),"")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IF([6]回答表!F18="下水道事業",IF([6]回答表!X51="●",[6]回答表!N248,IF([6]回答表!AA51="●",[6]回答表!N328,"")),"")</f>
        <v/>
      </c>
      <c r="V186" s="83"/>
      <c r="W186" s="83"/>
      <c r="X186" s="83"/>
      <c r="Y186" s="83"/>
      <c r="Z186" s="83"/>
      <c r="AA186" s="83"/>
      <c r="AB186" s="153"/>
      <c r="AC186" s="82" t="str">
        <f>IF([6]回答表!F18="下水道事業",IF([6]回答表!X51="●",[6]回答表!N249,IF([6]回答表!AA51="●",[6]回答表!N329,"")),"")</f>
        <v/>
      </c>
      <c r="AD186" s="83"/>
      <c r="AE186" s="83"/>
      <c r="AF186" s="83"/>
      <c r="AG186" s="83"/>
      <c r="AH186" s="83"/>
      <c r="AI186" s="83"/>
      <c r="AJ186" s="153"/>
      <c r="AK186" s="82" t="str">
        <f>IF([6]回答表!F18="下水道事業",IF([6]回答表!X51="●",[6]回答表!N250,IF([6]回答表!AA51="●",[6]回答表!N330,"")),"")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IF([6]回答表!F18="下水道事業",IF([6]回答表!X51="●",[6]回答表!E265,IF([6]回答表!AA51="●",[6]回答表!E344,"")),"")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IF([6]回答表!F18="下水道事業",IF([6]回答表!X51="●",[6]回答表!B267,IF([6]回答表!AA51="●",[6]回答表!B346,"")),"")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IF([6]回答表!F18="下水道事業",IF([6]回答表!AD51="●","●",""),"")</f>
        <v/>
      </c>
      <c r="O198" s="131"/>
      <c r="P198" s="131"/>
      <c r="Q198" s="132"/>
      <c r="R198" s="119"/>
      <c r="S198" s="119"/>
      <c r="T198" s="119"/>
      <c r="U198" s="133" t="str">
        <f>IF([6]回答表!F18="下水道事業",IF([6]回答表!AD51="●",[6]回答表!B354,""),"")</f>
        <v/>
      </c>
      <c r="V198" s="134"/>
      <c r="W198" s="134"/>
      <c r="X198" s="134"/>
      <c r="Y198" s="134"/>
      <c r="Z198" s="134"/>
      <c r="AA198" s="134"/>
      <c r="AB198" s="134"/>
      <c r="AC198" s="134"/>
      <c r="AD198" s="134"/>
      <c r="AE198" s="134"/>
      <c r="AF198" s="134"/>
      <c r="AG198" s="134"/>
      <c r="AH198" s="134"/>
      <c r="AI198" s="134"/>
      <c r="AJ198" s="135"/>
      <c r="AK198" s="189"/>
      <c r="AL198" s="189"/>
      <c r="AM198" s="133" t="str">
        <f>IF([6]回答表!F18="下水道事業",IF([6]回答表!AD51="●",[6]回答表!B360,""),"")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IF([6]回答表!BD18="●",IF([6]回答表!X51="●","●",""),"")</f>
        <v/>
      </c>
      <c r="O210" s="131"/>
      <c r="P210" s="131"/>
      <c r="Q210" s="132"/>
      <c r="R210" s="119"/>
      <c r="S210" s="119"/>
      <c r="T210" s="119"/>
      <c r="U210" s="133" t="str">
        <f>IF([6]回答表!BD18="●",IF([6]回答表!X51="●",[6]回答表!B197,IF([6]回答表!AA51="●",[6]回答表!B275,"")),"")</f>
        <v/>
      </c>
      <c r="V210" s="134"/>
      <c r="W210" s="134"/>
      <c r="X210" s="134"/>
      <c r="Y210" s="134"/>
      <c r="Z210" s="134"/>
      <c r="AA210" s="134"/>
      <c r="AB210" s="134"/>
      <c r="AC210" s="134"/>
      <c r="AD210" s="134"/>
      <c r="AE210" s="134"/>
      <c r="AF210" s="134"/>
      <c r="AG210" s="134"/>
      <c r="AH210" s="134"/>
      <c r="AI210" s="134"/>
      <c r="AJ210" s="135"/>
      <c r="AK210" s="136"/>
      <c r="AL210" s="136"/>
      <c r="AM210" s="138" t="str">
        <f>IF([6]回答表!BD18="●",IF([6]回答表!X51="●",[6]回答表!B256,IF([6]回答表!AA51="●",[6]回答表!B335,"")),"")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IF([6]回答表!BD18="●",IF([6]回答表!X51="●",[6]回答表!E256,IF([6]回答表!AA51="●",[6]回答表!E335,"")),"")</f>
        <v/>
      </c>
      <c r="AN213" s="151"/>
      <c r="AO213" s="151"/>
      <c r="AP213" s="151"/>
      <c r="AQ213" s="150" t="str">
        <f>IF([6]回答表!BD18="●",IF([6]回答表!X51="●",[6]回答表!E257,IF([6]回答表!AA51="●",[6]回答表!E336,"")),"")</f>
        <v/>
      </c>
      <c r="AR213" s="151"/>
      <c r="AS213" s="151"/>
      <c r="AT213" s="151"/>
      <c r="AU213" s="150" t="str">
        <f>IF([6]回答表!BD18="●",IF([6]回答表!X51="●",[6]回答表!E258,IF([6]回答表!AA51="●",[6]回答表!E337,"")),"")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IF([6]回答表!BD18="●",IF([6]回答表!AA51="●","●",""),"")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IF([6]回答表!BD18="●",IF([6]回答表!X51="●",[6]回答表!E265,IF([6]回答表!AA51="●",[6]回答表!E344,"")),"")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IF([6]回答表!BD18="●",IF([6]回答表!X51="●",[6]回答表!B267,IF([6]回答表!AA51="●",[6]回答表!B346,"")),"")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IF([6]回答表!BD18="●",IF([6]回答表!AD51="●","●",""),"")</f>
        <v/>
      </c>
      <c r="O229" s="131"/>
      <c r="P229" s="131"/>
      <c r="Q229" s="132"/>
      <c r="R229" s="119"/>
      <c r="S229" s="119"/>
      <c r="T229" s="119"/>
      <c r="U229" s="133" t="str">
        <f>IF([6]回答表!BD18="●",IF([6]回答表!AD51="●",[6]回答表!B354,""),"")</f>
        <v/>
      </c>
      <c r="V229" s="134"/>
      <c r="W229" s="134"/>
      <c r="X229" s="134"/>
      <c r="Y229" s="134"/>
      <c r="Z229" s="134"/>
      <c r="AA229" s="134"/>
      <c r="AB229" s="134"/>
      <c r="AC229" s="134"/>
      <c r="AD229" s="134"/>
      <c r="AE229" s="134"/>
      <c r="AF229" s="134"/>
      <c r="AG229" s="134"/>
      <c r="AH229" s="134"/>
      <c r="AI229" s="134"/>
      <c r="AJ229" s="135"/>
      <c r="AK229" s="249"/>
      <c r="AL229" s="249"/>
      <c r="AM229" s="133" t="str">
        <f>IF([6]回答表!BD18="●",IF([6]回答表!AD51="●",[6]回答表!B360,""),"")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IF([6]回答表!X52="●","●","")</f>
        <v>●</v>
      </c>
      <c r="O241" s="131"/>
      <c r="P241" s="131"/>
      <c r="Q241" s="132"/>
      <c r="R241" s="119"/>
      <c r="S241" s="119"/>
      <c r="T241" s="119"/>
      <c r="U241" s="133" t="str">
        <f>IF([6]回答表!X52="●",[6]回答表!B371,IF([6]回答表!AA52="●",[6]回答表!B396,""))</f>
        <v>短期入所施設（定員１０人）の管理・運営。
住民サービスの充実、介護サービスの質の向上が図られた。</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IF([6]回答表!X52="●",[6]回答表!U377,IF([6]回答表!AA52="●",[6]回答表!U402,""))</f>
        <v>平成</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IF([6]回答表!X52="●",[6]回答表!G377,IF([6]回答表!AA52="●",[6]回答表!G402,""))</f>
        <v xml:space="preserve"> </v>
      </c>
      <c r="AN244" s="83"/>
      <c r="AO244" s="83"/>
      <c r="AP244" s="83"/>
      <c r="AQ244" s="83"/>
      <c r="AR244" s="83"/>
      <c r="AS244" s="83"/>
      <c r="AT244" s="153"/>
      <c r="AU244" s="82" t="str">
        <f>IF([6]回答表!X52="●",[6]回答表!G378,IF([6]回答表!AA52="●",[6]回答表!G403,""))</f>
        <v>●</v>
      </c>
      <c r="AV244" s="83"/>
      <c r="AW244" s="83"/>
      <c r="AX244" s="83"/>
      <c r="AY244" s="83"/>
      <c r="AZ244" s="83"/>
      <c r="BA244" s="83"/>
      <c r="BB244" s="153"/>
      <c r="BC244" s="120"/>
      <c r="BD244" s="109"/>
      <c r="BE244" s="109"/>
      <c r="BF244" s="150">
        <f>IF([6]回答表!X52="●",[6]回答表!X377,IF([6]回答表!AA52="●",[6]回答表!X402,""))</f>
        <v>18</v>
      </c>
      <c r="BG244" s="151"/>
      <c r="BH244" s="151"/>
      <c r="BI244" s="151"/>
      <c r="BJ244" s="150">
        <f>IF([6]回答表!X52="●",[6]回答表!X378,IF([6]回答表!AA52="●",[6]回答表!X403,""))</f>
        <v>4</v>
      </c>
      <c r="BK244" s="151"/>
      <c r="BL244" s="151"/>
      <c r="BM244" s="152"/>
      <c r="BN244" s="150">
        <f>IF([6]回答表!X52="●",[6]回答表!X379,IF([6]回答表!AA52="●",[6]回答表!X404,""))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IF([6]回答表!X52="●",[6]回答表!E386,IF([6]回答表!AA52="●",[6]回答表!E407,""))</f>
        <v>0</v>
      </c>
      <c r="V253" s="182"/>
      <c r="W253" s="182"/>
      <c r="X253" s="182"/>
      <c r="Y253" s="182"/>
      <c r="Z253" s="182"/>
      <c r="AA253" s="182"/>
      <c r="AB253" s="182"/>
      <c r="AC253" s="182"/>
      <c r="AD253" s="182"/>
      <c r="AE253" s="183" t="s">
        <v>33</v>
      </c>
      <c r="AF253" s="183"/>
      <c r="AG253" s="183"/>
      <c r="AH253" s="183"/>
      <c r="AI253" s="183"/>
      <c r="AJ253" s="184"/>
      <c r="AK253" s="136"/>
      <c r="AL253" s="136"/>
      <c r="AM253" s="133">
        <f>IF([6]回答表!X52="●",[6]回答表!B388,IF([6]回答表!AA52="●",[6]回答表!B409,""))</f>
        <v>0</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IF([6]回答表!AD52="●","●","")</f>
        <v/>
      </c>
      <c r="O260" s="131"/>
      <c r="P260" s="131"/>
      <c r="Q260" s="132"/>
      <c r="R260" s="119"/>
      <c r="S260" s="119"/>
      <c r="T260" s="119"/>
      <c r="U260" s="133" t="str">
        <f>IF([6]回答表!AD52="●",[6]回答表!B417,"")</f>
        <v/>
      </c>
      <c r="V260" s="134"/>
      <c r="W260" s="134"/>
      <c r="X260" s="134"/>
      <c r="Y260" s="134"/>
      <c r="Z260" s="134"/>
      <c r="AA260" s="134"/>
      <c r="AB260" s="134"/>
      <c r="AC260" s="134"/>
      <c r="AD260" s="134"/>
      <c r="AE260" s="134"/>
      <c r="AF260" s="134"/>
      <c r="AG260" s="134"/>
      <c r="AH260" s="134"/>
      <c r="AI260" s="134"/>
      <c r="AJ260" s="135"/>
      <c r="AK260" s="249"/>
      <c r="AL260" s="249"/>
      <c r="AM260" s="133" t="str">
        <f>IF([6]回答表!AD52="●",[6]回答表!B423,"")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IF([6]回答表!X53="●","●","")</f>
        <v/>
      </c>
      <c r="O272" s="131"/>
      <c r="P272" s="131"/>
      <c r="Q272" s="132"/>
      <c r="R272" s="119"/>
      <c r="S272" s="119"/>
      <c r="T272" s="119"/>
      <c r="U272" s="133" t="str">
        <f>IF([6]回答表!X53="●",[6]回答表!B434,IF([6]回答表!AA53="●",[6]回答表!B465,""))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IF([6]回答表!X53="●",[6]回答表!B440,"")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IF([6]回答表!X53="●",[6]回答表!B446,IF([6]回答表!AA53="●",[6]回答表!B471,""))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IF([6]回答表!X53="●",[6]回答表!E446,IF([6]回答表!AA53="●",[6]回答表!E471,""))</f>
        <v/>
      </c>
      <c r="BG275" s="151"/>
      <c r="BH275" s="151"/>
      <c r="BI275" s="151"/>
      <c r="BJ275" s="150" t="str">
        <f>IF([6]回答表!X53="●",[6]回答表!E447,IF([6]回答表!AA53="●",[6]回答表!E472,""))</f>
        <v/>
      </c>
      <c r="BK275" s="151"/>
      <c r="BL275" s="151"/>
      <c r="BM275" s="152"/>
      <c r="BN275" s="150" t="str">
        <f>IF([6]回答表!X53="●",[6]回答表!E448,IF([6]回答表!AA53="●",[6]回答表!E473,""))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IF([6]回答表!AA53="●","●","")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IF([6]回答表!X53="●",[6]回答表!E455,IF([6]回答表!AA53="●",[6]回答表!E476,""))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IF([6]回答表!X53="●",[6]回答表!B457,IF([6]回答表!AA53="●",[6]回答表!B478,""))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IF([6]回答表!AD53="●","●","")</f>
        <v/>
      </c>
      <c r="O291" s="131"/>
      <c r="P291" s="131"/>
      <c r="Q291" s="132"/>
      <c r="R291" s="119"/>
      <c r="S291" s="119"/>
      <c r="T291" s="119"/>
      <c r="U291" s="133" t="str">
        <f>IF([6]回答表!AD53="●",[6]回答表!B486,"")</f>
        <v/>
      </c>
      <c r="V291" s="134"/>
      <c r="W291" s="134"/>
      <c r="X291" s="134"/>
      <c r="Y291" s="134"/>
      <c r="Z291" s="134"/>
      <c r="AA291" s="134"/>
      <c r="AB291" s="134"/>
      <c r="AC291" s="134"/>
      <c r="AD291" s="134"/>
      <c r="AE291" s="134"/>
      <c r="AF291" s="134"/>
      <c r="AG291" s="134"/>
      <c r="AH291" s="134"/>
      <c r="AI291" s="134"/>
      <c r="AJ291" s="135"/>
      <c r="AK291" s="249"/>
      <c r="AL291" s="249"/>
      <c r="AM291" s="133" t="str">
        <f>IF([6]回答表!AD53="●",[6]回答表!B492,"")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IF([6]回答表!X54="●","●","")</f>
        <v/>
      </c>
      <c r="O303" s="131"/>
      <c r="P303" s="131"/>
      <c r="Q303" s="132"/>
      <c r="R303" s="119"/>
      <c r="S303" s="119"/>
      <c r="T303" s="119"/>
      <c r="U303" s="133" t="str">
        <f>IF([6]回答表!X54="●",[6]回答表!B503,IF([6]回答表!AA54="●",[6]回答表!B526,""))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IF([6]回答表!X54="●",[6]回答表!BC510,IF([6]回答表!AA54="●",[6]回答表!BC533,""))</f>
        <v/>
      </c>
      <c r="AR303" s="271"/>
      <c r="AS303" s="271"/>
      <c r="AT303" s="271"/>
      <c r="AU303" s="272" t="s">
        <v>74</v>
      </c>
      <c r="AV303" s="273"/>
      <c r="AW303" s="273"/>
      <c r="AX303" s="274"/>
      <c r="AY303" s="271" t="str">
        <f>IF([6]回答表!X54="●",[6]回答表!BC515,IF([6]回答表!AA54="●",[6]回答表!BC538,""))</f>
        <v/>
      </c>
      <c r="AZ303" s="271"/>
      <c r="BA303" s="271"/>
      <c r="BB303" s="271"/>
      <c r="BC303" s="120"/>
      <c r="BD303" s="109"/>
      <c r="BE303" s="109"/>
      <c r="BF303" s="138" t="str">
        <f>IF([6]回答表!X54="●",[6]回答表!S509,IF([6]回答表!AA54="●",[6]回答表!S532,""))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IF([6]回答表!X54="●",[6]回答表!BC511,IF([6]回答表!AA54="●",[6]回答表!BC534,""))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IF([6]回答表!X54="●",[6]回答表!V509,IF([6]回答表!AA54="●",[6]回答表!V532,""))</f>
        <v/>
      </c>
      <c r="BG306" s="151"/>
      <c r="BH306" s="151"/>
      <c r="BI306" s="151"/>
      <c r="BJ306" s="150" t="str">
        <f>IF([6]回答表!X54="●",[6]回答表!V510,IF([6]回答表!AA54="●",[6]回答表!V533,""))</f>
        <v/>
      </c>
      <c r="BK306" s="151"/>
      <c r="BL306" s="151"/>
      <c r="BM306" s="152"/>
      <c r="BN306" s="150" t="str">
        <f>IF([6]回答表!X54="●",[6]回答表!V511,IF([6]回答表!AA54="●",[6]回答表!V534,""))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IF([6]回答表!X54="●",[6]回答表!BC512,IF([6]回答表!AA54="●",[6]回答表!BC535,""))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IF([6]回答表!X54="●",[6]回答表!BC516,IF([6]回答表!AA54="●",[6]回答表!BC539,""))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IF([6]回答表!X54="●",[6]回答表!BC513,IF([6]回答表!AA54="●",[6]回答表!BC536,""))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IF([6]回答表!X54="●",[6]回答表!BC514,IF([6]回答表!AA54="●",[6]回答表!BC537,""))</f>
        <v/>
      </c>
      <c r="AR311" s="271"/>
      <c r="AS311" s="271"/>
      <c r="AT311" s="271"/>
      <c r="AU311" s="222" t="s">
        <v>80</v>
      </c>
      <c r="AV311" s="223"/>
      <c r="AW311" s="223"/>
      <c r="AX311" s="224"/>
      <c r="AY311" s="281" t="str">
        <f>IF([6]回答表!X54="●",[6]回答表!BC517,IF([6]回答表!AA54="●",[6]回答表!BC540,""))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IF([6]回答表!X54="●",[6]回答表!E516,IF([6]回答表!AA54="●",[6]回答表!E538,""))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IF([6]回答表!X54="●",[6]回答表!B518,IF([6]回答表!AA54="●",[6]回答表!B540,""))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IF([6]回答表!AD54="●","●","")</f>
        <v/>
      </c>
      <c r="O322" s="131"/>
      <c r="P322" s="131"/>
      <c r="Q322" s="132"/>
      <c r="R322" s="119"/>
      <c r="S322" s="119"/>
      <c r="T322" s="119"/>
      <c r="U322" s="133" t="str">
        <f>IF([6]回答表!AD54="●",[6]回答表!B548,"")</f>
        <v/>
      </c>
      <c r="V322" s="134"/>
      <c r="W322" s="134"/>
      <c r="X322" s="134"/>
      <c r="Y322" s="134"/>
      <c r="Z322" s="134"/>
      <c r="AA322" s="134"/>
      <c r="AB322" s="134"/>
      <c r="AC322" s="134"/>
      <c r="AD322" s="134"/>
      <c r="AE322" s="134"/>
      <c r="AF322" s="134"/>
      <c r="AG322" s="134"/>
      <c r="AH322" s="134"/>
      <c r="AI322" s="134"/>
      <c r="AJ322" s="135"/>
      <c r="AK322" s="189"/>
      <c r="AL322" s="189"/>
      <c r="AM322" s="133" t="str">
        <f>IF([6]回答表!AD54="●",[6]回答表!B554,"")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IF([6]回答表!X55="●","●","")</f>
        <v/>
      </c>
      <c r="O333" s="131"/>
      <c r="P333" s="131"/>
      <c r="Q333" s="132"/>
      <c r="R333" s="119"/>
      <c r="S333" s="119"/>
      <c r="T333" s="119"/>
      <c r="U333" s="133" t="str">
        <f>IF([6]回答表!X55="●",[6]回答表!B565,IF([6]回答表!AA55="●",[6]回答表!B590,""))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IF([6]回答表!X55="●",[6]回答表!B575,IF([6]回答表!AA55="●",[6]回答表!B600,""))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IF([6]回答表!X55="●",[6]回答表!G571,IF([6]回答表!AA55="●",[6]回答表!G596,""))</f>
        <v/>
      </c>
      <c r="AN335" s="83"/>
      <c r="AO335" s="83"/>
      <c r="AP335" s="83"/>
      <c r="AQ335" s="83"/>
      <c r="AR335" s="83"/>
      <c r="AS335" s="83"/>
      <c r="AT335" s="153"/>
      <c r="AU335" s="82" t="str">
        <f>IF([6]回答表!X55="●",[6]回答表!G572,IF([6]回答表!AA55="●",[6]回答表!G597,""))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IF([6]回答表!X55="●",[6]回答表!E575,IF([6]回答表!AA55="●",[6]回答表!E600,""))</f>
        <v/>
      </c>
      <c r="BG336" s="151"/>
      <c r="BH336" s="151"/>
      <c r="BI336" s="151"/>
      <c r="BJ336" s="150" t="str">
        <f>IF([6]回答表!X55="●",[6]回答表!E576,IF([6]回答表!AA55="●",[6]回答表!E601,""))</f>
        <v/>
      </c>
      <c r="BK336" s="151"/>
      <c r="BL336" s="151"/>
      <c r="BM336" s="152"/>
      <c r="BN336" s="150" t="str">
        <f>IF([6]回答表!X55="●",[6]回答表!E577,IF([6]回答表!AA55="●",[6]回答表!E602,""))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IF([6]回答表!X55="●",[6]回答表!E580,IF([6]回答表!AA55="●",[6]回答表!E605,""))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IF([6]回答表!X55="●",[6]回答表!B582,IF([6]回答表!AA55="●",[6]回答表!B607,""))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IF([6]回答表!AD55="●","●","")</f>
        <v/>
      </c>
      <c r="O352" s="131"/>
      <c r="P352" s="131"/>
      <c r="Q352" s="132"/>
      <c r="R352" s="119"/>
      <c r="S352" s="119"/>
      <c r="T352" s="119"/>
      <c r="U352" s="133" t="str">
        <f>IF([6]回答表!AD55="●",[6]回答表!B615,"")</f>
        <v/>
      </c>
      <c r="V352" s="134"/>
      <c r="W352" s="134"/>
      <c r="X352" s="134"/>
      <c r="Y352" s="134"/>
      <c r="Z352" s="134"/>
      <c r="AA352" s="134"/>
      <c r="AB352" s="134"/>
      <c r="AC352" s="134"/>
      <c r="AD352" s="134"/>
      <c r="AE352" s="134"/>
      <c r="AF352" s="134"/>
      <c r="AG352" s="134"/>
      <c r="AH352" s="134"/>
      <c r="AI352" s="134"/>
      <c r="AJ352" s="135"/>
      <c r="AK352" s="136"/>
      <c r="AL352" s="136"/>
      <c r="AM352" s="133" t="str">
        <f>IF([6]回答表!AD55="●",[6]回答表!B621,"")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IF([6]回答表!R56="●",[6]回答表!B634,"")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D934-6053-4596-8959-743B0E173EE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IF(COUNTIF([7]回答表!K16,"*")&gt;0,[7]回答表!K16,"")</f>
        <v>大館市</v>
      </c>
      <c r="D11" s="8"/>
      <c r="E11" s="8"/>
      <c r="F11" s="8"/>
      <c r="G11" s="8"/>
      <c r="H11" s="8"/>
      <c r="I11" s="8"/>
      <c r="J11" s="8"/>
      <c r="K11" s="8"/>
      <c r="L11" s="8"/>
      <c r="M11" s="8"/>
      <c r="N11" s="8"/>
      <c r="O11" s="8"/>
      <c r="P11" s="8"/>
      <c r="Q11" s="8"/>
      <c r="R11" s="8"/>
      <c r="S11" s="8"/>
      <c r="T11" s="8"/>
      <c r="U11" s="22" t="str">
        <f>IF(COUNTIF([7]回答表!F18,"*")&gt;0,[7]回答表!F18,"")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IF(COUNTIF([7]回答表!W18,"*")&gt;0,[7]回答表!W18,"")</f>
        <v>老人デイサービスセンター</v>
      </c>
      <c r="AP11" s="10"/>
      <c r="AQ11" s="10"/>
      <c r="AR11" s="10"/>
      <c r="AS11" s="10"/>
      <c r="AT11" s="10"/>
      <c r="AU11" s="10"/>
      <c r="AV11" s="10"/>
      <c r="AW11" s="10"/>
      <c r="AX11" s="10"/>
      <c r="AY11" s="10"/>
      <c r="AZ11" s="10"/>
      <c r="BA11" s="10"/>
      <c r="BB11" s="10"/>
      <c r="BC11" s="10"/>
      <c r="BD11" s="10"/>
      <c r="BE11" s="10"/>
      <c r="BF11" s="11"/>
      <c r="BG11" s="21" t="str">
        <f>IF(COUNTIF([7]回答表!F20,"*")&gt;0,[7]回答表!F20,"")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IF([7]回答表!R49="●","●","")</f>
        <v/>
      </c>
      <c r="E24" s="80"/>
      <c r="F24" s="80"/>
      <c r="G24" s="80"/>
      <c r="H24" s="80"/>
      <c r="I24" s="80"/>
      <c r="J24" s="81"/>
      <c r="K24" s="79" t="str">
        <f>IF([7]回答表!R50="●","●","")</f>
        <v>●</v>
      </c>
      <c r="L24" s="80"/>
      <c r="M24" s="80"/>
      <c r="N24" s="80"/>
      <c r="O24" s="80"/>
      <c r="P24" s="80"/>
      <c r="Q24" s="81"/>
      <c r="R24" s="79" t="str">
        <f>IF([7]回答表!R51="●","●","")</f>
        <v/>
      </c>
      <c r="S24" s="80"/>
      <c r="T24" s="80"/>
      <c r="U24" s="80"/>
      <c r="V24" s="80"/>
      <c r="W24" s="80"/>
      <c r="X24" s="81"/>
      <c r="Y24" s="79" t="str">
        <f>IF([7]回答表!R52="●","●","")</f>
        <v>●</v>
      </c>
      <c r="Z24" s="80"/>
      <c r="AA24" s="80"/>
      <c r="AB24" s="80"/>
      <c r="AC24" s="80"/>
      <c r="AD24" s="80"/>
      <c r="AE24" s="81"/>
      <c r="AF24" s="79" t="str">
        <f>IF([7]回答表!R53="●","●","")</f>
        <v/>
      </c>
      <c r="AG24" s="80"/>
      <c r="AH24" s="80"/>
      <c r="AI24" s="80"/>
      <c r="AJ24" s="80"/>
      <c r="AK24" s="80"/>
      <c r="AL24" s="81"/>
      <c r="AM24" s="79" t="str">
        <f>IF([7]回答表!R54="●","●","")</f>
        <v/>
      </c>
      <c r="AN24" s="80"/>
      <c r="AO24" s="80"/>
      <c r="AP24" s="80"/>
      <c r="AQ24" s="80"/>
      <c r="AR24" s="80"/>
      <c r="AS24" s="81"/>
      <c r="AT24" s="79" t="str">
        <f>IF([7]回答表!R55="●","●","")</f>
        <v/>
      </c>
      <c r="AU24" s="80"/>
      <c r="AV24" s="80"/>
      <c r="AW24" s="80"/>
      <c r="AX24" s="80"/>
      <c r="AY24" s="80"/>
      <c r="AZ24" s="81"/>
      <c r="BA24" s="68"/>
      <c r="BB24" s="82" t="str">
        <f>IF([7]回答表!R56="●","●","")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IF([7]回答表!X49="●","●","")</f>
        <v/>
      </c>
      <c r="O36" s="131"/>
      <c r="P36" s="131"/>
      <c r="Q36" s="132"/>
      <c r="R36" s="119"/>
      <c r="S36" s="119"/>
      <c r="T36" s="119"/>
      <c r="U36" s="133" t="str">
        <f>IF([7]回答表!X49="●",[7]回答表!B67,IF([7]回答表!AA49="●",[7]回答表!B95,""))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IF([7]回答表!X49="●",[7]回答表!S73,IF([7]回答表!AA49="●",[7]回答表!S101,""))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IF([7]回答表!X49="●",[7]回答表!G73,IF([7]回答表!AA49="●",[7]回答表!G101,""))</f>
        <v/>
      </c>
      <c r="AN38" s="83"/>
      <c r="AO38" s="83"/>
      <c r="AP38" s="83"/>
      <c r="AQ38" s="83"/>
      <c r="AR38" s="83"/>
      <c r="AS38" s="83"/>
      <c r="AT38" s="153"/>
      <c r="AU38" s="82" t="str">
        <f>IF([7]回答表!X49="●",[7]回答表!G74,IF([7]回答表!AA49="●",[7]回答表!G102,""))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IF([7]回答表!X49="●",[7]回答表!V73,IF([7]回答表!AA49="●",[7]回答表!V101,""))</f>
        <v/>
      </c>
      <c r="BG39" s="16"/>
      <c r="BH39" s="16"/>
      <c r="BI39" s="17"/>
      <c r="BJ39" s="150" t="str">
        <f>IF([7]回答表!X49="●",[7]回答表!V74,IF([7]回答表!AA49="●",[7]回答表!V102,""))</f>
        <v/>
      </c>
      <c r="BK39" s="16"/>
      <c r="BL39" s="16"/>
      <c r="BM39" s="17"/>
      <c r="BN39" s="150" t="str">
        <f>IF([7]回答表!X49="●",[7]回答表!V75,IF([7]回答表!AA49="●",[7]回答表!V103,""))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IF([7]回答表!X49="●",[7]回答表!O79,IF([7]回答表!AA49="●",[7]回答表!O107,""))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IF([7]回答表!X49="●",[7]回答表!O80,IF([7]回答表!AA49="●",[7]回答表!O108,""))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IF([7]回答表!AA49="●","●","")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IF([7]回答表!X49="●",[7]回答表!O81,IF([7]回答表!AA49="●",[7]回答表!O109,""))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IF([7]回答表!X49="●",[7]回答表!O82,IF([7]回答表!AA49="●",[7]回答表!O110,""))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IF([7]回答表!X49="●",[7]回答表!AG79,IF([7]回答表!AA49="●",[7]回答表!AG107,""))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IF([7]回答表!X49="●",[7]回答表!AG80,IF([7]回答表!AA49="●",[7]回答表!AG108,""))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IF([7]回答表!X49="●",[7]回答表!E85,IF([7]回答表!AA49="●",[7]回答表!E113,""))</f>
        <v/>
      </c>
      <c r="V50" s="182"/>
      <c r="W50" s="182"/>
      <c r="X50" s="182"/>
      <c r="Y50" s="182"/>
      <c r="Z50" s="182"/>
      <c r="AA50" s="182"/>
      <c r="AB50" s="182"/>
      <c r="AC50" s="182"/>
      <c r="AD50" s="182"/>
      <c r="AE50" s="183" t="s">
        <v>33</v>
      </c>
      <c r="AF50" s="183"/>
      <c r="AG50" s="183"/>
      <c r="AH50" s="183"/>
      <c r="AI50" s="183"/>
      <c r="AJ50" s="184"/>
      <c r="AK50" s="136"/>
      <c r="AL50" s="136"/>
      <c r="AM50" s="133" t="str">
        <f>IF([7]回答表!X49="●",[7]回答表!B87,IF([7]回答表!AA49="●",[7]回答表!B115,""))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IF([7]回答表!AD49="●","●","")</f>
        <v/>
      </c>
      <c r="O57" s="131"/>
      <c r="P57" s="131"/>
      <c r="Q57" s="132"/>
      <c r="R57" s="119"/>
      <c r="S57" s="119"/>
      <c r="T57" s="119"/>
      <c r="U57" s="133" t="str">
        <f>IF([7]回答表!AD49="●",[7]回答表!B123,"")</f>
        <v/>
      </c>
      <c r="V57" s="134"/>
      <c r="W57" s="134"/>
      <c r="X57" s="134"/>
      <c r="Y57" s="134"/>
      <c r="Z57" s="134"/>
      <c r="AA57" s="134"/>
      <c r="AB57" s="134"/>
      <c r="AC57" s="134"/>
      <c r="AD57" s="134"/>
      <c r="AE57" s="134"/>
      <c r="AF57" s="134"/>
      <c r="AG57" s="134"/>
      <c r="AH57" s="134"/>
      <c r="AI57" s="134"/>
      <c r="AJ57" s="135"/>
      <c r="AK57" s="189"/>
      <c r="AL57" s="189"/>
      <c r="AM57" s="133" t="str">
        <f>IF([7]回答表!AD49="●",[7]回答表!B128,"")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IF([7]回答表!X50="●","●","")</f>
        <v/>
      </c>
      <c r="O68" s="131"/>
      <c r="P68" s="131"/>
      <c r="Q68" s="132"/>
      <c r="R68" s="119"/>
      <c r="S68" s="119"/>
      <c r="T68" s="119"/>
      <c r="U68" s="133" t="str">
        <f>IF([7]回答表!X50="●",[7]回答表!B138,IF([7]回答表!AA50="●",[7]回答表!B159,""))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IF([7]回答表!X50="●",[7]回答表!S144,IF([7]回答表!AA50="●",[7]回答表!S165,""))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IF([7]回答表!X50="●",[7]回答表!J144,IF([7]回答表!AA50="●",[7]回答表!J165,""))</f>
        <v/>
      </c>
      <c r="AN71" s="83"/>
      <c r="AO71" s="83"/>
      <c r="AP71" s="83"/>
      <c r="AQ71" s="83"/>
      <c r="AR71" s="83"/>
      <c r="AS71" s="83"/>
      <c r="AT71" s="153"/>
      <c r="AU71" s="82" t="str">
        <f>IF([7]回答表!X50="●",[7]回答表!J145,IF([7]回答表!AA50="●",[7]回答表!J166,""))</f>
        <v/>
      </c>
      <c r="AV71" s="83"/>
      <c r="AW71" s="83"/>
      <c r="AX71" s="83"/>
      <c r="AY71" s="83"/>
      <c r="AZ71" s="83"/>
      <c r="BA71" s="83"/>
      <c r="BB71" s="153"/>
      <c r="BC71" s="120"/>
      <c r="BD71" s="109"/>
      <c r="BE71" s="109"/>
      <c r="BF71" s="150" t="str">
        <f>IF([7]回答表!X50="●",[7]回答表!V144,IF([7]回答表!AA50="●",[7]回答表!V165,""))</f>
        <v/>
      </c>
      <c r="BG71" s="151"/>
      <c r="BH71" s="151"/>
      <c r="BI71" s="151"/>
      <c r="BJ71" s="150" t="str">
        <f>IF([7]回答表!X50="●",[7]回答表!V145,IF([7]回答表!AA50="●",[7]回答表!V166,""))</f>
        <v/>
      </c>
      <c r="BK71" s="151"/>
      <c r="BL71" s="151"/>
      <c r="BM71" s="151"/>
      <c r="BN71" s="150" t="str">
        <f>IF([7]回答表!X50="●",[7]回答表!V146,IF([7]回答表!AA50="●",[7]回答表!V167,""))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IF([7]回答表!AA50="●","●","")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IF([7]回答表!X50="●",[7]回答表!E149,IF([7]回答表!AA50="●",[7]回答表!E170,""))</f>
        <v/>
      </c>
      <c r="V80" s="182"/>
      <c r="W80" s="182"/>
      <c r="X80" s="182"/>
      <c r="Y80" s="182"/>
      <c r="Z80" s="182"/>
      <c r="AA80" s="182"/>
      <c r="AB80" s="182"/>
      <c r="AC80" s="182"/>
      <c r="AD80" s="182"/>
      <c r="AE80" s="183" t="s">
        <v>33</v>
      </c>
      <c r="AF80" s="183"/>
      <c r="AG80" s="183"/>
      <c r="AH80" s="183"/>
      <c r="AI80" s="183"/>
      <c r="AJ80" s="184"/>
      <c r="AK80" s="136"/>
      <c r="AL80" s="136"/>
      <c r="AM80" s="133" t="str">
        <f>IF([7]回答表!X50="●",[7]回答表!B151,IF([7]回答表!AA50="●",[7]回答表!B172,""))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IF([7]回答表!AD50="●","●","")</f>
        <v>●</v>
      </c>
      <c r="O87" s="131"/>
      <c r="P87" s="131"/>
      <c r="Q87" s="132"/>
      <c r="R87" s="119"/>
      <c r="S87" s="119"/>
      <c r="T87" s="119"/>
      <c r="U87" s="133" t="str">
        <f>IF([7]回答表!AD50="●",[7]回答表!B180,"")</f>
        <v>大館市介護保険事業計画第９期で民間への譲渡を検討している。
公共施設等総合管理計画を策定し、議会への報告、ホームページで公開済み。</v>
      </c>
      <c r="V87" s="134"/>
      <c r="W87" s="134"/>
      <c r="X87" s="134"/>
      <c r="Y87" s="134"/>
      <c r="Z87" s="134"/>
      <c r="AA87" s="134"/>
      <c r="AB87" s="134"/>
      <c r="AC87" s="134"/>
      <c r="AD87" s="134"/>
      <c r="AE87" s="134"/>
      <c r="AF87" s="134"/>
      <c r="AG87" s="134"/>
      <c r="AH87" s="134"/>
      <c r="AI87" s="134"/>
      <c r="AJ87" s="135"/>
      <c r="AK87" s="189"/>
      <c r="AL87" s="189"/>
      <c r="AM87" s="133" t="str">
        <f>IF([7]回答表!AD50="●",[7]回答表!B186,"")</f>
        <v>「大館市デイサービスセンター大滝」については、令和６年４月を目途に譲渡することで検討。
施設の老朽化もあり、経費が増大しないよう譲渡方法を検討している。
「大館市デイサービスセンターかつら」については、譲渡予定はなし。</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IF([7]回答表!F18="水道事業",IF([7]回答表!X51="●","●",""),"")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IF([7]回答表!F18="水道事業",IF([7]回答表!X51="●",[7]回答表!B197,IF([7]回答表!AA51="●",[7]回答表!B275,"")),"")</f>
        <v/>
      </c>
      <c r="AN99" s="134"/>
      <c r="AO99" s="134"/>
      <c r="AP99" s="134"/>
      <c r="AQ99" s="134"/>
      <c r="AR99" s="134"/>
      <c r="AS99" s="134"/>
      <c r="AT99" s="134"/>
      <c r="AU99" s="134"/>
      <c r="AV99" s="134"/>
      <c r="AW99" s="134"/>
      <c r="AX99" s="134"/>
      <c r="AY99" s="134"/>
      <c r="AZ99" s="134"/>
      <c r="BA99" s="134"/>
      <c r="BB99" s="134"/>
      <c r="BC99" s="135"/>
      <c r="BD99" s="109"/>
      <c r="BE99" s="109"/>
      <c r="BF99" s="138" t="str">
        <f>IF([7]回答表!F18="水道事業",IF([7]回答表!X51="●",[7]回答表!B256,IF([7]回答表!AA51="●",[7]回答表!B335,"")),"")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IF([7]回答表!F18="水道事業",IF([7]回答表!X51="●",[7]回答表!J205,IF([7]回答表!AA51="●",[7]回答表!J283,"")),"")</f>
        <v/>
      </c>
      <c r="V101" s="83"/>
      <c r="W101" s="83"/>
      <c r="X101" s="83"/>
      <c r="Y101" s="83"/>
      <c r="Z101" s="83"/>
      <c r="AA101" s="83"/>
      <c r="AB101" s="153"/>
      <c r="AC101" s="82" t="str">
        <f>IF([7]回答表!F18="水道事業",IF([7]回答表!X51="●",[7]回答表!J210,IF([7]回答表!AA51="●",[7]回答表!J290,"")),"")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IF([7]回答表!F18="水道事業",IF([7]回答表!X51="●",[7]回答表!E256,IF([7]回答表!AA51="●",[7]回答表!E335,"")),"")</f>
        <v/>
      </c>
      <c r="BG102" s="151"/>
      <c r="BH102" s="151"/>
      <c r="BI102" s="151"/>
      <c r="BJ102" s="150" t="str">
        <f>IF([7]回答表!F18="水道事業",IF([7]回答表!X51="●",[7]回答表!E257,IF([7]回答表!AA51="●",[7]回答表!E336,"")),"")</f>
        <v/>
      </c>
      <c r="BK102" s="151"/>
      <c r="BL102" s="151"/>
      <c r="BM102" s="151"/>
      <c r="BN102" s="150" t="str">
        <f>IF([7]回答表!F18="水道事業",IF([7]回答表!X51="●",[7]回答表!E258,IF([7]回答表!AA51="●",[7]回答表!E337,"")),"")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IF([7]回答表!F18="水道事業",IF([7]回答表!AA51="●","●",""),"")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IF([7]回答表!F18="水道事業",IF([7]回答表!X51="●",[7]回答表!J213,IF([7]回答表!AA51="●",[7]回答表!J293,"")),"")</f>
        <v/>
      </c>
      <c r="V106" s="83"/>
      <c r="W106" s="83"/>
      <c r="X106" s="83"/>
      <c r="Y106" s="83"/>
      <c r="Z106" s="83"/>
      <c r="AA106" s="83"/>
      <c r="AB106" s="153"/>
      <c r="AC106" s="82" t="str">
        <f>IF([7]回答表!F18="水道事業",IF([7]回答表!X51="●",[7]回答表!J217,IF([7]回答表!AA51="●",[7]回答表!J297,"")),"")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IF([7]回答表!F18="水道事業",IF([7]回答表!X51="●",[7]回答表!E265,IF([7]回答表!AA51="●",[7]回答表!E344,"")),"")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IF([7]回答表!F18="水道事業",IF([7]回答表!X51="●",[7]回答表!B267,IF([7]回答表!AA51="●",[7]回答表!B346,"")),"")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IF([7]回答表!F18="水道事業",IF([7]回答表!AD51="●","●",""),"")</f>
        <v/>
      </c>
      <c r="O118" s="131"/>
      <c r="P118" s="131"/>
      <c r="Q118" s="132"/>
      <c r="R118" s="119"/>
      <c r="S118" s="119"/>
      <c r="T118" s="119"/>
      <c r="U118" s="133" t="str">
        <f>IF([7]回答表!F18="水道事業",IF([7]回答表!AD51="●",[7]回答表!B354,""),"")</f>
        <v/>
      </c>
      <c r="V118" s="134"/>
      <c r="W118" s="134"/>
      <c r="X118" s="134"/>
      <c r="Y118" s="134"/>
      <c r="Z118" s="134"/>
      <c r="AA118" s="134"/>
      <c r="AB118" s="134"/>
      <c r="AC118" s="134"/>
      <c r="AD118" s="134"/>
      <c r="AE118" s="134"/>
      <c r="AF118" s="134"/>
      <c r="AG118" s="134"/>
      <c r="AH118" s="134"/>
      <c r="AI118" s="134"/>
      <c r="AJ118" s="135"/>
      <c r="AK118" s="189"/>
      <c r="AL118" s="189"/>
      <c r="AM118" s="133" t="str">
        <f>IF([7]回答表!F18="水道事業",IF([7]回答表!AD51="●",[7]回答表!B360,""),"")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IF([7]回答表!F18="簡易水道事業",IF([7]回答表!X51="●",[7]回答表!B197,IF([7]回答表!AA51="●",[7]回答表!B275,"")),"")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IF([7]回答表!F18="簡易水道事業",IF([7]回答表!X51="●",[7]回答表!B256,IF([7]回答表!AA51="●",[7]回答表!B335,"")),"")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IF([7]回答表!F18="簡易水道事業",IF([7]回答表!X51="●","●",""),"")</f>
        <v/>
      </c>
      <c r="O132" s="131"/>
      <c r="P132" s="131"/>
      <c r="Q132" s="132"/>
      <c r="R132" s="119"/>
      <c r="S132" s="119"/>
      <c r="T132" s="119"/>
      <c r="U132" s="82" t="str">
        <f>IF([7]回答表!F18="簡易水道事業",IF([7]回答表!X51="●",[7]回答表!S224,IF([7]回答表!AA51="●",[7]回答表!S304,"")),"")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IF([7]回答表!F18="簡易水道事業",IF([7]回答表!X51="●",[7]回答表!E256,IF([7]回答表!AA51="●",[7]回答表!E335,"")),"")</f>
        <v/>
      </c>
      <c r="BG133" s="151"/>
      <c r="BH133" s="151"/>
      <c r="BI133" s="151"/>
      <c r="BJ133" s="150" t="str">
        <f>IF([7]回答表!F18="簡易水道事業",IF([7]回答表!X51="●",[7]回答表!E257,IF([7]回答表!AA51="●",[7]回答表!E336,"")),"")</f>
        <v/>
      </c>
      <c r="BK133" s="151"/>
      <c r="BL133" s="151"/>
      <c r="BM133" s="151"/>
      <c r="BN133" s="150" t="str">
        <f>IF([7]回答表!F18="簡易水道事業",IF([7]回答表!X51="●",[7]回答表!E258,IF([7]回答表!AA51="●",[7]回答表!E337,"")),"")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IF([7]回答表!F18="簡易水道事業",IF([7]回答表!X51="●",[7]回答表!S225,IF([7]回答表!AA51="●",[7]回答表!S305,"")),"")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IF([7]回答表!F18="簡易水道事業",IF([7]回答表!AA51="●","●",""),"")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IF([7]回答表!F18="簡易水道事業",IF([7]回答表!X51="●",[7]回答表!S226,IF([7]回答表!AA51="●",[7]回答表!S306,"")),"")</f>
        <v/>
      </c>
      <c r="V142" s="83"/>
      <c r="W142" s="83"/>
      <c r="X142" s="83"/>
      <c r="Y142" s="83"/>
      <c r="Z142" s="83"/>
      <c r="AA142" s="83"/>
      <c r="AB142" s="83"/>
      <c r="AC142" s="83"/>
      <c r="AD142" s="83"/>
      <c r="AE142" s="83"/>
      <c r="AF142" s="83"/>
      <c r="AG142" s="83"/>
      <c r="AH142" s="83"/>
      <c r="AI142" s="83"/>
      <c r="AJ142" s="153"/>
      <c r="AK142" s="68"/>
      <c r="AL142" s="68"/>
      <c r="AM142" s="231" t="str">
        <f>IF([7]回答表!F18="簡易水道事業",IF([7]回答表!X51="●",[7]回答表!Y228,IF([7]回答表!AA51="●",[7]回答表!Y308,"")),"")</f>
        <v/>
      </c>
      <c r="AN142" s="231"/>
      <c r="AO142" s="231"/>
      <c r="AP142" s="231"/>
      <c r="AQ142" s="231"/>
      <c r="AR142" s="231"/>
      <c r="AS142" s="231" t="str">
        <f>IF([7]回答表!F18="簡易水道事業",IF([7]回答表!X51="●",[7]回答表!Y229,IF([7]回答表!AA51="●",[7]回答表!Y309,"")),"")</f>
        <v/>
      </c>
      <c r="AT142" s="231"/>
      <c r="AU142" s="231"/>
      <c r="AV142" s="231"/>
      <c r="AW142" s="231"/>
      <c r="AX142" s="231"/>
      <c r="AY142" s="231" t="str">
        <f>IF([7]回答表!F18="簡易水道事業",IF([7]回答表!X51="●",[7]回答表!Y230,IF([7]回答表!AA51="●",[7]回答表!Y310,"")),"")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IF([7]回答表!F18="簡易水道事業",IF([7]回答表!X51="●",[7]回答表!E265,IF([7]回答表!AA51="●",[7]回答表!E344,"")),"")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IF([7]回答表!F18="簡易水道事業",IF([7]回答表!X51="●",[7]回答表!B267,IF([7]回答表!AA51="●",[7]回答表!B346,"")),"")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IF([7]回答表!F18="簡易水道事業",IF([7]回答表!AD51="●","●",""),"")</f>
        <v/>
      </c>
      <c r="O154" s="131"/>
      <c r="P154" s="131"/>
      <c r="Q154" s="132"/>
      <c r="R154" s="119"/>
      <c r="S154" s="119"/>
      <c r="T154" s="119"/>
      <c r="U154" s="133" t="str">
        <f>IF([7]回答表!F18="簡易水道事業",IF([7]回答表!AD51="●",[7]回答表!B354,""),"")</f>
        <v/>
      </c>
      <c r="V154" s="134"/>
      <c r="W154" s="134"/>
      <c r="X154" s="134"/>
      <c r="Y154" s="134"/>
      <c r="Z154" s="134"/>
      <c r="AA154" s="134"/>
      <c r="AB154" s="134"/>
      <c r="AC154" s="134"/>
      <c r="AD154" s="134"/>
      <c r="AE154" s="134"/>
      <c r="AF154" s="134"/>
      <c r="AG154" s="134"/>
      <c r="AH154" s="134"/>
      <c r="AI154" s="134"/>
      <c r="AJ154" s="135"/>
      <c r="AK154" s="189"/>
      <c r="AL154" s="189"/>
      <c r="AM154" s="133" t="str">
        <f>IF([7]回答表!F18="簡易水道事業",IF([7]回答表!AD51="●",[7]回答表!B360,""),"")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IF([7]回答表!F18="下水道事業",IF([7]回答表!X51="●","●",""),"")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IF([7]回答表!F18="下水道事業",IF([7]回答表!X51="●",[7]回答表!B197,IF([7]回答表!AA51="●",[7]回答表!B275,"")),"")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IF([7]回答表!F18="下水道事業",IF([7]回答表!X51="●",[7]回答表!B256,IF([7]回答表!AA51="●",[7]回答表!B335,"")),"")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IF([7]回答表!F18="下水道事業",IF([7]回答表!X51="●",[7]回答表!N234,IF([7]回答表!AA51="●",[7]回答表!N314,"")),"")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IF([7]回答表!F18="下水道事業",IF([7]回答表!X51="●",[7]回答表!E256,IF([7]回答表!AA51="●",[7]回答表!E335,"")),"")</f>
        <v/>
      </c>
      <c r="BG169" s="151"/>
      <c r="BH169" s="151"/>
      <c r="BI169" s="151"/>
      <c r="BJ169" s="150" t="str">
        <f>IF([7]回答表!F18="下水道事業",IF([7]回答表!X51="●",[7]回答表!E257,IF([7]回答表!AA51="●",[7]回答表!E336,"")),"")</f>
        <v/>
      </c>
      <c r="BK169" s="151"/>
      <c r="BL169" s="151"/>
      <c r="BM169" s="151"/>
      <c r="BN169" s="150" t="str">
        <f>IF([7]回答表!F18="下水道事業",IF([7]回答表!X51="●",[7]回答表!E258,IF([7]回答表!AA51="●",[7]回答表!E337,"")),"")</f>
        <v/>
      </c>
      <c r="BO169" s="151"/>
      <c r="BP169" s="151"/>
      <c r="BQ169" s="152"/>
      <c r="BR169" s="112"/>
      <c r="BX169" s="234" t="str">
        <f>IF([7]回答表!AQ21="下水道事業",IF([7]回答表!BI54="○",[7]回答表!AM200,IF([7]回答表!BL54="○",[7]回答表!AM278,"")),"")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IF([7]回答表!F18="下水道事業",IF([7]回答表!X51="●",[7]回答表!Y236,IF([7]回答表!AA51="●",[7]回答表!Y316,"")),"")</f>
        <v/>
      </c>
      <c r="V174" s="83"/>
      <c r="W174" s="83"/>
      <c r="X174" s="83"/>
      <c r="Y174" s="83"/>
      <c r="Z174" s="83"/>
      <c r="AA174" s="83"/>
      <c r="AB174" s="153"/>
      <c r="AC174" s="82" t="str">
        <f>IF([7]回答表!F18="下水道事業",IF([7]回答表!X51="●",[7]回答表!Y237,IF([7]回答表!AA51="●",[7]回答表!Y317,"")),"")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IF([7]回答表!F18="下水道事業",IF([7]回答表!X51="●",[7]回答表!Y239,IF([7]回答表!AA51="●",[7]回答表!Y319,"")),"")</f>
        <v/>
      </c>
      <c r="V180" s="83"/>
      <c r="W180" s="83"/>
      <c r="X180" s="83"/>
      <c r="Y180" s="83"/>
      <c r="Z180" s="83"/>
      <c r="AA180" s="83"/>
      <c r="AB180" s="153"/>
      <c r="AC180" s="82" t="str">
        <f>IF([7]回答表!F18="下水道事業",IF([7]回答表!X51="●",[7]回答表!Y240,IF([7]回答表!AA51="●",[7]回答表!Y320,"")),"")</f>
        <v/>
      </c>
      <c r="AD180" s="83"/>
      <c r="AE180" s="83"/>
      <c r="AF180" s="83"/>
      <c r="AG180" s="83"/>
      <c r="AH180" s="83"/>
      <c r="AI180" s="83"/>
      <c r="AJ180" s="153"/>
      <c r="AK180" s="82" t="str">
        <f>IF([7]回答表!F18="下水道事業",IF([7]回答表!X51="●",[7]回答表!Y241,IF([7]回答表!AA51="●",[7]回答表!Y321,"")),"")</f>
        <v/>
      </c>
      <c r="AL180" s="83"/>
      <c r="AM180" s="83"/>
      <c r="AN180" s="83"/>
      <c r="AO180" s="83"/>
      <c r="AP180" s="83"/>
      <c r="AQ180" s="83"/>
      <c r="AR180" s="153"/>
      <c r="AS180" s="82" t="str">
        <f>IF([7]回答表!F18="下水道事業",IF([7]回答表!X51="●",[7]回答表!Y242,IF([7]回答表!AA51="●",[7]回答表!Y322,"")),"")</f>
        <v/>
      </c>
      <c r="AT180" s="83"/>
      <c r="AU180" s="83"/>
      <c r="AV180" s="83"/>
      <c r="AW180" s="83"/>
      <c r="AX180" s="83"/>
      <c r="AY180" s="83"/>
      <c r="AZ180" s="153"/>
      <c r="BA180" s="82" t="str">
        <f>IF([7]回答表!F18="下水道事業",IF([7]回答表!X51="●",[7]回答表!Y243,IF([7]回答表!AA51="●",[7]回答表!Y323,"")),"")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IF([7]回答表!F18="下水道事業",IF([7]回答表!AA51="●","●",""),"")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IF([7]回答表!F18="下水道事業",IF([7]回答表!X51="●",[7]回答表!N248,IF([7]回答表!AA51="●",[7]回答表!N328,"")),"")</f>
        <v/>
      </c>
      <c r="V186" s="83"/>
      <c r="W186" s="83"/>
      <c r="X186" s="83"/>
      <c r="Y186" s="83"/>
      <c r="Z186" s="83"/>
      <c r="AA186" s="83"/>
      <c r="AB186" s="153"/>
      <c r="AC186" s="82" t="str">
        <f>IF([7]回答表!F18="下水道事業",IF([7]回答表!X51="●",[7]回答表!N249,IF([7]回答表!AA51="●",[7]回答表!N329,"")),"")</f>
        <v/>
      </c>
      <c r="AD186" s="83"/>
      <c r="AE186" s="83"/>
      <c r="AF186" s="83"/>
      <c r="AG186" s="83"/>
      <c r="AH186" s="83"/>
      <c r="AI186" s="83"/>
      <c r="AJ186" s="153"/>
      <c r="AK186" s="82" t="str">
        <f>IF([7]回答表!F18="下水道事業",IF([7]回答表!X51="●",[7]回答表!N250,IF([7]回答表!AA51="●",[7]回答表!N330,"")),"")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IF([7]回答表!F18="下水道事業",IF([7]回答表!X51="●",[7]回答表!E265,IF([7]回答表!AA51="●",[7]回答表!E344,"")),"")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IF([7]回答表!F18="下水道事業",IF([7]回答表!X51="●",[7]回答表!B267,IF([7]回答表!AA51="●",[7]回答表!B346,"")),"")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IF([7]回答表!F18="下水道事業",IF([7]回答表!AD51="●","●",""),"")</f>
        <v/>
      </c>
      <c r="O198" s="131"/>
      <c r="P198" s="131"/>
      <c r="Q198" s="132"/>
      <c r="R198" s="119"/>
      <c r="S198" s="119"/>
      <c r="T198" s="119"/>
      <c r="U198" s="133" t="str">
        <f>IF([7]回答表!F18="下水道事業",IF([7]回答表!AD51="●",[7]回答表!B354,""),"")</f>
        <v/>
      </c>
      <c r="V198" s="134"/>
      <c r="W198" s="134"/>
      <c r="X198" s="134"/>
      <c r="Y198" s="134"/>
      <c r="Z198" s="134"/>
      <c r="AA198" s="134"/>
      <c r="AB198" s="134"/>
      <c r="AC198" s="134"/>
      <c r="AD198" s="134"/>
      <c r="AE198" s="134"/>
      <c r="AF198" s="134"/>
      <c r="AG198" s="134"/>
      <c r="AH198" s="134"/>
      <c r="AI198" s="134"/>
      <c r="AJ198" s="135"/>
      <c r="AK198" s="189"/>
      <c r="AL198" s="189"/>
      <c r="AM198" s="133" t="str">
        <f>IF([7]回答表!F18="下水道事業",IF([7]回答表!AD51="●",[7]回答表!B360,""),"")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IF([7]回答表!BD18="●",IF([7]回答表!X51="●","●",""),"")</f>
        <v/>
      </c>
      <c r="O210" s="131"/>
      <c r="P210" s="131"/>
      <c r="Q210" s="132"/>
      <c r="R210" s="119"/>
      <c r="S210" s="119"/>
      <c r="T210" s="119"/>
      <c r="U210" s="133" t="str">
        <f>IF([7]回答表!BD18="●",IF([7]回答表!X51="●",[7]回答表!B197,IF([7]回答表!AA51="●",[7]回答表!B275,"")),"")</f>
        <v/>
      </c>
      <c r="V210" s="134"/>
      <c r="W210" s="134"/>
      <c r="X210" s="134"/>
      <c r="Y210" s="134"/>
      <c r="Z210" s="134"/>
      <c r="AA210" s="134"/>
      <c r="AB210" s="134"/>
      <c r="AC210" s="134"/>
      <c r="AD210" s="134"/>
      <c r="AE210" s="134"/>
      <c r="AF210" s="134"/>
      <c r="AG210" s="134"/>
      <c r="AH210" s="134"/>
      <c r="AI210" s="134"/>
      <c r="AJ210" s="135"/>
      <c r="AK210" s="136"/>
      <c r="AL210" s="136"/>
      <c r="AM210" s="138" t="str">
        <f>IF([7]回答表!BD18="●",IF([7]回答表!X51="●",[7]回答表!B256,IF([7]回答表!AA51="●",[7]回答表!B335,"")),"")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IF([7]回答表!BD18="●",IF([7]回答表!X51="●",[7]回答表!E256,IF([7]回答表!AA51="●",[7]回答表!E335,"")),"")</f>
        <v/>
      </c>
      <c r="AN213" s="151"/>
      <c r="AO213" s="151"/>
      <c r="AP213" s="151"/>
      <c r="AQ213" s="150" t="str">
        <f>IF([7]回答表!BD18="●",IF([7]回答表!X51="●",[7]回答表!E257,IF([7]回答表!AA51="●",[7]回答表!E336,"")),"")</f>
        <v/>
      </c>
      <c r="AR213" s="151"/>
      <c r="AS213" s="151"/>
      <c r="AT213" s="151"/>
      <c r="AU213" s="150" t="str">
        <f>IF([7]回答表!BD18="●",IF([7]回答表!X51="●",[7]回答表!E258,IF([7]回答表!AA51="●",[7]回答表!E337,"")),"")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IF([7]回答表!BD18="●",IF([7]回答表!AA51="●","●",""),"")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IF([7]回答表!BD18="●",IF([7]回答表!X51="●",[7]回答表!E265,IF([7]回答表!AA51="●",[7]回答表!E344,"")),"")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IF([7]回答表!BD18="●",IF([7]回答表!X51="●",[7]回答表!B267,IF([7]回答表!AA51="●",[7]回答表!B346,"")),"")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IF([7]回答表!BD18="●",IF([7]回答表!AD51="●","●",""),"")</f>
        <v/>
      </c>
      <c r="O229" s="131"/>
      <c r="P229" s="131"/>
      <c r="Q229" s="132"/>
      <c r="R229" s="119"/>
      <c r="S229" s="119"/>
      <c r="T229" s="119"/>
      <c r="U229" s="133" t="str">
        <f>IF([7]回答表!BD18="●",IF([7]回答表!AD51="●",[7]回答表!B354,""),"")</f>
        <v/>
      </c>
      <c r="V229" s="134"/>
      <c r="W229" s="134"/>
      <c r="X229" s="134"/>
      <c r="Y229" s="134"/>
      <c r="Z229" s="134"/>
      <c r="AA229" s="134"/>
      <c r="AB229" s="134"/>
      <c r="AC229" s="134"/>
      <c r="AD229" s="134"/>
      <c r="AE229" s="134"/>
      <c r="AF229" s="134"/>
      <c r="AG229" s="134"/>
      <c r="AH229" s="134"/>
      <c r="AI229" s="134"/>
      <c r="AJ229" s="135"/>
      <c r="AK229" s="249"/>
      <c r="AL229" s="249"/>
      <c r="AM229" s="133" t="str">
        <f>IF([7]回答表!BD18="●",IF([7]回答表!AD51="●",[7]回答表!B360,""),"")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IF([7]回答表!X52="●","●","")</f>
        <v>●</v>
      </c>
      <c r="O241" s="131"/>
      <c r="P241" s="131"/>
      <c r="Q241" s="132"/>
      <c r="R241" s="119"/>
      <c r="S241" s="119"/>
      <c r="T241" s="119"/>
      <c r="U241" s="133" t="str">
        <f>IF([7]回答表!X52="●",[7]回答表!B371,IF([7]回答表!AA52="●",[7]回答表!B396,""))</f>
        <v>老人デイサービスセンター（デイサービスセンターかつら：定員２５人、デイサービスセンター大滝：定員３５人）の管理・運営。
住民サービスの充実、介護サービスの質の向上が図られた。</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IF([7]回答表!X52="●",[7]回答表!U377,IF([7]回答表!AA52="●",[7]回答表!U402,""))</f>
        <v>平成</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IF([7]回答表!X52="●",[7]回答表!G377,IF([7]回答表!AA52="●",[7]回答表!G402,""))</f>
        <v xml:space="preserve"> </v>
      </c>
      <c r="AN244" s="83"/>
      <c r="AO244" s="83"/>
      <c r="AP244" s="83"/>
      <c r="AQ244" s="83"/>
      <c r="AR244" s="83"/>
      <c r="AS244" s="83"/>
      <c r="AT244" s="153"/>
      <c r="AU244" s="82" t="str">
        <f>IF([7]回答表!X52="●",[7]回答表!G378,IF([7]回答表!AA52="●",[7]回答表!G403,""))</f>
        <v>●</v>
      </c>
      <c r="AV244" s="83"/>
      <c r="AW244" s="83"/>
      <c r="AX244" s="83"/>
      <c r="AY244" s="83"/>
      <c r="AZ244" s="83"/>
      <c r="BA244" s="83"/>
      <c r="BB244" s="153"/>
      <c r="BC244" s="120"/>
      <c r="BD244" s="109"/>
      <c r="BE244" s="109"/>
      <c r="BF244" s="150">
        <f>IF([7]回答表!X52="●",[7]回答表!X377,IF([7]回答表!AA52="●",[7]回答表!X402,""))</f>
        <v>18</v>
      </c>
      <c r="BG244" s="151"/>
      <c r="BH244" s="151"/>
      <c r="BI244" s="151"/>
      <c r="BJ244" s="150">
        <f>IF([7]回答表!X52="●",[7]回答表!X378,IF([7]回答表!AA52="●",[7]回答表!X403,""))</f>
        <v>4</v>
      </c>
      <c r="BK244" s="151"/>
      <c r="BL244" s="151"/>
      <c r="BM244" s="152"/>
      <c r="BN244" s="150">
        <f>IF([7]回答表!X52="●",[7]回答表!X379,IF([7]回答表!AA52="●",[7]回答表!X404,""))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IF([7]回答表!AA52="●","●","")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IF([7]回答表!X52="●",[7]回答表!E386,IF([7]回答表!AA52="●",[7]回答表!E407,""))</f>
        <v>0</v>
      </c>
      <c r="V253" s="182"/>
      <c r="W253" s="182"/>
      <c r="X253" s="182"/>
      <c r="Y253" s="182"/>
      <c r="Z253" s="182"/>
      <c r="AA253" s="182"/>
      <c r="AB253" s="182"/>
      <c r="AC253" s="182"/>
      <c r="AD253" s="182"/>
      <c r="AE253" s="183" t="s">
        <v>33</v>
      </c>
      <c r="AF253" s="183"/>
      <c r="AG253" s="183"/>
      <c r="AH253" s="183"/>
      <c r="AI253" s="183"/>
      <c r="AJ253" s="184"/>
      <c r="AK253" s="136"/>
      <c r="AL253" s="136"/>
      <c r="AM253" s="133">
        <f>IF([7]回答表!X52="●",[7]回答表!B388,IF([7]回答表!AA52="●",[7]回答表!B409,""))</f>
        <v>0</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IF([7]回答表!AD52="●","●","")</f>
        <v/>
      </c>
      <c r="O260" s="131"/>
      <c r="P260" s="131"/>
      <c r="Q260" s="132"/>
      <c r="R260" s="119"/>
      <c r="S260" s="119"/>
      <c r="T260" s="119"/>
      <c r="U260" s="133" t="str">
        <f>IF([7]回答表!AD52="●",[7]回答表!B417,"")</f>
        <v/>
      </c>
      <c r="V260" s="134"/>
      <c r="W260" s="134"/>
      <c r="X260" s="134"/>
      <c r="Y260" s="134"/>
      <c r="Z260" s="134"/>
      <c r="AA260" s="134"/>
      <c r="AB260" s="134"/>
      <c r="AC260" s="134"/>
      <c r="AD260" s="134"/>
      <c r="AE260" s="134"/>
      <c r="AF260" s="134"/>
      <c r="AG260" s="134"/>
      <c r="AH260" s="134"/>
      <c r="AI260" s="134"/>
      <c r="AJ260" s="135"/>
      <c r="AK260" s="249"/>
      <c r="AL260" s="249"/>
      <c r="AM260" s="133" t="str">
        <f>IF([7]回答表!AD52="●",[7]回答表!B423,"")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IF([7]回答表!X53="●","●","")</f>
        <v/>
      </c>
      <c r="O272" s="131"/>
      <c r="P272" s="131"/>
      <c r="Q272" s="132"/>
      <c r="R272" s="119"/>
      <c r="S272" s="119"/>
      <c r="T272" s="119"/>
      <c r="U272" s="133" t="str">
        <f>IF([7]回答表!X53="●",[7]回答表!B434,IF([7]回答表!AA53="●",[7]回答表!B465,""))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IF([7]回答表!X53="●",[7]回答表!B440,"")</f>
        <v/>
      </c>
      <c r="AO272" s="262"/>
      <c r="AP272" s="262"/>
      <c r="AQ272" s="262"/>
      <c r="AR272" s="262"/>
      <c r="AS272" s="262"/>
      <c r="AT272" s="262"/>
      <c r="AU272" s="262"/>
      <c r="AV272" s="262"/>
      <c r="AW272" s="262"/>
      <c r="AX272" s="262"/>
      <c r="AY272" s="262"/>
      <c r="AZ272" s="262"/>
      <c r="BA272" s="262"/>
      <c r="BB272" s="263"/>
      <c r="BC272" s="120"/>
      <c r="BD272" s="109"/>
      <c r="BE272" s="109"/>
      <c r="BF272" s="138" t="str">
        <f>IF([7]回答表!X53="●",[7]回答表!B446,IF([7]回答表!AA53="●",[7]回答表!B471,""))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IF([7]回答表!X53="●",[7]回答表!E446,IF([7]回答表!AA53="●",[7]回答表!E471,""))</f>
        <v/>
      </c>
      <c r="BG275" s="151"/>
      <c r="BH275" s="151"/>
      <c r="BI275" s="151"/>
      <c r="BJ275" s="150" t="str">
        <f>IF([7]回答表!X53="●",[7]回答表!E447,IF([7]回答表!AA53="●",[7]回答表!E472,""))</f>
        <v/>
      </c>
      <c r="BK275" s="151"/>
      <c r="BL275" s="151"/>
      <c r="BM275" s="152"/>
      <c r="BN275" s="150" t="str">
        <f>IF([7]回答表!X53="●",[7]回答表!E448,IF([7]回答表!AA53="●",[7]回答表!E473,""))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IF([7]回答表!AA53="●","●","")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IF([7]回答表!X53="●",[7]回答表!E455,IF([7]回答表!AA53="●",[7]回答表!E476,""))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IF([7]回答表!X53="●",[7]回答表!B457,IF([7]回答表!AA53="●",[7]回答表!B478,""))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IF([7]回答表!AD53="●","●","")</f>
        <v/>
      </c>
      <c r="O291" s="131"/>
      <c r="P291" s="131"/>
      <c r="Q291" s="132"/>
      <c r="R291" s="119"/>
      <c r="S291" s="119"/>
      <c r="T291" s="119"/>
      <c r="U291" s="133" t="str">
        <f>IF([7]回答表!AD53="●",[7]回答表!B486,"")</f>
        <v/>
      </c>
      <c r="V291" s="134"/>
      <c r="W291" s="134"/>
      <c r="X291" s="134"/>
      <c r="Y291" s="134"/>
      <c r="Z291" s="134"/>
      <c r="AA291" s="134"/>
      <c r="AB291" s="134"/>
      <c r="AC291" s="134"/>
      <c r="AD291" s="134"/>
      <c r="AE291" s="134"/>
      <c r="AF291" s="134"/>
      <c r="AG291" s="134"/>
      <c r="AH291" s="134"/>
      <c r="AI291" s="134"/>
      <c r="AJ291" s="135"/>
      <c r="AK291" s="249"/>
      <c r="AL291" s="249"/>
      <c r="AM291" s="133" t="str">
        <f>IF([7]回答表!AD53="●",[7]回答表!B492,"")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IF([7]回答表!X54="●","●","")</f>
        <v/>
      </c>
      <c r="O303" s="131"/>
      <c r="P303" s="131"/>
      <c r="Q303" s="132"/>
      <c r="R303" s="119"/>
      <c r="S303" s="119"/>
      <c r="T303" s="119"/>
      <c r="U303" s="133" t="str">
        <f>IF([7]回答表!X54="●",[7]回答表!B503,IF([7]回答表!AA54="●",[7]回答表!B526,""))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IF([7]回答表!X54="●",[7]回答表!BC510,IF([7]回答表!AA54="●",[7]回答表!BC533,""))</f>
        <v/>
      </c>
      <c r="AR303" s="271"/>
      <c r="AS303" s="271"/>
      <c r="AT303" s="271"/>
      <c r="AU303" s="272" t="s">
        <v>74</v>
      </c>
      <c r="AV303" s="273"/>
      <c r="AW303" s="273"/>
      <c r="AX303" s="274"/>
      <c r="AY303" s="271" t="str">
        <f>IF([7]回答表!X54="●",[7]回答表!BC515,IF([7]回答表!AA54="●",[7]回答表!BC538,""))</f>
        <v/>
      </c>
      <c r="AZ303" s="271"/>
      <c r="BA303" s="271"/>
      <c r="BB303" s="271"/>
      <c r="BC303" s="120"/>
      <c r="BD303" s="109"/>
      <c r="BE303" s="109"/>
      <c r="BF303" s="138" t="str">
        <f>IF([7]回答表!X54="●",[7]回答表!S509,IF([7]回答表!AA54="●",[7]回答表!S532,""))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IF([7]回答表!X54="●",[7]回答表!BC511,IF([7]回答表!AA54="●",[7]回答表!BC534,""))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IF([7]回答表!X54="●",[7]回答表!V509,IF([7]回答表!AA54="●",[7]回答表!V532,""))</f>
        <v/>
      </c>
      <c r="BG306" s="151"/>
      <c r="BH306" s="151"/>
      <c r="BI306" s="151"/>
      <c r="BJ306" s="150" t="str">
        <f>IF([7]回答表!X54="●",[7]回答表!V510,IF([7]回答表!AA54="●",[7]回答表!V533,""))</f>
        <v/>
      </c>
      <c r="BK306" s="151"/>
      <c r="BL306" s="151"/>
      <c r="BM306" s="152"/>
      <c r="BN306" s="150" t="str">
        <f>IF([7]回答表!X54="●",[7]回答表!V511,IF([7]回答表!AA54="●",[7]回答表!V534,""))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IF([7]回答表!X54="●",[7]回答表!BC512,IF([7]回答表!AA54="●",[7]回答表!BC535,""))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IF([7]回答表!X54="●",[7]回答表!BC516,IF([7]回答表!AA54="●",[7]回答表!BC539,""))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IF([7]回答表!AA54="●","●","")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IF([7]回答表!X54="●",[7]回答表!BC513,IF([7]回答表!AA54="●",[7]回答表!BC536,""))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IF([7]回答表!X54="●",[7]回答表!BC514,IF([7]回答表!AA54="●",[7]回答表!BC537,""))</f>
        <v/>
      </c>
      <c r="AR311" s="271"/>
      <c r="AS311" s="271"/>
      <c r="AT311" s="271"/>
      <c r="AU311" s="222" t="s">
        <v>80</v>
      </c>
      <c r="AV311" s="223"/>
      <c r="AW311" s="223"/>
      <c r="AX311" s="224"/>
      <c r="AY311" s="281" t="str">
        <f>IF([7]回答表!X54="●",[7]回答表!BC517,IF([7]回答表!AA54="●",[7]回答表!BC540,""))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IF([7]回答表!X54="●",[7]回答表!E516,IF([7]回答表!AA54="●",[7]回答表!E538,""))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IF([7]回答表!X54="●",[7]回答表!B518,IF([7]回答表!AA54="●",[7]回答表!B540,""))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IF([7]回答表!AD54="●","●","")</f>
        <v/>
      </c>
      <c r="O322" s="131"/>
      <c r="P322" s="131"/>
      <c r="Q322" s="132"/>
      <c r="R322" s="119"/>
      <c r="S322" s="119"/>
      <c r="T322" s="119"/>
      <c r="U322" s="133" t="str">
        <f>IF([7]回答表!AD54="●",[7]回答表!B548,"")</f>
        <v/>
      </c>
      <c r="V322" s="134"/>
      <c r="W322" s="134"/>
      <c r="X322" s="134"/>
      <c r="Y322" s="134"/>
      <c r="Z322" s="134"/>
      <c r="AA322" s="134"/>
      <c r="AB322" s="134"/>
      <c r="AC322" s="134"/>
      <c r="AD322" s="134"/>
      <c r="AE322" s="134"/>
      <c r="AF322" s="134"/>
      <c r="AG322" s="134"/>
      <c r="AH322" s="134"/>
      <c r="AI322" s="134"/>
      <c r="AJ322" s="135"/>
      <c r="AK322" s="189"/>
      <c r="AL322" s="189"/>
      <c r="AM322" s="133" t="str">
        <f>IF([7]回答表!AD54="●",[7]回答表!B554,"")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IF([7]回答表!X55="●","●","")</f>
        <v/>
      </c>
      <c r="O333" s="131"/>
      <c r="P333" s="131"/>
      <c r="Q333" s="132"/>
      <c r="R333" s="119"/>
      <c r="S333" s="119"/>
      <c r="T333" s="119"/>
      <c r="U333" s="133" t="str">
        <f>IF([7]回答表!X55="●",[7]回答表!B565,IF([7]回答表!AA55="●",[7]回答表!B590,""))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IF([7]回答表!X55="●",[7]回答表!B575,IF([7]回答表!AA55="●",[7]回答表!B600,""))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IF([7]回答表!X55="●",[7]回答表!G571,IF([7]回答表!AA55="●",[7]回答表!G596,""))</f>
        <v/>
      </c>
      <c r="AN335" s="83"/>
      <c r="AO335" s="83"/>
      <c r="AP335" s="83"/>
      <c r="AQ335" s="83"/>
      <c r="AR335" s="83"/>
      <c r="AS335" s="83"/>
      <c r="AT335" s="153"/>
      <c r="AU335" s="82" t="str">
        <f>IF([7]回答表!X55="●",[7]回答表!G572,IF([7]回答表!AA55="●",[7]回答表!G597,""))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IF([7]回答表!X55="●",[7]回答表!E575,IF([7]回答表!AA55="●",[7]回答表!E600,""))</f>
        <v/>
      </c>
      <c r="BG336" s="151"/>
      <c r="BH336" s="151"/>
      <c r="BI336" s="151"/>
      <c r="BJ336" s="150" t="str">
        <f>IF([7]回答表!X55="●",[7]回答表!E576,IF([7]回答表!AA55="●",[7]回答表!E601,""))</f>
        <v/>
      </c>
      <c r="BK336" s="151"/>
      <c r="BL336" s="151"/>
      <c r="BM336" s="152"/>
      <c r="BN336" s="150" t="str">
        <f>IF([7]回答表!X55="●",[7]回答表!E577,IF([7]回答表!AA55="●",[7]回答表!E602,""))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IF([7]回答表!AA55="●","●","")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IF([7]回答表!X55="●",[7]回答表!E580,IF([7]回答表!AA55="●",[7]回答表!E605,""))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IF([7]回答表!X55="●",[7]回答表!B582,IF([7]回答表!AA55="●",[7]回答表!B607,""))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IF([7]回答表!AD55="●","●","")</f>
        <v/>
      </c>
      <c r="O352" s="131"/>
      <c r="P352" s="131"/>
      <c r="Q352" s="132"/>
      <c r="R352" s="119"/>
      <c r="S352" s="119"/>
      <c r="T352" s="119"/>
      <c r="U352" s="133" t="str">
        <f>IF([7]回答表!AD55="●",[7]回答表!B615,"")</f>
        <v/>
      </c>
      <c r="V352" s="134"/>
      <c r="W352" s="134"/>
      <c r="X352" s="134"/>
      <c r="Y352" s="134"/>
      <c r="Z352" s="134"/>
      <c r="AA352" s="134"/>
      <c r="AB352" s="134"/>
      <c r="AC352" s="134"/>
      <c r="AD352" s="134"/>
      <c r="AE352" s="134"/>
      <c r="AF352" s="134"/>
      <c r="AG352" s="134"/>
      <c r="AH352" s="134"/>
      <c r="AI352" s="134"/>
      <c r="AJ352" s="135"/>
      <c r="AK352" s="136"/>
      <c r="AL352" s="136"/>
      <c r="AM352" s="133" t="str">
        <f>IF([7]回答表!AD55="●",[7]回答表!B621,"")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IF([7]回答表!R56="●",[7]回答表!B634,"")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718C7-FD4F-483A-8A68-1683927CF0F2}">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IF(COUNTIF([8]回答表!K16,"*")&gt;0,[8]回答表!K16,"")</f>
        <v>大館市</v>
      </c>
      <c r="D11" s="8"/>
      <c r="E11" s="8"/>
      <c r="F11" s="8"/>
      <c r="G11" s="8"/>
      <c r="H11" s="8"/>
      <c r="I11" s="8"/>
      <c r="J11" s="8"/>
      <c r="K11" s="8"/>
      <c r="L11" s="8"/>
      <c r="M11" s="8"/>
      <c r="N11" s="8"/>
      <c r="O11" s="8"/>
      <c r="P11" s="8"/>
      <c r="Q11" s="8"/>
      <c r="R11" s="8"/>
      <c r="S11" s="8"/>
      <c r="T11" s="8"/>
      <c r="U11" s="22" t="str">
        <f>IF(COUNTIF([8]回答表!F18,"*")&gt;0,[8]回答表!F18,"")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IF(COUNTIF([8]回答表!W18,"*")&gt;0,[8]回答表!W18,"")</f>
        <v>指定介護老人福祉施設</v>
      </c>
      <c r="AP11" s="10"/>
      <c r="AQ11" s="10"/>
      <c r="AR11" s="10"/>
      <c r="AS11" s="10"/>
      <c r="AT11" s="10"/>
      <c r="AU11" s="10"/>
      <c r="AV11" s="10"/>
      <c r="AW11" s="10"/>
      <c r="AX11" s="10"/>
      <c r="AY11" s="10"/>
      <c r="AZ11" s="10"/>
      <c r="BA11" s="10"/>
      <c r="BB11" s="10"/>
      <c r="BC11" s="10"/>
      <c r="BD11" s="10"/>
      <c r="BE11" s="10"/>
      <c r="BF11" s="11"/>
      <c r="BG11" s="21" t="str">
        <f>IF(COUNTIF([8]回答表!F20,"*")&gt;0,[8]回答表!F20,"")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IF([8]回答表!R49="●","●","")</f>
        <v/>
      </c>
      <c r="E24" s="80"/>
      <c r="F24" s="80"/>
      <c r="G24" s="80"/>
      <c r="H24" s="80"/>
      <c r="I24" s="80"/>
      <c r="J24" s="81"/>
      <c r="K24" s="79" t="str">
        <f>IF([8]回答表!R50="●","●","")</f>
        <v>●</v>
      </c>
      <c r="L24" s="80"/>
      <c r="M24" s="80"/>
      <c r="N24" s="80"/>
      <c r="O24" s="80"/>
      <c r="P24" s="80"/>
      <c r="Q24" s="81"/>
      <c r="R24" s="79" t="str">
        <f>IF([8]回答表!R51="●","●","")</f>
        <v/>
      </c>
      <c r="S24" s="80"/>
      <c r="T24" s="80"/>
      <c r="U24" s="80"/>
      <c r="V24" s="80"/>
      <c r="W24" s="80"/>
      <c r="X24" s="81"/>
      <c r="Y24" s="79" t="str">
        <f>IF([8]回答表!R52="●","●","")</f>
        <v>●</v>
      </c>
      <c r="Z24" s="80"/>
      <c r="AA24" s="80"/>
      <c r="AB24" s="80"/>
      <c r="AC24" s="80"/>
      <c r="AD24" s="80"/>
      <c r="AE24" s="81"/>
      <c r="AF24" s="79" t="str">
        <f>IF([8]回答表!R53="●","●","")</f>
        <v/>
      </c>
      <c r="AG24" s="80"/>
      <c r="AH24" s="80"/>
      <c r="AI24" s="80"/>
      <c r="AJ24" s="80"/>
      <c r="AK24" s="80"/>
      <c r="AL24" s="81"/>
      <c r="AM24" s="79" t="str">
        <f>IF([8]回答表!R54="●","●","")</f>
        <v/>
      </c>
      <c r="AN24" s="80"/>
      <c r="AO24" s="80"/>
      <c r="AP24" s="80"/>
      <c r="AQ24" s="80"/>
      <c r="AR24" s="80"/>
      <c r="AS24" s="81"/>
      <c r="AT24" s="79" t="str">
        <f>IF([8]回答表!R55="●","●","")</f>
        <v/>
      </c>
      <c r="AU24" s="80"/>
      <c r="AV24" s="80"/>
      <c r="AW24" s="80"/>
      <c r="AX24" s="80"/>
      <c r="AY24" s="80"/>
      <c r="AZ24" s="81"/>
      <c r="BA24" s="68"/>
      <c r="BB24" s="82" t="str">
        <f>IF([8]回答表!R56="●","●","")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IF([8]回答表!X49="●","●","")</f>
        <v/>
      </c>
      <c r="O36" s="131"/>
      <c r="P36" s="131"/>
      <c r="Q36" s="132"/>
      <c r="R36" s="119"/>
      <c r="S36" s="119"/>
      <c r="T36" s="119"/>
      <c r="U36" s="133" t="str">
        <f>IF([8]回答表!X49="●",[8]回答表!B67,IF([8]回答表!AA49="●",[8]回答表!B95,""))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IF([8]回答表!X49="●",[8]回答表!S73,IF([8]回答表!AA49="●",[8]回答表!S101,""))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IF([8]回答表!X49="●",[8]回答表!G73,IF([8]回答表!AA49="●",[8]回答表!G101,""))</f>
        <v/>
      </c>
      <c r="AN38" s="83"/>
      <c r="AO38" s="83"/>
      <c r="AP38" s="83"/>
      <c r="AQ38" s="83"/>
      <c r="AR38" s="83"/>
      <c r="AS38" s="83"/>
      <c r="AT38" s="153"/>
      <c r="AU38" s="82" t="str">
        <f>IF([8]回答表!X49="●",[8]回答表!G74,IF([8]回答表!AA49="●",[8]回答表!G102,""))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IF([8]回答表!X49="●",[8]回答表!V73,IF([8]回答表!AA49="●",[8]回答表!V101,""))</f>
        <v/>
      </c>
      <c r="BG39" s="16"/>
      <c r="BH39" s="16"/>
      <c r="BI39" s="17"/>
      <c r="BJ39" s="150" t="str">
        <f>IF([8]回答表!X49="●",[8]回答表!V74,IF([8]回答表!AA49="●",[8]回答表!V102,""))</f>
        <v/>
      </c>
      <c r="BK39" s="16"/>
      <c r="BL39" s="16"/>
      <c r="BM39" s="17"/>
      <c r="BN39" s="150" t="str">
        <f>IF([8]回答表!X49="●",[8]回答表!V75,IF([8]回答表!AA49="●",[8]回答表!V103,""))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IF([8]回答表!X49="●",[8]回答表!O79,IF([8]回答表!AA49="●",[8]回答表!O107,""))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IF([8]回答表!X49="●",[8]回答表!O80,IF([8]回答表!AA49="●",[8]回答表!O108,""))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IF([8]回答表!AA49="●","●","")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IF([8]回答表!X49="●",[8]回答表!O81,IF([8]回答表!AA49="●",[8]回答表!O109,""))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IF([8]回答表!X49="●",[8]回答表!O82,IF([8]回答表!AA49="●",[8]回答表!O110,""))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IF([8]回答表!X49="●",[8]回答表!AG79,IF([8]回答表!AA49="●",[8]回答表!AG107,""))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IF([8]回答表!X49="●",[8]回答表!AG80,IF([8]回答表!AA49="●",[8]回答表!AG108,""))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IF([8]回答表!X49="●",[8]回答表!E85,IF([8]回答表!AA49="●",[8]回答表!E113,""))</f>
        <v/>
      </c>
      <c r="V50" s="182"/>
      <c r="W50" s="182"/>
      <c r="X50" s="182"/>
      <c r="Y50" s="182"/>
      <c r="Z50" s="182"/>
      <c r="AA50" s="182"/>
      <c r="AB50" s="182"/>
      <c r="AC50" s="182"/>
      <c r="AD50" s="182"/>
      <c r="AE50" s="183" t="s">
        <v>33</v>
      </c>
      <c r="AF50" s="183"/>
      <c r="AG50" s="183"/>
      <c r="AH50" s="183"/>
      <c r="AI50" s="183"/>
      <c r="AJ50" s="184"/>
      <c r="AK50" s="136"/>
      <c r="AL50" s="136"/>
      <c r="AM50" s="133" t="str">
        <f>IF([8]回答表!X49="●",[8]回答表!B87,IF([8]回答表!AA49="●",[8]回答表!B115,""))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IF([8]回答表!AD49="●","●","")</f>
        <v/>
      </c>
      <c r="O57" s="131"/>
      <c r="P57" s="131"/>
      <c r="Q57" s="132"/>
      <c r="R57" s="119"/>
      <c r="S57" s="119"/>
      <c r="T57" s="119"/>
      <c r="U57" s="133" t="str">
        <f>IF([8]回答表!AD49="●",[8]回答表!B123,"")</f>
        <v/>
      </c>
      <c r="V57" s="134"/>
      <c r="W57" s="134"/>
      <c r="X57" s="134"/>
      <c r="Y57" s="134"/>
      <c r="Z57" s="134"/>
      <c r="AA57" s="134"/>
      <c r="AB57" s="134"/>
      <c r="AC57" s="134"/>
      <c r="AD57" s="134"/>
      <c r="AE57" s="134"/>
      <c r="AF57" s="134"/>
      <c r="AG57" s="134"/>
      <c r="AH57" s="134"/>
      <c r="AI57" s="134"/>
      <c r="AJ57" s="135"/>
      <c r="AK57" s="189"/>
      <c r="AL57" s="189"/>
      <c r="AM57" s="133" t="str">
        <f>IF([8]回答表!AD49="●",[8]回答表!B128,"")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IF([8]回答表!X50="●","●","")</f>
        <v/>
      </c>
      <c r="O68" s="131"/>
      <c r="P68" s="131"/>
      <c r="Q68" s="132"/>
      <c r="R68" s="119"/>
      <c r="S68" s="119"/>
      <c r="T68" s="119"/>
      <c r="U68" s="133" t="str">
        <f>IF([8]回答表!X50="●",[8]回答表!B138,IF([8]回答表!AA50="●",[8]回答表!B159,""))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IF([8]回答表!X50="●",[8]回答表!S144,IF([8]回答表!AA50="●",[8]回答表!S165,""))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IF([8]回答表!X50="●",[8]回答表!J144,IF([8]回答表!AA50="●",[8]回答表!J165,""))</f>
        <v/>
      </c>
      <c r="AN71" s="83"/>
      <c r="AO71" s="83"/>
      <c r="AP71" s="83"/>
      <c r="AQ71" s="83"/>
      <c r="AR71" s="83"/>
      <c r="AS71" s="83"/>
      <c r="AT71" s="153"/>
      <c r="AU71" s="82" t="str">
        <f>IF([8]回答表!X50="●",[8]回答表!J145,IF([8]回答表!AA50="●",[8]回答表!J166,""))</f>
        <v/>
      </c>
      <c r="AV71" s="83"/>
      <c r="AW71" s="83"/>
      <c r="AX71" s="83"/>
      <c r="AY71" s="83"/>
      <c r="AZ71" s="83"/>
      <c r="BA71" s="83"/>
      <c r="BB71" s="153"/>
      <c r="BC71" s="120"/>
      <c r="BD71" s="109"/>
      <c r="BE71" s="109"/>
      <c r="BF71" s="150" t="str">
        <f>IF([8]回答表!X50="●",[8]回答表!V144,IF([8]回答表!AA50="●",[8]回答表!V165,""))</f>
        <v/>
      </c>
      <c r="BG71" s="151"/>
      <c r="BH71" s="151"/>
      <c r="BI71" s="151"/>
      <c r="BJ71" s="150" t="str">
        <f>IF([8]回答表!X50="●",[8]回答表!V145,IF([8]回答表!AA50="●",[8]回答表!V166,""))</f>
        <v/>
      </c>
      <c r="BK71" s="151"/>
      <c r="BL71" s="151"/>
      <c r="BM71" s="151"/>
      <c r="BN71" s="150" t="str">
        <f>IF([8]回答表!X50="●",[8]回答表!V146,IF([8]回答表!AA50="●",[8]回答表!V167,""))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IF([8]回答表!AA50="●","●","")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IF([8]回答表!X50="●",[8]回答表!E149,IF([8]回答表!AA50="●",[8]回答表!E170,""))</f>
        <v/>
      </c>
      <c r="V80" s="182"/>
      <c r="W80" s="182"/>
      <c r="X80" s="182"/>
      <c r="Y80" s="182"/>
      <c r="Z80" s="182"/>
      <c r="AA80" s="182"/>
      <c r="AB80" s="182"/>
      <c r="AC80" s="182"/>
      <c r="AD80" s="182"/>
      <c r="AE80" s="183" t="s">
        <v>33</v>
      </c>
      <c r="AF80" s="183"/>
      <c r="AG80" s="183"/>
      <c r="AH80" s="183"/>
      <c r="AI80" s="183"/>
      <c r="AJ80" s="184"/>
      <c r="AK80" s="136"/>
      <c r="AL80" s="136"/>
      <c r="AM80" s="133" t="str">
        <f>IF([8]回答表!X50="●",[8]回答表!B151,IF([8]回答表!AA50="●",[8]回答表!B172,""))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IF([8]回答表!AD50="●","●","")</f>
        <v>●</v>
      </c>
      <c r="O87" s="131"/>
      <c r="P87" s="131"/>
      <c r="Q87" s="132"/>
      <c r="R87" s="119"/>
      <c r="S87" s="119"/>
      <c r="T87" s="119"/>
      <c r="U87" s="133" t="str">
        <f>IF([8]回答表!AD50="●",[8]回答表!B180,"")</f>
        <v>大館市介護保険事業計画第９期で民間への譲渡を検討している。
公共施設等総合管理計画を策定し、議会への報告、ホームページで公開済み。</v>
      </c>
      <c r="V87" s="134"/>
      <c r="W87" s="134"/>
      <c r="X87" s="134"/>
      <c r="Y87" s="134"/>
      <c r="Z87" s="134"/>
      <c r="AA87" s="134"/>
      <c r="AB87" s="134"/>
      <c r="AC87" s="134"/>
      <c r="AD87" s="134"/>
      <c r="AE87" s="134"/>
      <c r="AF87" s="134"/>
      <c r="AG87" s="134"/>
      <c r="AH87" s="134"/>
      <c r="AI87" s="134"/>
      <c r="AJ87" s="135"/>
      <c r="AK87" s="189"/>
      <c r="AL87" s="189"/>
      <c r="AM87" s="133" t="str">
        <f>IF([8]回答表!AD50="●",[8]回答表!B186,"")</f>
        <v>令和６年４月を目途に譲渡することで検討。
施設の老朽化もあり、経費が増大しないよう譲渡方法を検討している。</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IF([8]回答表!F18="水道事業",IF([8]回答表!X51="●","●",""),"")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IF([8]回答表!F18="水道事業",IF([8]回答表!X51="●",[8]回答表!B197,IF([8]回答表!AA51="●",[8]回答表!B275,"")),"")</f>
        <v/>
      </c>
      <c r="AN99" s="134"/>
      <c r="AO99" s="134"/>
      <c r="AP99" s="134"/>
      <c r="AQ99" s="134"/>
      <c r="AR99" s="134"/>
      <c r="AS99" s="134"/>
      <c r="AT99" s="134"/>
      <c r="AU99" s="134"/>
      <c r="AV99" s="134"/>
      <c r="AW99" s="134"/>
      <c r="AX99" s="134"/>
      <c r="AY99" s="134"/>
      <c r="AZ99" s="134"/>
      <c r="BA99" s="134"/>
      <c r="BB99" s="134"/>
      <c r="BC99" s="135"/>
      <c r="BD99" s="109"/>
      <c r="BE99" s="109"/>
      <c r="BF99" s="138" t="str">
        <f>IF([8]回答表!F18="水道事業",IF([8]回答表!X51="●",[8]回答表!B256,IF([8]回答表!AA51="●",[8]回答表!B335,"")),"")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IF([8]回答表!F18="水道事業",IF([8]回答表!X51="●",[8]回答表!J205,IF([8]回答表!AA51="●",[8]回答表!J283,"")),"")</f>
        <v/>
      </c>
      <c r="V101" s="83"/>
      <c r="W101" s="83"/>
      <c r="X101" s="83"/>
      <c r="Y101" s="83"/>
      <c r="Z101" s="83"/>
      <c r="AA101" s="83"/>
      <c r="AB101" s="153"/>
      <c r="AC101" s="82" t="str">
        <f>IF([8]回答表!F18="水道事業",IF([8]回答表!X51="●",[8]回答表!J210,IF([8]回答表!AA51="●",[8]回答表!J290,"")),"")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IF([8]回答表!F18="水道事業",IF([8]回答表!X51="●",[8]回答表!E256,IF([8]回答表!AA51="●",[8]回答表!E335,"")),"")</f>
        <v/>
      </c>
      <c r="BG102" s="151"/>
      <c r="BH102" s="151"/>
      <c r="BI102" s="151"/>
      <c r="BJ102" s="150" t="str">
        <f>IF([8]回答表!F18="水道事業",IF([8]回答表!X51="●",[8]回答表!E257,IF([8]回答表!AA51="●",[8]回答表!E336,"")),"")</f>
        <v/>
      </c>
      <c r="BK102" s="151"/>
      <c r="BL102" s="151"/>
      <c r="BM102" s="151"/>
      <c r="BN102" s="150" t="str">
        <f>IF([8]回答表!F18="水道事業",IF([8]回答表!X51="●",[8]回答表!E258,IF([8]回答表!AA51="●",[8]回答表!E337,"")),"")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IF([8]回答表!F18="水道事業",IF([8]回答表!AA51="●","●",""),"")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IF([8]回答表!F18="水道事業",IF([8]回答表!X51="●",[8]回答表!J213,IF([8]回答表!AA51="●",[8]回答表!J293,"")),"")</f>
        <v/>
      </c>
      <c r="V106" s="83"/>
      <c r="W106" s="83"/>
      <c r="X106" s="83"/>
      <c r="Y106" s="83"/>
      <c r="Z106" s="83"/>
      <c r="AA106" s="83"/>
      <c r="AB106" s="153"/>
      <c r="AC106" s="82" t="str">
        <f>IF([8]回答表!F18="水道事業",IF([8]回答表!X51="●",[8]回答表!J217,IF([8]回答表!AA51="●",[8]回答表!J297,"")),"")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IF([8]回答表!F18="水道事業",IF([8]回答表!X51="●",[8]回答表!E265,IF([8]回答表!AA51="●",[8]回答表!E344,"")),"")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IF([8]回答表!F18="水道事業",IF([8]回答表!X51="●",[8]回答表!B267,IF([8]回答表!AA51="●",[8]回答表!B346,"")),"")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IF([8]回答表!F18="水道事業",IF([8]回答表!AD51="●","●",""),"")</f>
        <v/>
      </c>
      <c r="O118" s="131"/>
      <c r="P118" s="131"/>
      <c r="Q118" s="132"/>
      <c r="R118" s="119"/>
      <c r="S118" s="119"/>
      <c r="T118" s="119"/>
      <c r="U118" s="133" t="str">
        <f>IF([8]回答表!F18="水道事業",IF([8]回答表!AD51="●",[8]回答表!B354,""),"")</f>
        <v/>
      </c>
      <c r="V118" s="134"/>
      <c r="W118" s="134"/>
      <c r="X118" s="134"/>
      <c r="Y118" s="134"/>
      <c r="Z118" s="134"/>
      <c r="AA118" s="134"/>
      <c r="AB118" s="134"/>
      <c r="AC118" s="134"/>
      <c r="AD118" s="134"/>
      <c r="AE118" s="134"/>
      <c r="AF118" s="134"/>
      <c r="AG118" s="134"/>
      <c r="AH118" s="134"/>
      <c r="AI118" s="134"/>
      <c r="AJ118" s="135"/>
      <c r="AK118" s="189"/>
      <c r="AL118" s="189"/>
      <c r="AM118" s="133" t="str">
        <f>IF([8]回答表!F18="水道事業",IF([8]回答表!AD51="●",[8]回答表!B360,""),"")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IF([8]回答表!F18="簡易水道事業",IF([8]回答表!X51="●",[8]回答表!B197,IF([8]回答表!AA51="●",[8]回答表!B275,"")),"")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IF([8]回答表!F18="簡易水道事業",IF([8]回答表!X51="●",[8]回答表!B256,IF([8]回答表!AA51="●",[8]回答表!B335,"")),"")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IF([8]回答表!F18="簡易水道事業",IF([8]回答表!X51="●","●",""),"")</f>
        <v/>
      </c>
      <c r="O132" s="131"/>
      <c r="P132" s="131"/>
      <c r="Q132" s="132"/>
      <c r="R132" s="119"/>
      <c r="S132" s="119"/>
      <c r="T132" s="119"/>
      <c r="U132" s="82" t="str">
        <f>IF([8]回答表!F18="簡易水道事業",IF([8]回答表!X51="●",[8]回答表!S224,IF([8]回答表!AA51="●",[8]回答表!S304,"")),"")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IF([8]回答表!F18="簡易水道事業",IF([8]回答表!X51="●",[8]回答表!E256,IF([8]回答表!AA51="●",[8]回答表!E335,"")),"")</f>
        <v/>
      </c>
      <c r="BG133" s="151"/>
      <c r="BH133" s="151"/>
      <c r="BI133" s="151"/>
      <c r="BJ133" s="150" t="str">
        <f>IF([8]回答表!F18="簡易水道事業",IF([8]回答表!X51="●",[8]回答表!E257,IF([8]回答表!AA51="●",[8]回答表!E336,"")),"")</f>
        <v/>
      </c>
      <c r="BK133" s="151"/>
      <c r="BL133" s="151"/>
      <c r="BM133" s="151"/>
      <c r="BN133" s="150" t="str">
        <f>IF([8]回答表!F18="簡易水道事業",IF([8]回答表!X51="●",[8]回答表!E258,IF([8]回答表!AA51="●",[8]回答表!E337,"")),"")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IF([8]回答表!F18="簡易水道事業",IF([8]回答表!X51="●",[8]回答表!S225,IF([8]回答表!AA51="●",[8]回答表!S305,"")),"")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IF([8]回答表!F18="簡易水道事業",IF([8]回答表!AA51="●","●",""),"")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IF([8]回答表!F18="簡易水道事業",IF([8]回答表!X51="●",[8]回答表!S226,IF([8]回答表!AA51="●",[8]回答表!S306,"")),"")</f>
        <v/>
      </c>
      <c r="V142" s="83"/>
      <c r="W142" s="83"/>
      <c r="X142" s="83"/>
      <c r="Y142" s="83"/>
      <c r="Z142" s="83"/>
      <c r="AA142" s="83"/>
      <c r="AB142" s="83"/>
      <c r="AC142" s="83"/>
      <c r="AD142" s="83"/>
      <c r="AE142" s="83"/>
      <c r="AF142" s="83"/>
      <c r="AG142" s="83"/>
      <c r="AH142" s="83"/>
      <c r="AI142" s="83"/>
      <c r="AJ142" s="153"/>
      <c r="AK142" s="68"/>
      <c r="AL142" s="68"/>
      <c r="AM142" s="231" t="str">
        <f>IF([8]回答表!F18="簡易水道事業",IF([8]回答表!X51="●",[8]回答表!Y228,IF([8]回答表!AA51="●",[8]回答表!Y308,"")),"")</f>
        <v/>
      </c>
      <c r="AN142" s="231"/>
      <c r="AO142" s="231"/>
      <c r="AP142" s="231"/>
      <c r="AQ142" s="231"/>
      <c r="AR142" s="231"/>
      <c r="AS142" s="231" t="str">
        <f>IF([8]回答表!F18="簡易水道事業",IF([8]回答表!X51="●",[8]回答表!Y229,IF([8]回答表!AA51="●",[8]回答表!Y309,"")),"")</f>
        <v/>
      </c>
      <c r="AT142" s="231"/>
      <c r="AU142" s="231"/>
      <c r="AV142" s="231"/>
      <c r="AW142" s="231"/>
      <c r="AX142" s="231"/>
      <c r="AY142" s="231" t="str">
        <f>IF([8]回答表!F18="簡易水道事業",IF([8]回答表!X51="●",[8]回答表!Y230,IF([8]回答表!AA51="●",[8]回答表!Y310,"")),"")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IF([8]回答表!F18="簡易水道事業",IF([8]回答表!X51="●",[8]回答表!E265,IF([8]回答表!AA51="●",[8]回答表!E344,"")),"")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IF([8]回答表!F18="簡易水道事業",IF([8]回答表!X51="●",[8]回答表!B267,IF([8]回答表!AA51="●",[8]回答表!B346,"")),"")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IF([8]回答表!F18="簡易水道事業",IF([8]回答表!AD51="●","●",""),"")</f>
        <v/>
      </c>
      <c r="O154" s="131"/>
      <c r="P154" s="131"/>
      <c r="Q154" s="132"/>
      <c r="R154" s="119"/>
      <c r="S154" s="119"/>
      <c r="T154" s="119"/>
      <c r="U154" s="133" t="str">
        <f>IF([8]回答表!F18="簡易水道事業",IF([8]回答表!AD51="●",[8]回答表!B354,""),"")</f>
        <v/>
      </c>
      <c r="V154" s="134"/>
      <c r="W154" s="134"/>
      <c r="X154" s="134"/>
      <c r="Y154" s="134"/>
      <c r="Z154" s="134"/>
      <c r="AA154" s="134"/>
      <c r="AB154" s="134"/>
      <c r="AC154" s="134"/>
      <c r="AD154" s="134"/>
      <c r="AE154" s="134"/>
      <c r="AF154" s="134"/>
      <c r="AG154" s="134"/>
      <c r="AH154" s="134"/>
      <c r="AI154" s="134"/>
      <c r="AJ154" s="135"/>
      <c r="AK154" s="189"/>
      <c r="AL154" s="189"/>
      <c r="AM154" s="133" t="str">
        <f>IF([8]回答表!F18="簡易水道事業",IF([8]回答表!AD51="●",[8]回答表!B360,""),"")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IF([8]回答表!F18="下水道事業",IF([8]回答表!X51="●","●",""),"")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IF([8]回答表!F18="下水道事業",IF([8]回答表!X51="●",[8]回答表!B197,IF([8]回答表!AA51="●",[8]回答表!B275,"")),"")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IF([8]回答表!F18="下水道事業",IF([8]回答表!X51="●",[8]回答表!B256,IF([8]回答表!AA51="●",[8]回答表!B335,"")),"")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IF([8]回答表!F18="下水道事業",IF([8]回答表!X51="●",[8]回答表!N234,IF([8]回答表!AA51="●",[8]回答表!N314,"")),"")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IF([8]回答表!F18="下水道事業",IF([8]回答表!X51="●",[8]回答表!E256,IF([8]回答表!AA51="●",[8]回答表!E335,"")),"")</f>
        <v/>
      </c>
      <c r="BG169" s="151"/>
      <c r="BH169" s="151"/>
      <c r="BI169" s="151"/>
      <c r="BJ169" s="150" t="str">
        <f>IF([8]回答表!F18="下水道事業",IF([8]回答表!X51="●",[8]回答表!E257,IF([8]回答表!AA51="●",[8]回答表!E336,"")),"")</f>
        <v/>
      </c>
      <c r="BK169" s="151"/>
      <c r="BL169" s="151"/>
      <c r="BM169" s="151"/>
      <c r="BN169" s="150" t="str">
        <f>IF([8]回答表!F18="下水道事業",IF([8]回答表!X51="●",[8]回答表!E258,IF([8]回答表!AA51="●",[8]回答表!E337,"")),"")</f>
        <v/>
      </c>
      <c r="BO169" s="151"/>
      <c r="BP169" s="151"/>
      <c r="BQ169" s="152"/>
      <c r="BR169" s="112"/>
      <c r="BX169" s="234" t="str">
        <f>IF([8]回答表!AQ21="下水道事業",IF([8]回答表!BI54="○",[8]回答表!AM200,IF([8]回答表!BL54="○",[8]回答表!AM278,"")),"")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IF([8]回答表!F18="下水道事業",IF([8]回答表!X51="●",[8]回答表!Y236,IF([8]回答表!AA51="●",[8]回答表!Y316,"")),"")</f>
        <v/>
      </c>
      <c r="V174" s="83"/>
      <c r="W174" s="83"/>
      <c r="X174" s="83"/>
      <c r="Y174" s="83"/>
      <c r="Z174" s="83"/>
      <c r="AA174" s="83"/>
      <c r="AB174" s="153"/>
      <c r="AC174" s="82" t="str">
        <f>IF([8]回答表!F18="下水道事業",IF([8]回答表!X51="●",[8]回答表!Y237,IF([8]回答表!AA51="●",[8]回答表!Y317,"")),"")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IF([8]回答表!F18="下水道事業",IF([8]回答表!X51="●",[8]回答表!Y239,IF([8]回答表!AA51="●",[8]回答表!Y319,"")),"")</f>
        <v/>
      </c>
      <c r="V180" s="83"/>
      <c r="W180" s="83"/>
      <c r="X180" s="83"/>
      <c r="Y180" s="83"/>
      <c r="Z180" s="83"/>
      <c r="AA180" s="83"/>
      <c r="AB180" s="153"/>
      <c r="AC180" s="82" t="str">
        <f>IF([8]回答表!F18="下水道事業",IF([8]回答表!X51="●",[8]回答表!Y240,IF([8]回答表!AA51="●",[8]回答表!Y320,"")),"")</f>
        <v/>
      </c>
      <c r="AD180" s="83"/>
      <c r="AE180" s="83"/>
      <c r="AF180" s="83"/>
      <c r="AG180" s="83"/>
      <c r="AH180" s="83"/>
      <c r="AI180" s="83"/>
      <c r="AJ180" s="153"/>
      <c r="AK180" s="82" t="str">
        <f>IF([8]回答表!F18="下水道事業",IF([8]回答表!X51="●",[8]回答表!Y241,IF([8]回答表!AA51="●",[8]回答表!Y321,"")),"")</f>
        <v/>
      </c>
      <c r="AL180" s="83"/>
      <c r="AM180" s="83"/>
      <c r="AN180" s="83"/>
      <c r="AO180" s="83"/>
      <c r="AP180" s="83"/>
      <c r="AQ180" s="83"/>
      <c r="AR180" s="153"/>
      <c r="AS180" s="82" t="str">
        <f>IF([8]回答表!F18="下水道事業",IF([8]回答表!X51="●",[8]回答表!Y242,IF([8]回答表!AA51="●",[8]回答表!Y322,"")),"")</f>
        <v/>
      </c>
      <c r="AT180" s="83"/>
      <c r="AU180" s="83"/>
      <c r="AV180" s="83"/>
      <c r="AW180" s="83"/>
      <c r="AX180" s="83"/>
      <c r="AY180" s="83"/>
      <c r="AZ180" s="153"/>
      <c r="BA180" s="82" t="str">
        <f>IF([8]回答表!F18="下水道事業",IF([8]回答表!X51="●",[8]回答表!Y243,IF([8]回答表!AA51="●",[8]回答表!Y323,"")),"")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IF([8]回答表!F18="下水道事業",IF([8]回答表!AA51="●","●",""),"")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IF([8]回答表!F18="下水道事業",IF([8]回答表!X51="●",[8]回答表!N248,IF([8]回答表!AA51="●",[8]回答表!N328,"")),"")</f>
        <v/>
      </c>
      <c r="V186" s="83"/>
      <c r="W186" s="83"/>
      <c r="X186" s="83"/>
      <c r="Y186" s="83"/>
      <c r="Z186" s="83"/>
      <c r="AA186" s="83"/>
      <c r="AB186" s="153"/>
      <c r="AC186" s="82" t="str">
        <f>IF([8]回答表!F18="下水道事業",IF([8]回答表!X51="●",[8]回答表!N249,IF([8]回答表!AA51="●",[8]回答表!N329,"")),"")</f>
        <v/>
      </c>
      <c r="AD186" s="83"/>
      <c r="AE186" s="83"/>
      <c r="AF186" s="83"/>
      <c r="AG186" s="83"/>
      <c r="AH186" s="83"/>
      <c r="AI186" s="83"/>
      <c r="AJ186" s="153"/>
      <c r="AK186" s="82" t="str">
        <f>IF([8]回答表!F18="下水道事業",IF([8]回答表!X51="●",[8]回答表!N250,IF([8]回答表!AA51="●",[8]回答表!N330,"")),"")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IF([8]回答表!F18="下水道事業",IF([8]回答表!X51="●",[8]回答表!E265,IF([8]回答表!AA51="●",[8]回答表!E344,"")),"")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IF([8]回答表!F18="下水道事業",IF([8]回答表!X51="●",[8]回答表!B267,IF([8]回答表!AA51="●",[8]回答表!B346,"")),"")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IF([8]回答表!F18="下水道事業",IF([8]回答表!AD51="●","●",""),"")</f>
        <v/>
      </c>
      <c r="O198" s="131"/>
      <c r="P198" s="131"/>
      <c r="Q198" s="132"/>
      <c r="R198" s="119"/>
      <c r="S198" s="119"/>
      <c r="T198" s="119"/>
      <c r="U198" s="133" t="str">
        <f>IF([8]回答表!F18="下水道事業",IF([8]回答表!AD51="●",[8]回答表!B354,""),"")</f>
        <v/>
      </c>
      <c r="V198" s="134"/>
      <c r="W198" s="134"/>
      <c r="X198" s="134"/>
      <c r="Y198" s="134"/>
      <c r="Z198" s="134"/>
      <c r="AA198" s="134"/>
      <c r="AB198" s="134"/>
      <c r="AC198" s="134"/>
      <c r="AD198" s="134"/>
      <c r="AE198" s="134"/>
      <c r="AF198" s="134"/>
      <c r="AG198" s="134"/>
      <c r="AH198" s="134"/>
      <c r="AI198" s="134"/>
      <c r="AJ198" s="135"/>
      <c r="AK198" s="189"/>
      <c r="AL198" s="189"/>
      <c r="AM198" s="133" t="str">
        <f>IF([8]回答表!F18="下水道事業",IF([8]回答表!AD51="●",[8]回答表!B360,""),"")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IF([8]回答表!BD18="●",IF([8]回答表!X51="●","●",""),"")</f>
        <v/>
      </c>
      <c r="O210" s="131"/>
      <c r="P210" s="131"/>
      <c r="Q210" s="132"/>
      <c r="R210" s="119"/>
      <c r="S210" s="119"/>
      <c r="T210" s="119"/>
      <c r="U210" s="133" t="str">
        <f>IF([8]回答表!BD18="●",IF([8]回答表!X51="●",[8]回答表!B197,IF([8]回答表!AA51="●",[8]回答表!B275,"")),"")</f>
        <v/>
      </c>
      <c r="V210" s="134"/>
      <c r="W210" s="134"/>
      <c r="X210" s="134"/>
      <c r="Y210" s="134"/>
      <c r="Z210" s="134"/>
      <c r="AA210" s="134"/>
      <c r="AB210" s="134"/>
      <c r="AC210" s="134"/>
      <c r="AD210" s="134"/>
      <c r="AE210" s="134"/>
      <c r="AF210" s="134"/>
      <c r="AG210" s="134"/>
      <c r="AH210" s="134"/>
      <c r="AI210" s="134"/>
      <c r="AJ210" s="135"/>
      <c r="AK210" s="136"/>
      <c r="AL210" s="136"/>
      <c r="AM210" s="138" t="str">
        <f>IF([8]回答表!BD18="●",IF([8]回答表!X51="●",[8]回答表!B256,IF([8]回答表!AA51="●",[8]回答表!B335,"")),"")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IF([8]回答表!BD18="●",IF([8]回答表!X51="●",[8]回答表!E256,IF([8]回答表!AA51="●",[8]回答表!E335,"")),"")</f>
        <v/>
      </c>
      <c r="AN213" s="151"/>
      <c r="AO213" s="151"/>
      <c r="AP213" s="151"/>
      <c r="AQ213" s="150" t="str">
        <f>IF([8]回答表!BD18="●",IF([8]回答表!X51="●",[8]回答表!E257,IF([8]回答表!AA51="●",[8]回答表!E336,"")),"")</f>
        <v/>
      </c>
      <c r="AR213" s="151"/>
      <c r="AS213" s="151"/>
      <c r="AT213" s="151"/>
      <c r="AU213" s="150" t="str">
        <f>IF([8]回答表!BD18="●",IF([8]回答表!X51="●",[8]回答表!E258,IF([8]回答表!AA51="●",[8]回答表!E337,"")),"")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IF([8]回答表!BD18="●",IF([8]回答表!AA51="●","●",""),"")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IF([8]回答表!BD18="●",IF([8]回答表!X51="●",[8]回答表!E265,IF([8]回答表!AA51="●",[8]回答表!E344,"")),"")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IF([8]回答表!BD18="●",IF([8]回答表!X51="●",[8]回答表!B267,IF([8]回答表!AA51="●",[8]回答表!B346,"")),"")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IF([8]回答表!BD18="●",IF([8]回答表!AD51="●","●",""),"")</f>
        <v/>
      </c>
      <c r="O229" s="131"/>
      <c r="P229" s="131"/>
      <c r="Q229" s="132"/>
      <c r="R229" s="119"/>
      <c r="S229" s="119"/>
      <c r="T229" s="119"/>
      <c r="U229" s="133" t="str">
        <f>IF([8]回答表!BD18="●",IF([8]回答表!AD51="●",[8]回答表!B354,""),"")</f>
        <v/>
      </c>
      <c r="V229" s="134"/>
      <c r="W229" s="134"/>
      <c r="X229" s="134"/>
      <c r="Y229" s="134"/>
      <c r="Z229" s="134"/>
      <c r="AA229" s="134"/>
      <c r="AB229" s="134"/>
      <c r="AC229" s="134"/>
      <c r="AD229" s="134"/>
      <c r="AE229" s="134"/>
      <c r="AF229" s="134"/>
      <c r="AG229" s="134"/>
      <c r="AH229" s="134"/>
      <c r="AI229" s="134"/>
      <c r="AJ229" s="135"/>
      <c r="AK229" s="249"/>
      <c r="AL229" s="249"/>
      <c r="AM229" s="133" t="str">
        <f>IF([8]回答表!BD18="●",IF([8]回答表!AD51="●",[8]回答表!B360,""),"")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IF([8]回答表!X52="●","●","")</f>
        <v>●</v>
      </c>
      <c r="O241" s="131"/>
      <c r="P241" s="131"/>
      <c r="Q241" s="132"/>
      <c r="R241" s="119"/>
      <c r="S241" s="119"/>
      <c r="T241" s="119"/>
      <c r="U241" s="133" t="str">
        <f>IF([8]回答表!X52="●",[8]回答表!B371,IF([8]回答表!AA52="●",[8]回答表!B396,""))</f>
        <v>特別養護老人ホーム（定員１１０人）の管理・運営。
住民サービスの充実、介護サービスの質の向上が図られた。</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IF([8]回答表!X52="●",[8]回答表!U377,IF([8]回答表!AA52="●",[8]回答表!U402,""))</f>
        <v>平成</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IF([8]回答表!X52="●",[8]回答表!G377,IF([8]回答表!AA52="●",[8]回答表!G402,""))</f>
        <v xml:space="preserve"> </v>
      </c>
      <c r="AN244" s="83"/>
      <c r="AO244" s="83"/>
      <c r="AP244" s="83"/>
      <c r="AQ244" s="83"/>
      <c r="AR244" s="83"/>
      <c r="AS244" s="83"/>
      <c r="AT244" s="153"/>
      <c r="AU244" s="82" t="str">
        <f>IF([8]回答表!X52="●",[8]回答表!G378,IF([8]回答表!AA52="●",[8]回答表!G403,""))</f>
        <v>●</v>
      </c>
      <c r="AV244" s="83"/>
      <c r="AW244" s="83"/>
      <c r="AX244" s="83"/>
      <c r="AY244" s="83"/>
      <c r="AZ244" s="83"/>
      <c r="BA244" s="83"/>
      <c r="BB244" s="153"/>
      <c r="BC244" s="120"/>
      <c r="BD244" s="109"/>
      <c r="BE244" s="109"/>
      <c r="BF244" s="150">
        <f>IF([8]回答表!X52="●",[8]回答表!X377,IF([8]回答表!AA52="●",[8]回答表!X402,""))</f>
        <v>18</v>
      </c>
      <c r="BG244" s="151"/>
      <c r="BH244" s="151"/>
      <c r="BI244" s="151"/>
      <c r="BJ244" s="150">
        <f>IF([8]回答表!X52="●",[8]回答表!X378,IF([8]回答表!AA52="●",[8]回答表!X403,""))</f>
        <v>4</v>
      </c>
      <c r="BK244" s="151"/>
      <c r="BL244" s="151"/>
      <c r="BM244" s="152"/>
      <c r="BN244" s="150">
        <f>IF([8]回答表!X52="●",[8]回答表!X379,IF([8]回答表!AA52="●",[8]回答表!X404,""))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IF([8]回答表!AA52="●","●","")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IF([8]回答表!X52="●",[8]回答表!E386,IF([8]回答表!AA52="●",[8]回答表!E407,""))</f>
        <v>0</v>
      </c>
      <c r="V253" s="182"/>
      <c r="W253" s="182"/>
      <c r="X253" s="182"/>
      <c r="Y253" s="182"/>
      <c r="Z253" s="182"/>
      <c r="AA253" s="182"/>
      <c r="AB253" s="182"/>
      <c r="AC253" s="182"/>
      <c r="AD253" s="182"/>
      <c r="AE253" s="183" t="s">
        <v>33</v>
      </c>
      <c r="AF253" s="183"/>
      <c r="AG253" s="183"/>
      <c r="AH253" s="183"/>
      <c r="AI253" s="183"/>
      <c r="AJ253" s="184"/>
      <c r="AK253" s="136"/>
      <c r="AL253" s="136"/>
      <c r="AM253" s="133">
        <f>IF([8]回答表!X52="●",[8]回答表!B388,IF([8]回答表!AA52="●",[8]回答表!B409,""))</f>
        <v>0</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IF([8]回答表!AD52="●","●","")</f>
        <v/>
      </c>
      <c r="O260" s="131"/>
      <c r="P260" s="131"/>
      <c r="Q260" s="132"/>
      <c r="R260" s="119"/>
      <c r="S260" s="119"/>
      <c r="T260" s="119"/>
      <c r="U260" s="133" t="str">
        <f>IF([8]回答表!AD52="●",[8]回答表!B417,"")</f>
        <v/>
      </c>
      <c r="V260" s="134"/>
      <c r="W260" s="134"/>
      <c r="X260" s="134"/>
      <c r="Y260" s="134"/>
      <c r="Z260" s="134"/>
      <c r="AA260" s="134"/>
      <c r="AB260" s="134"/>
      <c r="AC260" s="134"/>
      <c r="AD260" s="134"/>
      <c r="AE260" s="134"/>
      <c r="AF260" s="134"/>
      <c r="AG260" s="134"/>
      <c r="AH260" s="134"/>
      <c r="AI260" s="134"/>
      <c r="AJ260" s="135"/>
      <c r="AK260" s="249"/>
      <c r="AL260" s="249"/>
      <c r="AM260" s="133" t="str">
        <f>IF([8]回答表!AD52="●",[8]回答表!B423,"")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IF([8]回答表!X53="●","●","")</f>
        <v/>
      </c>
      <c r="O272" s="131"/>
      <c r="P272" s="131"/>
      <c r="Q272" s="132"/>
      <c r="R272" s="119"/>
      <c r="S272" s="119"/>
      <c r="T272" s="119"/>
      <c r="U272" s="133" t="str">
        <f>IF([8]回答表!X53="●",[8]回答表!B434,IF([8]回答表!AA53="●",[8]回答表!B465,""))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IF([8]回答表!X53="●",[8]回答表!B440,"")</f>
        <v/>
      </c>
      <c r="AO272" s="262"/>
      <c r="AP272" s="262"/>
      <c r="AQ272" s="262"/>
      <c r="AR272" s="262"/>
      <c r="AS272" s="262"/>
      <c r="AT272" s="262"/>
      <c r="AU272" s="262"/>
      <c r="AV272" s="262"/>
      <c r="AW272" s="262"/>
      <c r="AX272" s="262"/>
      <c r="AY272" s="262"/>
      <c r="AZ272" s="262"/>
      <c r="BA272" s="262"/>
      <c r="BB272" s="263"/>
      <c r="BC272" s="120"/>
      <c r="BD272" s="109"/>
      <c r="BE272" s="109"/>
      <c r="BF272" s="138" t="str">
        <f>IF([8]回答表!X53="●",[8]回答表!B446,IF([8]回答表!AA53="●",[8]回答表!B471,""))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IF([8]回答表!X53="●",[8]回答表!E446,IF([8]回答表!AA53="●",[8]回答表!E471,""))</f>
        <v/>
      </c>
      <c r="BG275" s="151"/>
      <c r="BH275" s="151"/>
      <c r="BI275" s="151"/>
      <c r="BJ275" s="150" t="str">
        <f>IF([8]回答表!X53="●",[8]回答表!E447,IF([8]回答表!AA53="●",[8]回答表!E472,""))</f>
        <v/>
      </c>
      <c r="BK275" s="151"/>
      <c r="BL275" s="151"/>
      <c r="BM275" s="152"/>
      <c r="BN275" s="150" t="str">
        <f>IF([8]回答表!X53="●",[8]回答表!E448,IF([8]回答表!AA53="●",[8]回答表!E473,""))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IF([8]回答表!AA53="●","●","")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IF([8]回答表!X53="●",[8]回答表!E455,IF([8]回答表!AA53="●",[8]回答表!E476,""))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IF([8]回答表!X53="●",[8]回答表!B457,IF([8]回答表!AA53="●",[8]回答表!B478,""))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IF([8]回答表!AD53="●","●","")</f>
        <v/>
      </c>
      <c r="O291" s="131"/>
      <c r="P291" s="131"/>
      <c r="Q291" s="132"/>
      <c r="R291" s="119"/>
      <c r="S291" s="119"/>
      <c r="T291" s="119"/>
      <c r="U291" s="133" t="str">
        <f>IF([8]回答表!AD53="●",[8]回答表!B486,"")</f>
        <v/>
      </c>
      <c r="V291" s="134"/>
      <c r="W291" s="134"/>
      <c r="X291" s="134"/>
      <c r="Y291" s="134"/>
      <c r="Z291" s="134"/>
      <c r="AA291" s="134"/>
      <c r="AB291" s="134"/>
      <c r="AC291" s="134"/>
      <c r="AD291" s="134"/>
      <c r="AE291" s="134"/>
      <c r="AF291" s="134"/>
      <c r="AG291" s="134"/>
      <c r="AH291" s="134"/>
      <c r="AI291" s="134"/>
      <c r="AJ291" s="135"/>
      <c r="AK291" s="249"/>
      <c r="AL291" s="249"/>
      <c r="AM291" s="133" t="str">
        <f>IF([8]回答表!AD53="●",[8]回答表!B492,"")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IF([8]回答表!X54="●","●","")</f>
        <v/>
      </c>
      <c r="O303" s="131"/>
      <c r="P303" s="131"/>
      <c r="Q303" s="132"/>
      <c r="R303" s="119"/>
      <c r="S303" s="119"/>
      <c r="T303" s="119"/>
      <c r="U303" s="133" t="str">
        <f>IF([8]回答表!X54="●",[8]回答表!B503,IF([8]回答表!AA54="●",[8]回答表!B526,""))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IF([8]回答表!X54="●",[8]回答表!BC510,IF([8]回答表!AA54="●",[8]回答表!BC533,""))</f>
        <v/>
      </c>
      <c r="AR303" s="271"/>
      <c r="AS303" s="271"/>
      <c r="AT303" s="271"/>
      <c r="AU303" s="272" t="s">
        <v>74</v>
      </c>
      <c r="AV303" s="273"/>
      <c r="AW303" s="273"/>
      <c r="AX303" s="274"/>
      <c r="AY303" s="271" t="str">
        <f>IF([8]回答表!X54="●",[8]回答表!BC515,IF([8]回答表!AA54="●",[8]回答表!BC538,""))</f>
        <v/>
      </c>
      <c r="AZ303" s="271"/>
      <c r="BA303" s="271"/>
      <c r="BB303" s="271"/>
      <c r="BC303" s="120"/>
      <c r="BD303" s="109"/>
      <c r="BE303" s="109"/>
      <c r="BF303" s="138" t="str">
        <f>IF([8]回答表!X54="●",[8]回答表!S509,IF([8]回答表!AA54="●",[8]回答表!S532,""))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IF([8]回答表!X54="●",[8]回答表!BC511,IF([8]回答表!AA54="●",[8]回答表!BC534,""))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IF([8]回答表!X54="●",[8]回答表!V509,IF([8]回答表!AA54="●",[8]回答表!V532,""))</f>
        <v/>
      </c>
      <c r="BG306" s="151"/>
      <c r="BH306" s="151"/>
      <c r="BI306" s="151"/>
      <c r="BJ306" s="150" t="str">
        <f>IF([8]回答表!X54="●",[8]回答表!V510,IF([8]回答表!AA54="●",[8]回答表!V533,""))</f>
        <v/>
      </c>
      <c r="BK306" s="151"/>
      <c r="BL306" s="151"/>
      <c r="BM306" s="152"/>
      <c r="BN306" s="150" t="str">
        <f>IF([8]回答表!X54="●",[8]回答表!V511,IF([8]回答表!AA54="●",[8]回答表!V534,""))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IF([8]回答表!X54="●",[8]回答表!BC512,IF([8]回答表!AA54="●",[8]回答表!BC535,""))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IF([8]回答表!X54="●",[8]回答表!BC516,IF([8]回答表!AA54="●",[8]回答表!BC539,""))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IF([8]回答表!AA54="●","●","")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IF([8]回答表!X54="●",[8]回答表!BC513,IF([8]回答表!AA54="●",[8]回答表!BC536,""))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IF([8]回答表!X54="●",[8]回答表!BC514,IF([8]回答表!AA54="●",[8]回答表!BC537,""))</f>
        <v/>
      </c>
      <c r="AR311" s="271"/>
      <c r="AS311" s="271"/>
      <c r="AT311" s="271"/>
      <c r="AU311" s="222" t="s">
        <v>80</v>
      </c>
      <c r="AV311" s="223"/>
      <c r="AW311" s="223"/>
      <c r="AX311" s="224"/>
      <c r="AY311" s="281" t="str">
        <f>IF([8]回答表!X54="●",[8]回答表!BC517,IF([8]回答表!AA54="●",[8]回答表!BC540,""))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IF([8]回答表!X54="●",[8]回答表!E516,IF([8]回答表!AA54="●",[8]回答表!E538,""))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IF([8]回答表!X54="●",[8]回答表!B518,IF([8]回答表!AA54="●",[8]回答表!B540,""))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IF([8]回答表!AD54="●","●","")</f>
        <v/>
      </c>
      <c r="O322" s="131"/>
      <c r="P322" s="131"/>
      <c r="Q322" s="132"/>
      <c r="R322" s="119"/>
      <c r="S322" s="119"/>
      <c r="T322" s="119"/>
      <c r="U322" s="133" t="str">
        <f>IF([8]回答表!AD54="●",[8]回答表!B548,"")</f>
        <v/>
      </c>
      <c r="V322" s="134"/>
      <c r="W322" s="134"/>
      <c r="X322" s="134"/>
      <c r="Y322" s="134"/>
      <c r="Z322" s="134"/>
      <c r="AA322" s="134"/>
      <c r="AB322" s="134"/>
      <c r="AC322" s="134"/>
      <c r="AD322" s="134"/>
      <c r="AE322" s="134"/>
      <c r="AF322" s="134"/>
      <c r="AG322" s="134"/>
      <c r="AH322" s="134"/>
      <c r="AI322" s="134"/>
      <c r="AJ322" s="135"/>
      <c r="AK322" s="189"/>
      <c r="AL322" s="189"/>
      <c r="AM322" s="133" t="str">
        <f>IF([8]回答表!AD54="●",[8]回答表!B554,"")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IF([8]回答表!X55="●","●","")</f>
        <v/>
      </c>
      <c r="O333" s="131"/>
      <c r="P333" s="131"/>
      <c r="Q333" s="132"/>
      <c r="R333" s="119"/>
      <c r="S333" s="119"/>
      <c r="T333" s="119"/>
      <c r="U333" s="133" t="str">
        <f>IF([8]回答表!X55="●",[8]回答表!B565,IF([8]回答表!AA55="●",[8]回答表!B590,""))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IF([8]回答表!X55="●",[8]回答表!B575,IF([8]回答表!AA55="●",[8]回答表!B600,""))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IF([8]回答表!X55="●",[8]回答表!G571,IF([8]回答表!AA55="●",[8]回答表!G596,""))</f>
        <v/>
      </c>
      <c r="AN335" s="83"/>
      <c r="AO335" s="83"/>
      <c r="AP335" s="83"/>
      <c r="AQ335" s="83"/>
      <c r="AR335" s="83"/>
      <c r="AS335" s="83"/>
      <c r="AT335" s="153"/>
      <c r="AU335" s="82" t="str">
        <f>IF([8]回答表!X55="●",[8]回答表!G572,IF([8]回答表!AA55="●",[8]回答表!G597,""))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IF([8]回答表!X55="●",[8]回答表!E575,IF([8]回答表!AA55="●",[8]回答表!E600,""))</f>
        <v/>
      </c>
      <c r="BG336" s="151"/>
      <c r="BH336" s="151"/>
      <c r="BI336" s="151"/>
      <c r="BJ336" s="150" t="str">
        <f>IF([8]回答表!X55="●",[8]回答表!E576,IF([8]回答表!AA55="●",[8]回答表!E601,""))</f>
        <v/>
      </c>
      <c r="BK336" s="151"/>
      <c r="BL336" s="151"/>
      <c r="BM336" s="152"/>
      <c r="BN336" s="150" t="str">
        <f>IF([8]回答表!X55="●",[8]回答表!E577,IF([8]回答表!AA55="●",[8]回答表!E602,""))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IF([8]回答表!AA55="●","●","")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IF([8]回答表!X55="●",[8]回答表!E580,IF([8]回答表!AA55="●",[8]回答表!E605,""))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IF([8]回答表!X55="●",[8]回答表!B582,IF([8]回答表!AA55="●",[8]回答表!B607,""))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IF([8]回答表!AD55="●","●","")</f>
        <v/>
      </c>
      <c r="O352" s="131"/>
      <c r="P352" s="131"/>
      <c r="Q352" s="132"/>
      <c r="R352" s="119"/>
      <c r="S352" s="119"/>
      <c r="T352" s="119"/>
      <c r="U352" s="133" t="str">
        <f>IF([8]回答表!AD55="●",[8]回答表!B615,"")</f>
        <v/>
      </c>
      <c r="V352" s="134"/>
      <c r="W352" s="134"/>
      <c r="X352" s="134"/>
      <c r="Y352" s="134"/>
      <c r="Z352" s="134"/>
      <c r="AA352" s="134"/>
      <c r="AB352" s="134"/>
      <c r="AC352" s="134"/>
      <c r="AD352" s="134"/>
      <c r="AE352" s="134"/>
      <c r="AF352" s="134"/>
      <c r="AG352" s="134"/>
      <c r="AH352" s="134"/>
      <c r="AI352" s="134"/>
      <c r="AJ352" s="135"/>
      <c r="AK352" s="136"/>
      <c r="AL352" s="136"/>
      <c r="AM352" s="133" t="str">
        <f>IF([8]回答表!AD55="●",[8]回答表!B621,"")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IF([8]回答表!R56="●",[8]回答表!B634,"")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6787-E568-47A1-B4F9-8FE0709A13D6}">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IF(COUNTIF([9]回答表!K16,"*")&gt;0,[9]回答表!K16,"")</f>
        <v>大館市</v>
      </c>
      <c r="D11" s="8"/>
      <c r="E11" s="8"/>
      <c r="F11" s="8"/>
      <c r="G11" s="8"/>
      <c r="H11" s="8"/>
      <c r="I11" s="8"/>
      <c r="J11" s="8"/>
      <c r="K11" s="8"/>
      <c r="L11" s="8"/>
      <c r="M11" s="8"/>
      <c r="N11" s="8"/>
      <c r="O11" s="8"/>
      <c r="P11" s="8"/>
      <c r="Q11" s="8"/>
      <c r="R11" s="8"/>
      <c r="S11" s="8"/>
      <c r="T11" s="8"/>
      <c r="U11" s="22" t="str">
        <f>IF(COUNTIF([9]回答表!F18,"*")&gt;0,[9]回答表!F18,"")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IF(COUNTIF([9]回答表!W18,"*")&gt;0,[9]回答表!W18,"")</f>
        <v>農業集落排水施設</v>
      </c>
      <c r="AP11" s="10"/>
      <c r="AQ11" s="10"/>
      <c r="AR11" s="10"/>
      <c r="AS11" s="10"/>
      <c r="AT11" s="10"/>
      <c r="AU11" s="10"/>
      <c r="AV11" s="10"/>
      <c r="AW11" s="10"/>
      <c r="AX11" s="10"/>
      <c r="AY11" s="10"/>
      <c r="AZ11" s="10"/>
      <c r="BA11" s="10"/>
      <c r="BB11" s="10"/>
      <c r="BC11" s="10"/>
      <c r="BD11" s="10"/>
      <c r="BE11" s="10"/>
      <c r="BF11" s="11"/>
      <c r="BG11" s="21" t="str">
        <f>IF(COUNTIF([9]回答表!F20,"*")&gt;0,[9]回答表!F20,"")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IF([9]回答表!R49="●","●","")</f>
        <v>●</v>
      </c>
      <c r="E24" s="80"/>
      <c r="F24" s="80"/>
      <c r="G24" s="80"/>
      <c r="H24" s="80"/>
      <c r="I24" s="80"/>
      <c r="J24" s="81"/>
      <c r="K24" s="79" t="str">
        <f>IF([9]回答表!R50="●","●","")</f>
        <v/>
      </c>
      <c r="L24" s="80"/>
      <c r="M24" s="80"/>
      <c r="N24" s="80"/>
      <c r="O24" s="80"/>
      <c r="P24" s="80"/>
      <c r="Q24" s="81"/>
      <c r="R24" s="79" t="str">
        <f>IF([9]回答表!R51="●","●","")</f>
        <v>●</v>
      </c>
      <c r="S24" s="80"/>
      <c r="T24" s="80"/>
      <c r="U24" s="80"/>
      <c r="V24" s="80"/>
      <c r="W24" s="80"/>
      <c r="X24" s="81"/>
      <c r="Y24" s="79" t="str">
        <f>IF([9]回答表!R52="●","●","")</f>
        <v/>
      </c>
      <c r="Z24" s="80"/>
      <c r="AA24" s="80"/>
      <c r="AB24" s="80"/>
      <c r="AC24" s="80"/>
      <c r="AD24" s="80"/>
      <c r="AE24" s="81"/>
      <c r="AF24" s="79" t="str">
        <f>IF([9]回答表!R53="●","●","")</f>
        <v/>
      </c>
      <c r="AG24" s="80"/>
      <c r="AH24" s="80"/>
      <c r="AI24" s="80"/>
      <c r="AJ24" s="80"/>
      <c r="AK24" s="80"/>
      <c r="AL24" s="81"/>
      <c r="AM24" s="79" t="str">
        <f>IF([9]回答表!R54="●","●","")</f>
        <v/>
      </c>
      <c r="AN24" s="80"/>
      <c r="AO24" s="80"/>
      <c r="AP24" s="80"/>
      <c r="AQ24" s="80"/>
      <c r="AR24" s="80"/>
      <c r="AS24" s="81"/>
      <c r="AT24" s="79" t="str">
        <f>IF([9]回答表!R55="●","●","")</f>
        <v/>
      </c>
      <c r="AU24" s="80"/>
      <c r="AV24" s="80"/>
      <c r="AW24" s="80"/>
      <c r="AX24" s="80"/>
      <c r="AY24" s="80"/>
      <c r="AZ24" s="81"/>
      <c r="BA24" s="68"/>
      <c r="BB24" s="82" t="str">
        <f>IF([9]回答表!R56="●","●","")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IF([9]回答表!X49="●","●","")</f>
        <v/>
      </c>
      <c r="O36" s="131"/>
      <c r="P36" s="131"/>
      <c r="Q36" s="132"/>
      <c r="R36" s="119"/>
      <c r="S36" s="119"/>
      <c r="T36" s="119"/>
      <c r="U36" s="133" t="str">
        <f>IF([9]回答表!X49="●",[9]回答表!B67,IF([9]回答表!AA49="●",[9]回答表!B95,""))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IF([9]回答表!X49="●",[9]回答表!S73,IF([9]回答表!AA49="●",[9]回答表!S101,""))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IF([9]回答表!X49="●",[9]回答表!G73,IF([9]回答表!AA49="●",[9]回答表!G101,""))</f>
        <v/>
      </c>
      <c r="AN38" s="83"/>
      <c r="AO38" s="83"/>
      <c r="AP38" s="83"/>
      <c r="AQ38" s="83"/>
      <c r="AR38" s="83"/>
      <c r="AS38" s="83"/>
      <c r="AT38" s="153"/>
      <c r="AU38" s="82" t="str">
        <f>IF([9]回答表!X49="●",[9]回答表!G74,IF([9]回答表!AA49="●",[9]回答表!G102,""))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IF([9]回答表!X49="●",[9]回答表!V73,IF([9]回答表!AA49="●",[9]回答表!V101,""))</f>
        <v/>
      </c>
      <c r="BG39" s="16"/>
      <c r="BH39" s="16"/>
      <c r="BI39" s="17"/>
      <c r="BJ39" s="150" t="str">
        <f>IF([9]回答表!X49="●",[9]回答表!V74,IF([9]回答表!AA49="●",[9]回答表!V102,""))</f>
        <v/>
      </c>
      <c r="BK39" s="16"/>
      <c r="BL39" s="16"/>
      <c r="BM39" s="17"/>
      <c r="BN39" s="150" t="str">
        <f>IF([9]回答表!X49="●",[9]回答表!V75,IF([9]回答表!AA49="●",[9]回答表!V103,""))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IF([9]回答表!X49="●",[9]回答表!O79,IF([9]回答表!AA49="●",[9]回答表!O107,""))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IF([9]回答表!X49="●",[9]回答表!O80,IF([9]回答表!AA49="●",[9]回答表!O108,""))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IF([9]回答表!AA49="●","●","")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IF([9]回答表!X49="●",[9]回答表!O81,IF([9]回答表!AA49="●",[9]回答表!O109,""))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IF([9]回答表!X49="●",[9]回答表!O82,IF([9]回答表!AA49="●",[9]回答表!O110,""))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IF([9]回答表!X49="●",[9]回答表!AG79,IF([9]回答表!AA49="●",[9]回答表!AG107,""))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IF([9]回答表!X49="●",[9]回答表!AG80,IF([9]回答表!AA49="●",[9]回答表!AG108,""))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IF([9]回答表!X49="●",[9]回答表!E85,IF([9]回答表!AA49="●",[9]回答表!E113,""))</f>
        <v/>
      </c>
      <c r="V50" s="182"/>
      <c r="W50" s="182"/>
      <c r="X50" s="182"/>
      <c r="Y50" s="182"/>
      <c r="Z50" s="182"/>
      <c r="AA50" s="182"/>
      <c r="AB50" s="182"/>
      <c r="AC50" s="182"/>
      <c r="AD50" s="182"/>
      <c r="AE50" s="183" t="s">
        <v>33</v>
      </c>
      <c r="AF50" s="183"/>
      <c r="AG50" s="183"/>
      <c r="AH50" s="183"/>
      <c r="AI50" s="183"/>
      <c r="AJ50" s="184"/>
      <c r="AK50" s="136"/>
      <c r="AL50" s="136"/>
      <c r="AM50" s="133" t="str">
        <f>IF([9]回答表!X49="●",[9]回答表!B87,IF([9]回答表!AA49="●",[9]回答表!B115,""))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IF([9]回答表!AD49="●","●","")</f>
        <v>●</v>
      </c>
      <c r="O57" s="131"/>
      <c r="P57" s="131"/>
      <c r="Q57" s="132"/>
      <c r="R57" s="119"/>
      <c r="S57" s="119"/>
      <c r="T57" s="119"/>
      <c r="U57" s="133" t="str">
        <f>IF([9]回答表!AD49="●",[9]回答表!B123,"")</f>
        <v>当市の生活排水処理構想において農集地域、11箇所のうち、1地区R４.4.1公共接続供用開始、残り9地区について公共接続、残り1地区については、集合処理浄化槽転換を検討している。</v>
      </c>
      <c r="V57" s="134"/>
      <c r="W57" s="134"/>
      <c r="X57" s="134"/>
      <c r="Y57" s="134"/>
      <c r="Z57" s="134"/>
      <c r="AA57" s="134"/>
      <c r="AB57" s="134"/>
      <c r="AC57" s="134"/>
      <c r="AD57" s="134"/>
      <c r="AE57" s="134"/>
      <c r="AF57" s="134"/>
      <c r="AG57" s="134"/>
      <c r="AH57" s="134"/>
      <c r="AI57" s="134"/>
      <c r="AJ57" s="135"/>
      <c r="AK57" s="189"/>
      <c r="AL57" s="189"/>
      <c r="AM57" s="133" t="str">
        <f>IF([9]回答表!AD49="●",[9]回答表!B128,"")</f>
        <v>生活排水処理整備構想で、9地区について公共接続・処理場廃止としているが、平面地図上だけの検討のため３次元的に接続予定箇所の検討が必要</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IF([9]回答表!X50="●","●","")</f>
        <v/>
      </c>
      <c r="O68" s="131"/>
      <c r="P68" s="131"/>
      <c r="Q68" s="132"/>
      <c r="R68" s="119"/>
      <c r="S68" s="119"/>
      <c r="T68" s="119"/>
      <c r="U68" s="133" t="str">
        <f>IF([9]回答表!X50="●",[9]回答表!B138,IF([9]回答表!AA50="●",[9]回答表!B159,""))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IF([9]回答表!X50="●",[9]回答表!S144,IF([9]回答表!AA50="●",[9]回答表!S165,""))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IF([9]回答表!X50="●",[9]回答表!J144,IF([9]回答表!AA50="●",[9]回答表!J165,""))</f>
        <v/>
      </c>
      <c r="AN71" s="83"/>
      <c r="AO71" s="83"/>
      <c r="AP71" s="83"/>
      <c r="AQ71" s="83"/>
      <c r="AR71" s="83"/>
      <c r="AS71" s="83"/>
      <c r="AT71" s="153"/>
      <c r="AU71" s="82" t="str">
        <f>IF([9]回答表!X50="●",[9]回答表!J145,IF([9]回答表!AA50="●",[9]回答表!J166,""))</f>
        <v/>
      </c>
      <c r="AV71" s="83"/>
      <c r="AW71" s="83"/>
      <c r="AX71" s="83"/>
      <c r="AY71" s="83"/>
      <c r="AZ71" s="83"/>
      <c r="BA71" s="83"/>
      <c r="BB71" s="153"/>
      <c r="BC71" s="120"/>
      <c r="BD71" s="109"/>
      <c r="BE71" s="109"/>
      <c r="BF71" s="150" t="str">
        <f>IF([9]回答表!X50="●",[9]回答表!V144,IF([9]回答表!AA50="●",[9]回答表!V165,""))</f>
        <v/>
      </c>
      <c r="BG71" s="151"/>
      <c r="BH71" s="151"/>
      <c r="BI71" s="151"/>
      <c r="BJ71" s="150" t="str">
        <f>IF([9]回答表!X50="●",[9]回答表!V145,IF([9]回答表!AA50="●",[9]回答表!V166,""))</f>
        <v/>
      </c>
      <c r="BK71" s="151"/>
      <c r="BL71" s="151"/>
      <c r="BM71" s="151"/>
      <c r="BN71" s="150" t="str">
        <f>IF([9]回答表!X50="●",[9]回答表!V146,IF([9]回答表!AA50="●",[9]回答表!V167,""))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IF([9]回答表!AA50="●","●","")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IF([9]回答表!X50="●",[9]回答表!E149,IF([9]回答表!AA50="●",[9]回答表!E170,""))</f>
        <v/>
      </c>
      <c r="V80" s="182"/>
      <c r="W80" s="182"/>
      <c r="X80" s="182"/>
      <c r="Y80" s="182"/>
      <c r="Z80" s="182"/>
      <c r="AA80" s="182"/>
      <c r="AB80" s="182"/>
      <c r="AC80" s="182"/>
      <c r="AD80" s="182"/>
      <c r="AE80" s="183" t="s">
        <v>33</v>
      </c>
      <c r="AF80" s="183"/>
      <c r="AG80" s="183"/>
      <c r="AH80" s="183"/>
      <c r="AI80" s="183"/>
      <c r="AJ80" s="184"/>
      <c r="AK80" s="136"/>
      <c r="AL80" s="136"/>
      <c r="AM80" s="133" t="str">
        <f>IF([9]回答表!X50="●",[9]回答表!B151,IF([9]回答表!AA50="●",[9]回答表!B172,""))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IF([9]回答表!AD50="●","●","")</f>
        <v/>
      </c>
      <c r="O87" s="131"/>
      <c r="P87" s="131"/>
      <c r="Q87" s="132"/>
      <c r="R87" s="119"/>
      <c r="S87" s="119"/>
      <c r="T87" s="119"/>
      <c r="U87" s="133" t="str">
        <f>IF([9]回答表!AD50="●",[9]回答表!B180,"")</f>
        <v/>
      </c>
      <c r="V87" s="134"/>
      <c r="W87" s="134"/>
      <c r="X87" s="134"/>
      <c r="Y87" s="134"/>
      <c r="Z87" s="134"/>
      <c r="AA87" s="134"/>
      <c r="AB87" s="134"/>
      <c r="AC87" s="134"/>
      <c r="AD87" s="134"/>
      <c r="AE87" s="134"/>
      <c r="AF87" s="134"/>
      <c r="AG87" s="134"/>
      <c r="AH87" s="134"/>
      <c r="AI87" s="134"/>
      <c r="AJ87" s="135"/>
      <c r="AK87" s="189"/>
      <c r="AL87" s="189"/>
      <c r="AM87" s="133" t="str">
        <f>IF([9]回答表!AD50="●",[9]回答表!B186,"")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IF([9]回答表!F18="水道事業",IF([9]回答表!X51="●","●",""),"")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IF([9]回答表!F18="水道事業",IF([9]回答表!X51="●",[9]回答表!B197,IF([9]回答表!AA51="●",[9]回答表!B275,"")),"")</f>
        <v/>
      </c>
      <c r="AN99" s="134"/>
      <c r="AO99" s="134"/>
      <c r="AP99" s="134"/>
      <c r="AQ99" s="134"/>
      <c r="AR99" s="134"/>
      <c r="AS99" s="134"/>
      <c r="AT99" s="134"/>
      <c r="AU99" s="134"/>
      <c r="AV99" s="134"/>
      <c r="AW99" s="134"/>
      <c r="AX99" s="134"/>
      <c r="AY99" s="134"/>
      <c r="AZ99" s="134"/>
      <c r="BA99" s="134"/>
      <c r="BB99" s="134"/>
      <c r="BC99" s="135"/>
      <c r="BD99" s="109"/>
      <c r="BE99" s="109"/>
      <c r="BF99" s="138" t="str">
        <f>IF([9]回答表!F18="水道事業",IF([9]回答表!X51="●",[9]回答表!B256,IF([9]回答表!AA51="●",[9]回答表!B335,"")),"")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IF([9]回答表!F18="水道事業",IF([9]回答表!X51="●",[9]回答表!J205,IF([9]回答表!AA51="●",[9]回答表!J283,"")),"")</f>
        <v/>
      </c>
      <c r="V101" s="83"/>
      <c r="W101" s="83"/>
      <c r="X101" s="83"/>
      <c r="Y101" s="83"/>
      <c r="Z101" s="83"/>
      <c r="AA101" s="83"/>
      <c r="AB101" s="153"/>
      <c r="AC101" s="82" t="str">
        <f>IF([9]回答表!F18="水道事業",IF([9]回答表!X51="●",[9]回答表!J210,IF([9]回答表!AA51="●",[9]回答表!J290,"")),"")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IF([9]回答表!F18="水道事業",IF([9]回答表!X51="●",[9]回答表!E256,IF([9]回答表!AA51="●",[9]回答表!E335,"")),"")</f>
        <v/>
      </c>
      <c r="BG102" s="151"/>
      <c r="BH102" s="151"/>
      <c r="BI102" s="151"/>
      <c r="BJ102" s="150" t="str">
        <f>IF([9]回答表!F18="水道事業",IF([9]回答表!X51="●",[9]回答表!E257,IF([9]回答表!AA51="●",[9]回答表!E336,"")),"")</f>
        <v/>
      </c>
      <c r="BK102" s="151"/>
      <c r="BL102" s="151"/>
      <c r="BM102" s="151"/>
      <c r="BN102" s="150" t="str">
        <f>IF([9]回答表!F18="水道事業",IF([9]回答表!X51="●",[9]回答表!E258,IF([9]回答表!AA51="●",[9]回答表!E337,"")),"")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IF([9]回答表!F18="水道事業",IF([9]回答表!AA51="●","●",""),"")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IF([9]回答表!F18="水道事業",IF([9]回答表!X51="●",[9]回答表!J213,IF([9]回答表!AA51="●",[9]回答表!J293,"")),"")</f>
        <v/>
      </c>
      <c r="V106" s="83"/>
      <c r="W106" s="83"/>
      <c r="X106" s="83"/>
      <c r="Y106" s="83"/>
      <c r="Z106" s="83"/>
      <c r="AA106" s="83"/>
      <c r="AB106" s="153"/>
      <c r="AC106" s="82" t="str">
        <f>IF([9]回答表!F18="水道事業",IF([9]回答表!X51="●",[9]回答表!J217,IF([9]回答表!AA51="●",[9]回答表!J297,"")),"")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IF([9]回答表!F18="水道事業",IF([9]回答表!X51="●",[9]回答表!E265,IF([9]回答表!AA51="●",[9]回答表!E344,"")),"")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IF([9]回答表!F18="水道事業",IF([9]回答表!X51="●",[9]回答表!B267,IF([9]回答表!AA51="●",[9]回答表!B346,"")),"")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IF([9]回答表!F18="水道事業",IF([9]回答表!AD51="●","●",""),"")</f>
        <v/>
      </c>
      <c r="O118" s="131"/>
      <c r="P118" s="131"/>
      <c r="Q118" s="132"/>
      <c r="R118" s="119"/>
      <c r="S118" s="119"/>
      <c r="T118" s="119"/>
      <c r="U118" s="133" t="str">
        <f>IF([9]回答表!F18="水道事業",IF([9]回答表!AD51="●",[9]回答表!B354,""),"")</f>
        <v/>
      </c>
      <c r="V118" s="134"/>
      <c r="W118" s="134"/>
      <c r="X118" s="134"/>
      <c r="Y118" s="134"/>
      <c r="Z118" s="134"/>
      <c r="AA118" s="134"/>
      <c r="AB118" s="134"/>
      <c r="AC118" s="134"/>
      <c r="AD118" s="134"/>
      <c r="AE118" s="134"/>
      <c r="AF118" s="134"/>
      <c r="AG118" s="134"/>
      <c r="AH118" s="134"/>
      <c r="AI118" s="134"/>
      <c r="AJ118" s="135"/>
      <c r="AK118" s="189"/>
      <c r="AL118" s="189"/>
      <c r="AM118" s="133" t="str">
        <f>IF([9]回答表!F18="水道事業",IF([9]回答表!AD51="●",[9]回答表!B360,""),"")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IF([9]回答表!F18="簡易水道事業",IF([9]回答表!X51="●",[9]回答表!B197,IF([9]回答表!AA51="●",[9]回答表!B275,"")),"")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IF([9]回答表!F18="簡易水道事業",IF([9]回答表!X51="●",[9]回答表!B256,IF([9]回答表!AA51="●",[9]回答表!B335,"")),"")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IF([9]回答表!F18="簡易水道事業",IF([9]回答表!X51="●","●",""),"")</f>
        <v/>
      </c>
      <c r="O132" s="131"/>
      <c r="P132" s="131"/>
      <c r="Q132" s="132"/>
      <c r="R132" s="119"/>
      <c r="S132" s="119"/>
      <c r="T132" s="119"/>
      <c r="U132" s="82" t="str">
        <f>IF([9]回答表!F18="簡易水道事業",IF([9]回答表!X51="●",[9]回答表!S224,IF([9]回答表!AA51="●",[9]回答表!S304,"")),"")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IF([9]回答表!F18="簡易水道事業",IF([9]回答表!X51="●",[9]回答表!E256,IF([9]回答表!AA51="●",[9]回答表!E335,"")),"")</f>
        <v/>
      </c>
      <c r="BG133" s="151"/>
      <c r="BH133" s="151"/>
      <c r="BI133" s="151"/>
      <c r="BJ133" s="150" t="str">
        <f>IF([9]回答表!F18="簡易水道事業",IF([9]回答表!X51="●",[9]回答表!E257,IF([9]回答表!AA51="●",[9]回答表!E336,"")),"")</f>
        <v/>
      </c>
      <c r="BK133" s="151"/>
      <c r="BL133" s="151"/>
      <c r="BM133" s="151"/>
      <c r="BN133" s="150" t="str">
        <f>IF([9]回答表!F18="簡易水道事業",IF([9]回答表!X51="●",[9]回答表!E258,IF([9]回答表!AA51="●",[9]回答表!E337,"")),"")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IF([9]回答表!F18="簡易水道事業",IF([9]回答表!X51="●",[9]回答表!S225,IF([9]回答表!AA51="●",[9]回答表!S305,"")),"")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IF([9]回答表!F18="簡易水道事業",IF([9]回答表!AA51="●","●",""),"")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IF([9]回答表!F18="簡易水道事業",IF([9]回答表!X51="●",[9]回答表!S226,IF([9]回答表!AA51="●",[9]回答表!S306,"")),"")</f>
        <v/>
      </c>
      <c r="V142" s="83"/>
      <c r="W142" s="83"/>
      <c r="X142" s="83"/>
      <c r="Y142" s="83"/>
      <c r="Z142" s="83"/>
      <c r="AA142" s="83"/>
      <c r="AB142" s="83"/>
      <c r="AC142" s="83"/>
      <c r="AD142" s="83"/>
      <c r="AE142" s="83"/>
      <c r="AF142" s="83"/>
      <c r="AG142" s="83"/>
      <c r="AH142" s="83"/>
      <c r="AI142" s="83"/>
      <c r="AJ142" s="153"/>
      <c r="AK142" s="68"/>
      <c r="AL142" s="68"/>
      <c r="AM142" s="231" t="str">
        <f>IF([9]回答表!F18="簡易水道事業",IF([9]回答表!X51="●",[9]回答表!Y228,IF([9]回答表!AA51="●",[9]回答表!Y308,"")),"")</f>
        <v/>
      </c>
      <c r="AN142" s="231"/>
      <c r="AO142" s="231"/>
      <c r="AP142" s="231"/>
      <c r="AQ142" s="231"/>
      <c r="AR142" s="231"/>
      <c r="AS142" s="231" t="str">
        <f>IF([9]回答表!F18="簡易水道事業",IF([9]回答表!X51="●",[9]回答表!Y229,IF([9]回答表!AA51="●",[9]回答表!Y309,"")),"")</f>
        <v/>
      </c>
      <c r="AT142" s="231"/>
      <c r="AU142" s="231"/>
      <c r="AV142" s="231"/>
      <c r="AW142" s="231"/>
      <c r="AX142" s="231"/>
      <c r="AY142" s="231" t="str">
        <f>IF([9]回答表!F18="簡易水道事業",IF([9]回答表!X51="●",[9]回答表!Y230,IF([9]回答表!AA51="●",[9]回答表!Y310,"")),"")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IF([9]回答表!F18="簡易水道事業",IF([9]回答表!X51="●",[9]回答表!E265,IF([9]回答表!AA51="●",[9]回答表!E344,"")),"")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IF([9]回答表!F18="簡易水道事業",IF([9]回答表!X51="●",[9]回答表!B267,IF([9]回答表!AA51="●",[9]回答表!B346,"")),"")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IF([9]回答表!F18="簡易水道事業",IF([9]回答表!AD51="●","●",""),"")</f>
        <v/>
      </c>
      <c r="O154" s="131"/>
      <c r="P154" s="131"/>
      <c r="Q154" s="132"/>
      <c r="R154" s="119"/>
      <c r="S154" s="119"/>
      <c r="T154" s="119"/>
      <c r="U154" s="133" t="str">
        <f>IF([9]回答表!F18="簡易水道事業",IF([9]回答表!AD51="●",[9]回答表!B354,""),"")</f>
        <v/>
      </c>
      <c r="V154" s="134"/>
      <c r="W154" s="134"/>
      <c r="X154" s="134"/>
      <c r="Y154" s="134"/>
      <c r="Z154" s="134"/>
      <c r="AA154" s="134"/>
      <c r="AB154" s="134"/>
      <c r="AC154" s="134"/>
      <c r="AD154" s="134"/>
      <c r="AE154" s="134"/>
      <c r="AF154" s="134"/>
      <c r="AG154" s="134"/>
      <c r="AH154" s="134"/>
      <c r="AI154" s="134"/>
      <c r="AJ154" s="135"/>
      <c r="AK154" s="189"/>
      <c r="AL154" s="189"/>
      <c r="AM154" s="133" t="str">
        <f>IF([9]回答表!F18="簡易水道事業",IF([9]回答表!AD51="●",[9]回答表!B360,""),"")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IF([9]回答表!F18="下水道事業",IF([9]回答表!X51="●","●",""),"")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IF([9]回答表!F18="下水道事業",IF([9]回答表!X51="●",[9]回答表!B197,IF([9]回答表!AA51="●",[9]回答表!B275,"")),"")</f>
        <v>10地区について公共接続・処理場廃止とし、流域処理場への流入処理としている。そのうちの１地区の統合事業がR4.4.1接続供用開始、他９地区は計画。</v>
      </c>
      <c r="AN166" s="134"/>
      <c r="AO166" s="134"/>
      <c r="AP166" s="134"/>
      <c r="AQ166" s="134"/>
      <c r="AR166" s="134"/>
      <c r="AS166" s="134"/>
      <c r="AT166" s="134"/>
      <c r="AU166" s="134"/>
      <c r="AV166" s="134"/>
      <c r="AW166" s="134"/>
      <c r="AX166" s="134"/>
      <c r="AY166" s="134"/>
      <c r="AZ166" s="134"/>
      <c r="BA166" s="134"/>
      <c r="BB166" s="134"/>
      <c r="BC166" s="135"/>
      <c r="BD166" s="109"/>
      <c r="BE166" s="109"/>
      <c r="BF166" s="138" t="str">
        <f>IF([9]回答表!F18="下水道事業",IF([9]回答表!X51="●",[9]回答表!B256,IF([9]回答表!AA51="●",[9]回答表!B335,"")),"")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IF([9]回答表!F18="下水道事業",IF([9]回答表!X51="●",[9]回答表!N234,IF([9]回答表!AA51="●",[9]回答表!N314,"")),"")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IF([9]回答表!F18="下水道事業",IF([9]回答表!X51="●",[9]回答表!E256,IF([9]回答表!AA51="●",[9]回答表!E335,"")),"")</f>
        <v>4</v>
      </c>
      <c r="BG169" s="151"/>
      <c r="BH169" s="151"/>
      <c r="BI169" s="151"/>
      <c r="BJ169" s="150">
        <f>IF([9]回答表!F18="下水道事業",IF([9]回答表!X51="●",[9]回答表!E257,IF([9]回答表!AA51="●",[9]回答表!E336,"")),"")</f>
        <v>4</v>
      </c>
      <c r="BK169" s="151"/>
      <c r="BL169" s="151"/>
      <c r="BM169" s="151"/>
      <c r="BN169" s="150">
        <f>IF([9]回答表!F18="下水道事業",IF([9]回答表!X51="●",[9]回答表!E258,IF([9]回答表!AA51="●",[9]回答表!E337,"")),"")</f>
        <v>1</v>
      </c>
      <c r="BO169" s="151"/>
      <c r="BP169" s="151"/>
      <c r="BQ169" s="152"/>
      <c r="BR169" s="112"/>
      <c r="BX169" s="234" t="str">
        <f>IF([9]回答表!AQ21="下水道事業",IF([9]回答表!BI54="○",[9]回答表!AM200,IF([9]回答表!BL54="○",[9]回答表!AM278,"")),"")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IF([9]回答表!F18="下水道事業",IF([9]回答表!X51="●",[9]回答表!Y236,IF([9]回答表!AA51="●",[9]回答表!Y316,"")),"")</f>
        <v>●</v>
      </c>
      <c r="V174" s="83"/>
      <c r="W174" s="83"/>
      <c r="X174" s="83"/>
      <c r="Y174" s="83"/>
      <c r="Z174" s="83"/>
      <c r="AA174" s="83"/>
      <c r="AB174" s="153"/>
      <c r="AC174" s="82" t="str">
        <f>IF([9]回答表!F18="下水道事業",IF([9]回答表!X51="●",[9]回答表!Y237,IF([9]回答表!AA51="●",[9]回答表!Y317,"")),"")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IF([9]回答表!F18="下水道事業",IF([9]回答表!X51="●",[9]回答表!Y239,IF([9]回答表!AA51="●",[9]回答表!Y319,"")),"")</f>
        <v xml:space="preserve"> </v>
      </c>
      <c r="V180" s="83"/>
      <c r="W180" s="83"/>
      <c r="X180" s="83"/>
      <c r="Y180" s="83"/>
      <c r="Z180" s="83"/>
      <c r="AA180" s="83"/>
      <c r="AB180" s="153"/>
      <c r="AC180" s="82" t="str">
        <f>IF([9]回答表!F18="下水道事業",IF([9]回答表!X51="●",[9]回答表!Y240,IF([9]回答表!AA51="●",[9]回答表!Y320,"")),"")</f>
        <v xml:space="preserve"> </v>
      </c>
      <c r="AD180" s="83"/>
      <c r="AE180" s="83"/>
      <c r="AF180" s="83"/>
      <c r="AG180" s="83"/>
      <c r="AH180" s="83"/>
      <c r="AI180" s="83"/>
      <c r="AJ180" s="153"/>
      <c r="AK180" s="82" t="str">
        <f>IF([9]回答表!F18="下水道事業",IF([9]回答表!X51="●",[9]回答表!Y241,IF([9]回答表!AA51="●",[9]回答表!Y321,"")),"")</f>
        <v>●</v>
      </c>
      <c r="AL180" s="83"/>
      <c r="AM180" s="83"/>
      <c r="AN180" s="83"/>
      <c r="AO180" s="83"/>
      <c r="AP180" s="83"/>
      <c r="AQ180" s="83"/>
      <c r="AR180" s="153"/>
      <c r="AS180" s="82" t="str">
        <f>IF([9]回答表!F18="下水道事業",IF([9]回答表!X51="●",[9]回答表!Y242,IF([9]回答表!AA51="●",[9]回答表!Y322,"")),"")</f>
        <v xml:space="preserve"> </v>
      </c>
      <c r="AT180" s="83"/>
      <c r="AU180" s="83"/>
      <c r="AV180" s="83"/>
      <c r="AW180" s="83"/>
      <c r="AX180" s="83"/>
      <c r="AY180" s="83"/>
      <c r="AZ180" s="153"/>
      <c r="BA180" s="82" t="str">
        <f>IF([9]回答表!F18="下水道事業",IF([9]回答表!X51="●",[9]回答表!Y243,IF([9]回答表!AA51="●",[9]回答表!Y323,"")),"")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IF([9]回答表!F18="下水道事業",IF([9]回答表!AA51="●","●",""),"")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IF([9]回答表!F18="下水道事業",IF([9]回答表!X51="●",[9]回答表!N248,IF([9]回答表!AA51="●",[9]回答表!N328,"")),"")</f>
        <v xml:space="preserve"> </v>
      </c>
      <c r="V186" s="83"/>
      <c r="W186" s="83"/>
      <c r="X186" s="83"/>
      <c r="Y186" s="83"/>
      <c r="Z186" s="83"/>
      <c r="AA186" s="83"/>
      <c r="AB186" s="153"/>
      <c r="AC186" s="82" t="str">
        <f>IF([9]回答表!F18="下水道事業",IF([9]回答表!X51="●",[9]回答表!N249,IF([9]回答表!AA51="●",[9]回答表!N329,"")),"")</f>
        <v xml:space="preserve"> </v>
      </c>
      <c r="AD186" s="83"/>
      <c r="AE186" s="83"/>
      <c r="AF186" s="83"/>
      <c r="AG186" s="83"/>
      <c r="AH186" s="83"/>
      <c r="AI186" s="83"/>
      <c r="AJ186" s="153"/>
      <c r="AK186" s="82" t="str">
        <f>IF([9]回答表!F18="下水道事業",IF([9]回答表!X51="●",[9]回答表!N250,IF([9]回答表!AA51="●",[9]回答表!N330,"")),"")</f>
        <v>●</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IF([9]回答表!F18="下水道事業",IF([9]回答表!X51="●",[9]回答表!E265,IF([9]回答表!AA51="●",[9]回答表!E344,"")),"")</f>
        <v>3</v>
      </c>
      <c r="V191" s="182"/>
      <c r="W191" s="182"/>
      <c r="X191" s="182"/>
      <c r="Y191" s="182"/>
      <c r="Z191" s="182"/>
      <c r="AA191" s="182"/>
      <c r="AB191" s="182"/>
      <c r="AC191" s="182"/>
      <c r="AD191" s="182"/>
      <c r="AE191" s="183" t="s">
        <v>33</v>
      </c>
      <c r="AF191" s="183"/>
      <c r="AG191" s="183"/>
      <c r="AH191" s="183"/>
      <c r="AI191" s="183"/>
      <c r="AJ191" s="184"/>
      <c r="AK191" s="136"/>
      <c r="AL191" s="136"/>
      <c r="AM191" s="133" t="str">
        <f>IF([9]回答表!F18="下水道事業",IF([9]回答表!X51="●",[9]回答表!B267,IF([9]回答表!AA51="●",[9]回答表!B346,"")),"")</f>
        <v xml:space="preserve">・効果額　　　　　　　3,464（千円/年）
・内    訳
　　①建設改良費　　　　▲6,144
　　②維持管理費　　　　▲6,095
　　③流域負担金　　 　　　8,775
　　　　　計　　　　　　　　 ▲3,464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IF([9]回答表!F18="下水道事業",IF([9]回答表!AD51="●","●",""),"")</f>
        <v/>
      </c>
      <c r="O198" s="131"/>
      <c r="P198" s="131"/>
      <c r="Q198" s="132"/>
      <c r="R198" s="119"/>
      <c r="S198" s="119"/>
      <c r="T198" s="119"/>
      <c r="U198" s="133" t="str">
        <f>IF([9]回答表!F18="下水道事業",IF([9]回答表!AD51="●",[9]回答表!B354,""),"")</f>
        <v/>
      </c>
      <c r="V198" s="134"/>
      <c r="W198" s="134"/>
      <c r="X198" s="134"/>
      <c r="Y198" s="134"/>
      <c r="Z198" s="134"/>
      <c r="AA198" s="134"/>
      <c r="AB198" s="134"/>
      <c r="AC198" s="134"/>
      <c r="AD198" s="134"/>
      <c r="AE198" s="134"/>
      <c r="AF198" s="134"/>
      <c r="AG198" s="134"/>
      <c r="AH198" s="134"/>
      <c r="AI198" s="134"/>
      <c r="AJ198" s="135"/>
      <c r="AK198" s="189"/>
      <c r="AL198" s="189"/>
      <c r="AM198" s="133" t="str">
        <f>IF([9]回答表!F18="下水道事業",IF([9]回答表!AD51="●",[9]回答表!B360,""),"")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IF([9]回答表!BD18="●",IF([9]回答表!X51="●","●",""),"")</f>
        <v/>
      </c>
      <c r="O210" s="131"/>
      <c r="P210" s="131"/>
      <c r="Q210" s="132"/>
      <c r="R210" s="119"/>
      <c r="S210" s="119"/>
      <c r="T210" s="119"/>
      <c r="U210" s="133" t="str">
        <f>IF([9]回答表!BD18="●",IF([9]回答表!X51="●",[9]回答表!B197,IF([9]回答表!AA51="●",[9]回答表!B275,"")),"")</f>
        <v/>
      </c>
      <c r="V210" s="134"/>
      <c r="W210" s="134"/>
      <c r="X210" s="134"/>
      <c r="Y210" s="134"/>
      <c r="Z210" s="134"/>
      <c r="AA210" s="134"/>
      <c r="AB210" s="134"/>
      <c r="AC210" s="134"/>
      <c r="AD210" s="134"/>
      <c r="AE210" s="134"/>
      <c r="AF210" s="134"/>
      <c r="AG210" s="134"/>
      <c r="AH210" s="134"/>
      <c r="AI210" s="134"/>
      <c r="AJ210" s="135"/>
      <c r="AK210" s="136"/>
      <c r="AL210" s="136"/>
      <c r="AM210" s="138" t="str">
        <f>IF([9]回答表!BD18="●",IF([9]回答表!X51="●",[9]回答表!B256,IF([9]回答表!AA51="●",[9]回答表!B335,"")),"")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IF([9]回答表!BD18="●",IF([9]回答表!X51="●",[9]回答表!E256,IF([9]回答表!AA51="●",[9]回答表!E335,"")),"")</f>
        <v/>
      </c>
      <c r="AN213" s="151"/>
      <c r="AO213" s="151"/>
      <c r="AP213" s="151"/>
      <c r="AQ213" s="150" t="str">
        <f>IF([9]回答表!BD18="●",IF([9]回答表!X51="●",[9]回答表!E257,IF([9]回答表!AA51="●",[9]回答表!E336,"")),"")</f>
        <v/>
      </c>
      <c r="AR213" s="151"/>
      <c r="AS213" s="151"/>
      <c r="AT213" s="151"/>
      <c r="AU213" s="150" t="str">
        <f>IF([9]回答表!BD18="●",IF([9]回答表!X51="●",[9]回答表!E258,IF([9]回答表!AA51="●",[9]回答表!E337,"")),"")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IF([9]回答表!BD18="●",IF([9]回答表!AA51="●","●",""),"")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IF([9]回答表!BD18="●",IF([9]回答表!X51="●",[9]回答表!E265,IF([9]回答表!AA51="●",[9]回答表!E344,"")),"")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IF([9]回答表!BD18="●",IF([9]回答表!X51="●",[9]回答表!B267,IF([9]回答表!AA51="●",[9]回答表!B346,"")),"")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IF([9]回答表!BD18="●",IF([9]回答表!AD51="●","●",""),"")</f>
        <v/>
      </c>
      <c r="O229" s="131"/>
      <c r="P229" s="131"/>
      <c r="Q229" s="132"/>
      <c r="R229" s="119"/>
      <c r="S229" s="119"/>
      <c r="T229" s="119"/>
      <c r="U229" s="133" t="str">
        <f>IF([9]回答表!BD18="●",IF([9]回答表!AD51="●",[9]回答表!B354,""),"")</f>
        <v/>
      </c>
      <c r="V229" s="134"/>
      <c r="W229" s="134"/>
      <c r="X229" s="134"/>
      <c r="Y229" s="134"/>
      <c r="Z229" s="134"/>
      <c r="AA229" s="134"/>
      <c r="AB229" s="134"/>
      <c r="AC229" s="134"/>
      <c r="AD229" s="134"/>
      <c r="AE229" s="134"/>
      <c r="AF229" s="134"/>
      <c r="AG229" s="134"/>
      <c r="AH229" s="134"/>
      <c r="AI229" s="134"/>
      <c r="AJ229" s="135"/>
      <c r="AK229" s="249"/>
      <c r="AL229" s="249"/>
      <c r="AM229" s="133" t="str">
        <f>IF([9]回答表!BD18="●",IF([9]回答表!AD51="●",[9]回答表!B360,""),"")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IF([9]回答表!X52="●","●","")</f>
        <v/>
      </c>
      <c r="O241" s="131"/>
      <c r="P241" s="131"/>
      <c r="Q241" s="132"/>
      <c r="R241" s="119"/>
      <c r="S241" s="119"/>
      <c r="T241" s="119"/>
      <c r="U241" s="133" t="str">
        <f>IF([9]回答表!X52="●",[9]回答表!B371,IF([9]回答表!AA52="●",[9]回答表!B396,""))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IF([9]回答表!X52="●",[9]回答表!U377,IF([9]回答表!AA52="●",[9]回答表!U402,""))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IF([9]回答表!X52="●",[9]回答表!G377,IF([9]回答表!AA52="●",[9]回答表!G402,""))</f>
        <v/>
      </c>
      <c r="AN244" s="83"/>
      <c r="AO244" s="83"/>
      <c r="AP244" s="83"/>
      <c r="AQ244" s="83"/>
      <c r="AR244" s="83"/>
      <c r="AS244" s="83"/>
      <c r="AT244" s="153"/>
      <c r="AU244" s="82" t="str">
        <f>IF([9]回答表!X52="●",[9]回答表!G378,IF([9]回答表!AA52="●",[9]回答表!G403,""))</f>
        <v/>
      </c>
      <c r="AV244" s="83"/>
      <c r="AW244" s="83"/>
      <c r="AX244" s="83"/>
      <c r="AY244" s="83"/>
      <c r="AZ244" s="83"/>
      <c r="BA244" s="83"/>
      <c r="BB244" s="153"/>
      <c r="BC244" s="120"/>
      <c r="BD244" s="109"/>
      <c r="BE244" s="109"/>
      <c r="BF244" s="150" t="str">
        <f>IF([9]回答表!X52="●",[9]回答表!X377,IF([9]回答表!AA52="●",[9]回答表!X402,""))</f>
        <v/>
      </c>
      <c r="BG244" s="151"/>
      <c r="BH244" s="151"/>
      <c r="BI244" s="151"/>
      <c r="BJ244" s="150" t="str">
        <f>IF([9]回答表!X52="●",[9]回答表!X378,IF([9]回答表!AA52="●",[9]回答表!X403,""))</f>
        <v/>
      </c>
      <c r="BK244" s="151"/>
      <c r="BL244" s="151"/>
      <c r="BM244" s="152"/>
      <c r="BN244" s="150" t="str">
        <f>IF([9]回答表!X52="●",[9]回答表!X379,IF([9]回答表!AA52="●",[9]回答表!X404,""))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IF([9]回答表!AA52="●","●","")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IF([9]回答表!X52="●",[9]回答表!E386,IF([9]回答表!AA52="●",[9]回答表!E407,""))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IF([9]回答表!X52="●",[9]回答表!B388,IF([9]回答表!AA52="●",[9]回答表!B409,""))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IF([9]回答表!AD52="●","●","")</f>
        <v/>
      </c>
      <c r="O260" s="131"/>
      <c r="P260" s="131"/>
      <c r="Q260" s="132"/>
      <c r="R260" s="119"/>
      <c r="S260" s="119"/>
      <c r="T260" s="119"/>
      <c r="U260" s="133" t="str">
        <f>IF([9]回答表!AD52="●",[9]回答表!B417,"")</f>
        <v/>
      </c>
      <c r="V260" s="134"/>
      <c r="W260" s="134"/>
      <c r="X260" s="134"/>
      <c r="Y260" s="134"/>
      <c r="Z260" s="134"/>
      <c r="AA260" s="134"/>
      <c r="AB260" s="134"/>
      <c r="AC260" s="134"/>
      <c r="AD260" s="134"/>
      <c r="AE260" s="134"/>
      <c r="AF260" s="134"/>
      <c r="AG260" s="134"/>
      <c r="AH260" s="134"/>
      <c r="AI260" s="134"/>
      <c r="AJ260" s="135"/>
      <c r="AK260" s="249"/>
      <c r="AL260" s="249"/>
      <c r="AM260" s="133" t="str">
        <f>IF([9]回答表!AD52="●",[9]回答表!B423,"")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IF([9]回答表!X53="●","●","")</f>
        <v/>
      </c>
      <c r="O272" s="131"/>
      <c r="P272" s="131"/>
      <c r="Q272" s="132"/>
      <c r="R272" s="119"/>
      <c r="S272" s="119"/>
      <c r="T272" s="119"/>
      <c r="U272" s="133" t="str">
        <f>IF([9]回答表!X53="●",[9]回答表!B434,IF([9]回答表!AA53="●",[9]回答表!B465,""))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IF([9]回答表!X53="●",[9]回答表!B440,"")</f>
        <v/>
      </c>
      <c r="AO272" s="262"/>
      <c r="AP272" s="262"/>
      <c r="AQ272" s="262"/>
      <c r="AR272" s="262"/>
      <c r="AS272" s="262"/>
      <c r="AT272" s="262"/>
      <c r="AU272" s="262"/>
      <c r="AV272" s="262"/>
      <c r="AW272" s="262"/>
      <c r="AX272" s="262"/>
      <c r="AY272" s="262"/>
      <c r="AZ272" s="262"/>
      <c r="BA272" s="262"/>
      <c r="BB272" s="263"/>
      <c r="BC272" s="120"/>
      <c r="BD272" s="109"/>
      <c r="BE272" s="109"/>
      <c r="BF272" s="138" t="str">
        <f>IF([9]回答表!X53="●",[9]回答表!B446,IF([9]回答表!AA53="●",[9]回答表!B471,""))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IF([9]回答表!X53="●",[9]回答表!E446,IF([9]回答表!AA53="●",[9]回答表!E471,""))</f>
        <v/>
      </c>
      <c r="BG275" s="151"/>
      <c r="BH275" s="151"/>
      <c r="BI275" s="151"/>
      <c r="BJ275" s="150" t="str">
        <f>IF([9]回答表!X53="●",[9]回答表!E447,IF([9]回答表!AA53="●",[9]回答表!E472,""))</f>
        <v/>
      </c>
      <c r="BK275" s="151"/>
      <c r="BL275" s="151"/>
      <c r="BM275" s="152"/>
      <c r="BN275" s="150" t="str">
        <f>IF([9]回答表!X53="●",[9]回答表!E448,IF([9]回答表!AA53="●",[9]回答表!E473,""))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IF([9]回答表!AA53="●","●","")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IF([9]回答表!X53="●",[9]回答表!E455,IF([9]回答表!AA53="●",[9]回答表!E476,""))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IF([9]回答表!X53="●",[9]回答表!B457,IF([9]回答表!AA53="●",[9]回答表!B478,""))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IF([9]回答表!AD53="●","●","")</f>
        <v/>
      </c>
      <c r="O291" s="131"/>
      <c r="P291" s="131"/>
      <c r="Q291" s="132"/>
      <c r="R291" s="119"/>
      <c r="S291" s="119"/>
      <c r="T291" s="119"/>
      <c r="U291" s="133" t="str">
        <f>IF([9]回答表!AD53="●",[9]回答表!B486,"")</f>
        <v/>
      </c>
      <c r="V291" s="134"/>
      <c r="W291" s="134"/>
      <c r="X291" s="134"/>
      <c r="Y291" s="134"/>
      <c r="Z291" s="134"/>
      <c r="AA291" s="134"/>
      <c r="AB291" s="134"/>
      <c r="AC291" s="134"/>
      <c r="AD291" s="134"/>
      <c r="AE291" s="134"/>
      <c r="AF291" s="134"/>
      <c r="AG291" s="134"/>
      <c r="AH291" s="134"/>
      <c r="AI291" s="134"/>
      <c r="AJ291" s="135"/>
      <c r="AK291" s="249"/>
      <c r="AL291" s="249"/>
      <c r="AM291" s="133" t="str">
        <f>IF([9]回答表!AD53="●",[9]回答表!B492,"")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IF([9]回答表!X54="●","●","")</f>
        <v/>
      </c>
      <c r="O303" s="131"/>
      <c r="P303" s="131"/>
      <c r="Q303" s="132"/>
      <c r="R303" s="119"/>
      <c r="S303" s="119"/>
      <c r="T303" s="119"/>
      <c r="U303" s="133" t="str">
        <f>IF([9]回答表!X54="●",[9]回答表!B503,IF([9]回答表!AA54="●",[9]回答表!B526,""))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IF([9]回答表!X54="●",[9]回答表!BC510,IF([9]回答表!AA54="●",[9]回答表!BC533,""))</f>
        <v/>
      </c>
      <c r="AR303" s="271"/>
      <c r="AS303" s="271"/>
      <c r="AT303" s="271"/>
      <c r="AU303" s="272" t="s">
        <v>74</v>
      </c>
      <c r="AV303" s="273"/>
      <c r="AW303" s="273"/>
      <c r="AX303" s="274"/>
      <c r="AY303" s="271" t="str">
        <f>IF([9]回答表!X54="●",[9]回答表!BC515,IF([9]回答表!AA54="●",[9]回答表!BC538,""))</f>
        <v/>
      </c>
      <c r="AZ303" s="271"/>
      <c r="BA303" s="271"/>
      <c r="BB303" s="271"/>
      <c r="BC303" s="120"/>
      <c r="BD303" s="109"/>
      <c r="BE303" s="109"/>
      <c r="BF303" s="138" t="str">
        <f>IF([9]回答表!X54="●",[9]回答表!S509,IF([9]回答表!AA54="●",[9]回答表!S532,""))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IF([9]回答表!X54="●",[9]回答表!BC511,IF([9]回答表!AA54="●",[9]回答表!BC534,""))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IF([9]回答表!X54="●",[9]回答表!V509,IF([9]回答表!AA54="●",[9]回答表!V532,""))</f>
        <v/>
      </c>
      <c r="BG306" s="151"/>
      <c r="BH306" s="151"/>
      <c r="BI306" s="151"/>
      <c r="BJ306" s="150" t="str">
        <f>IF([9]回答表!X54="●",[9]回答表!V510,IF([9]回答表!AA54="●",[9]回答表!V533,""))</f>
        <v/>
      </c>
      <c r="BK306" s="151"/>
      <c r="BL306" s="151"/>
      <c r="BM306" s="152"/>
      <c r="BN306" s="150" t="str">
        <f>IF([9]回答表!X54="●",[9]回答表!V511,IF([9]回答表!AA54="●",[9]回答表!V534,""))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IF([9]回答表!X54="●",[9]回答表!BC512,IF([9]回答表!AA54="●",[9]回答表!BC535,""))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IF([9]回答表!X54="●",[9]回答表!BC516,IF([9]回答表!AA54="●",[9]回答表!BC539,""))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IF([9]回答表!AA54="●","●","")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IF([9]回答表!X54="●",[9]回答表!BC513,IF([9]回答表!AA54="●",[9]回答表!BC536,""))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IF([9]回答表!X54="●",[9]回答表!BC514,IF([9]回答表!AA54="●",[9]回答表!BC537,""))</f>
        <v/>
      </c>
      <c r="AR311" s="271"/>
      <c r="AS311" s="271"/>
      <c r="AT311" s="271"/>
      <c r="AU311" s="222" t="s">
        <v>80</v>
      </c>
      <c r="AV311" s="223"/>
      <c r="AW311" s="223"/>
      <c r="AX311" s="224"/>
      <c r="AY311" s="281" t="str">
        <f>IF([9]回答表!X54="●",[9]回答表!BC517,IF([9]回答表!AA54="●",[9]回答表!BC540,""))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IF([9]回答表!X54="●",[9]回答表!E516,IF([9]回答表!AA54="●",[9]回答表!E538,""))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IF([9]回答表!X54="●",[9]回答表!B518,IF([9]回答表!AA54="●",[9]回答表!B540,""))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IF([9]回答表!AD54="●","●","")</f>
        <v/>
      </c>
      <c r="O322" s="131"/>
      <c r="P322" s="131"/>
      <c r="Q322" s="132"/>
      <c r="R322" s="119"/>
      <c r="S322" s="119"/>
      <c r="T322" s="119"/>
      <c r="U322" s="133" t="str">
        <f>IF([9]回答表!AD54="●",[9]回答表!B548,"")</f>
        <v/>
      </c>
      <c r="V322" s="134"/>
      <c r="W322" s="134"/>
      <c r="X322" s="134"/>
      <c r="Y322" s="134"/>
      <c r="Z322" s="134"/>
      <c r="AA322" s="134"/>
      <c r="AB322" s="134"/>
      <c r="AC322" s="134"/>
      <c r="AD322" s="134"/>
      <c r="AE322" s="134"/>
      <c r="AF322" s="134"/>
      <c r="AG322" s="134"/>
      <c r="AH322" s="134"/>
      <c r="AI322" s="134"/>
      <c r="AJ322" s="135"/>
      <c r="AK322" s="189"/>
      <c r="AL322" s="189"/>
      <c r="AM322" s="133" t="str">
        <f>IF([9]回答表!AD54="●",[9]回答表!B554,"")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IF([9]回答表!X55="●","●","")</f>
        <v/>
      </c>
      <c r="O333" s="131"/>
      <c r="P333" s="131"/>
      <c r="Q333" s="132"/>
      <c r="R333" s="119"/>
      <c r="S333" s="119"/>
      <c r="T333" s="119"/>
      <c r="U333" s="133" t="str">
        <f>IF([9]回答表!X55="●",[9]回答表!B565,IF([9]回答表!AA55="●",[9]回答表!B590,""))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IF([9]回答表!X55="●",[9]回答表!B575,IF([9]回答表!AA55="●",[9]回答表!B600,""))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IF([9]回答表!X55="●",[9]回答表!G571,IF([9]回答表!AA55="●",[9]回答表!G596,""))</f>
        <v/>
      </c>
      <c r="AN335" s="83"/>
      <c r="AO335" s="83"/>
      <c r="AP335" s="83"/>
      <c r="AQ335" s="83"/>
      <c r="AR335" s="83"/>
      <c r="AS335" s="83"/>
      <c r="AT335" s="153"/>
      <c r="AU335" s="82" t="str">
        <f>IF([9]回答表!X55="●",[9]回答表!G572,IF([9]回答表!AA55="●",[9]回答表!G597,""))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IF([9]回答表!X55="●",[9]回答表!E575,IF([9]回答表!AA55="●",[9]回答表!E600,""))</f>
        <v/>
      </c>
      <c r="BG336" s="151"/>
      <c r="BH336" s="151"/>
      <c r="BI336" s="151"/>
      <c r="BJ336" s="150" t="str">
        <f>IF([9]回答表!X55="●",[9]回答表!E576,IF([9]回答表!AA55="●",[9]回答表!E601,""))</f>
        <v/>
      </c>
      <c r="BK336" s="151"/>
      <c r="BL336" s="151"/>
      <c r="BM336" s="152"/>
      <c r="BN336" s="150" t="str">
        <f>IF([9]回答表!X55="●",[9]回答表!E577,IF([9]回答表!AA55="●",[9]回答表!E602,""))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IF([9]回答表!AA55="●","●","")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IF([9]回答表!X55="●",[9]回答表!E580,IF([9]回答表!AA55="●",[9]回答表!E605,""))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IF([9]回答表!X55="●",[9]回答表!B582,IF([9]回答表!AA55="●",[9]回答表!B607,""))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IF([9]回答表!AD55="●","●","")</f>
        <v/>
      </c>
      <c r="O352" s="131"/>
      <c r="P352" s="131"/>
      <c r="Q352" s="132"/>
      <c r="R352" s="119"/>
      <c r="S352" s="119"/>
      <c r="T352" s="119"/>
      <c r="U352" s="133" t="str">
        <f>IF([9]回答表!AD55="●",[9]回答表!B615,"")</f>
        <v/>
      </c>
      <c r="V352" s="134"/>
      <c r="W352" s="134"/>
      <c r="X352" s="134"/>
      <c r="Y352" s="134"/>
      <c r="Z352" s="134"/>
      <c r="AA352" s="134"/>
      <c r="AB352" s="134"/>
      <c r="AC352" s="134"/>
      <c r="AD352" s="134"/>
      <c r="AE352" s="134"/>
      <c r="AF352" s="134"/>
      <c r="AG352" s="134"/>
      <c r="AH352" s="134"/>
      <c r="AI352" s="134"/>
      <c r="AJ352" s="135"/>
      <c r="AK352" s="136"/>
      <c r="AL352" s="136"/>
      <c r="AM352" s="133" t="str">
        <f>IF([9]回答表!AD55="●",[9]回答表!B621,"")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IF([9]回答表!R56="●",[9]回答表!B634,"")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hos</vt:lpstr>
      <vt:lpstr>suido</vt:lpstr>
      <vt:lpstr>kousi</vt:lpstr>
      <vt:lpstr>ichiba</vt:lpstr>
      <vt:lpstr>kansui</vt:lpstr>
      <vt:lpstr>kaigo_tanki</vt:lpstr>
      <vt:lpstr>kaigo_dei</vt:lpstr>
      <vt:lpstr>kaigo_sitei</vt:lpstr>
      <vt:lpstr>gesui_nosyu</vt:lpstr>
      <vt:lpstr>gesui_tokan</vt:lpstr>
      <vt:lpstr>gesui_koukyo</vt:lpstr>
      <vt:lpstr>gesui_tokuhai</vt:lpstr>
      <vt:lpstr>chushajo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　修平</dc:creator>
  <cp:lastModifiedBy>田村　修平</cp:lastModifiedBy>
  <dcterms:created xsi:type="dcterms:W3CDTF">2022-10-12T23:33:09Z</dcterms:created>
  <dcterms:modified xsi:type="dcterms:W3CDTF">2022-10-13T00:36:42Z</dcterms:modified>
</cp:coreProperties>
</file>