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G:\admin\02koueikigyo\02 業務\01 共通業務\03 各種調査・照会\07 経営総点検調査・抜本的改革取組状況調査\R04年度作業\01 抜本的な改革の取組状況調査\07公開用ファイル\"/>
    </mc:Choice>
  </mc:AlternateContent>
  <xr:revisionPtr revIDLastSave="0" documentId="13_ncr:1_{E3F27A29-A3DA-4138-A856-2250AF322605}" xr6:coauthVersionLast="47" xr6:coauthVersionMax="47" xr10:uidLastSave="{00000000-0000-0000-0000-000000000000}"/>
  <bookViews>
    <workbookView xWindow="135" yWindow="600" windowWidth="28665" windowHeight="15600" firstSheet="10" activeTab="12" xr2:uid="{BC254DD8-AB24-4553-B0E1-D4723D9F9C95}"/>
  </bookViews>
  <sheets>
    <sheet name="hos" sheetId="1" r:id="rId1"/>
    <sheet name="suido" sheetId="2" r:id="rId2"/>
    <sheet name="kanko" sheetId="3" r:id="rId3"/>
    <sheet name="kansui" sheetId="4" r:id="rId4"/>
    <sheet name="kaigo_tanki" sheetId="5" r:id="rId5"/>
    <sheet name="kaigo_dei" sheetId="6" r:id="rId6"/>
    <sheet name="kaigo_sitei" sheetId="7" r:id="rId7"/>
    <sheet name="kaigo_hoken" sheetId="8" r:id="rId8"/>
    <sheet name="gesui_rinsyu" sheetId="9" r:id="rId9"/>
    <sheet name="gesui_nosyu" sheetId="10" r:id="rId10"/>
    <sheet name="gesui_tokuhai" sheetId="11" r:id="rId11"/>
    <sheet name="gesui_shokibo" sheetId="12" r:id="rId12"/>
    <sheet name="gesui_koukyo" sheetId="13"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65" i="13" l="1"/>
  <c r="AM352" i="13"/>
  <c r="U352" i="13"/>
  <c r="N352" i="13"/>
  <c r="AM345" i="13"/>
  <c r="U345" i="13"/>
  <c r="N339" i="13"/>
  <c r="BN336" i="13"/>
  <c r="BJ336" i="13"/>
  <c r="BF336" i="13"/>
  <c r="AU335" i="13"/>
  <c r="AM335" i="13"/>
  <c r="BF333" i="13"/>
  <c r="U333" i="13"/>
  <c r="N333" i="13"/>
  <c r="AM322" i="13"/>
  <c r="U322" i="13"/>
  <c r="N322" i="13"/>
  <c r="AM315" i="13"/>
  <c r="U315" i="13"/>
  <c r="AY311" i="13"/>
  <c r="AQ311" i="13"/>
  <c r="AQ309" i="13"/>
  <c r="N309" i="13"/>
  <c r="AY308" i="13"/>
  <c r="AQ307" i="13"/>
  <c r="BN306" i="13"/>
  <c r="BJ306" i="13"/>
  <c r="BF306" i="13"/>
  <c r="AQ305" i="13"/>
  <c r="BF303" i="13"/>
  <c r="AY303" i="13"/>
  <c r="AQ303" i="13"/>
  <c r="U303" i="13"/>
  <c r="N303" i="13"/>
  <c r="AM291" i="13"/>
  <c r="U291" i="13"/>
  <c r="N291" i="13"/>
  <c r="AM284" i="13"/>
  <c r="U284" i="13"/>
  <c r="N278" i="13"/>
  <c r="BN275" i="13"/>
  <c r="BJ275" i="13"/>
  <c r="BF275" i="13"/>
  <c r="BF272" i="13"/>
  <c r="AN272" i="13"/>
  <c r="U272" i="13"/>
  <c r="N272" i="13"/>
  <c r="AM260" i="13"/>
  <c r="U260" i="13"/>
  <c r="N260" i="13"/>
  <c r="AM253" i="13"/>
  <c r="U253" i="13"/>
  <c r="N247" i="13"/>
  <c r="BN244" i="13"/>
  <c r="BJ244" i="13"/>
  <c r="BF244" i="13"/>
  <c r="AU244" i="13"/>
  <c r="AM244" i="13"/>
  <c r="BF241" i="13"/>
  <c r="U241" i="13"/>
  <c r="N241" i="13"/>
  <c r="AM229" i="13"/>
  <c r="U229" i="13"/>
  <c r="N229" i="13"/>
  <c r="AM222" i="13"/>
  <c r="U222" i="13"/>
  <c r="N216" i="13"/>
  <c r="AU213" i="13"/>
  <c r="AQ213" i="13"/>
  <c r="AM213" i="13"/>
  <c r="AM210" i="13"/>
  <c r="U210" i="13"/>
  <c r="N210" i="13"/>
  <c r="AM198" i="13"/>
  <c r="U198" i="13"/>
  <c r="N198" i="13"/>
  <c r="AM191" i="13"/>
  <c r="U191" i="13"/>
  <c r="AK186" i="13"/>
  <c r="AC186" i="13"/>
  <c r="U186" i="13"/>
  <c r="N185" i="13"/>
  <c r="BA180" i="13"/>
  <c r="AS180" i="13"/>
  <c r="AK180" i="13"/>
  <c r="AC180" i="13"/>
  <c r="U180" i="13"/>
  <c r="AC174" i="13"/>
  <c r="U174" i="13"/>
  <c r="BX169" i="13"/>
  <c r="BN169" i="13"/>
  <c r="BJ169" i="13"/>
  <c r="BF169" i="13"/>
  <c r="U168" i="13"/>
  <c r="BF166" i="13"/>
  <c r="AM166" i="13"/>
  <c r="N166" i="13"/>
  <c r="AM154" i="13"/>
  <c r="U154" i="13"/>
  <c r="N154" i="13"/>
  <c r="AM147" i="13"/>
  <c r="U147" i="13"/>
  <c r="AY142" i="13"/>
  <c r="AS142" i="13"/>
  <c r="AM142" i="13"/>
  <c r="U142" i="13"/>
  <c r="N139" i="13"/>
  <c r="U137" i="13"/>
  <c r="BN133" i="13"/>
  <c r="BJ133" i="13"/>
  <c r="BF133" i="13"/>
  <c r="U132" i="13"/>
  <c r="N132" i="13"/>
  <c r="BF130" i="13"/>
  <c r="AM130" i="13"/>
  <c r="AM118" i="13"/>
  <c r="U118" i="13"/>
  <c r="N118" i="13"/>
  <c r="AM111" i="13"/>
  <c r="U111" i="13"/>
  <c r="AC106" i="13"/>
  <c r="U106" i="13"/>
  <c r="N105" i="13"/>
  <c r="BN102" i="13"/>
  <c r="BJ102" i="13"/>
  <c r="BF102" i="13"/>
  <c r="AC101" i="13"/>
  <c r="U101" i="13"/>
  <c r="BF99" i="13"/>
  <c r="AM99" i="13"/>
  <c r="N99" i="13"/>
  <c r="AM87" i="13"/>
  <c r="U87" i="13"/>
  <c r="N87" i="13"/>
  <c r="AM80" i="13"/>
  <c r="U80" i="13"/>
  <c r="N74" i="13"/>
  <c r="BN71" i="13"/>
  <c r="BJ71" i="13"/>
  <c r="BF71" i="13"/>
  <c r="AU71" i="13"/>
  <c r="AM71" i="13"/>
  <c r="BF68" i="13"/>
  <c r="U68" i="13"/>
  <c r="N68" i="13"/>
  <c r="AM57" i="13"/>
  <c r="U57" i="13"/>
  <c r="N57" i="13"/>
  <c r="AM50" i="13"/>
  <c r="U50" i="13"/>
  <c r="AM47" i="13"/>
  <c r="AM46" i="13"/>
  <c r="AM45" i="13"/>
  <c r="AM44" i="13"/>
  <c r="N44" i="13"/>
  <c r="AM43" i="13"/>
  <c r="AM42" i="13"/>
  <c r="BN39" i="13"/>
  <c r="BJ39" i="13"/>
  <c r="BF39" i="13"/>
  <c r="AU38" i="13"/>
  <c r="AM38" i="13"/>
  <c r="BF36" i="13"/>
  <c r="U36" i="13"/>
  <c r="N36" i="13"/>
  <c r="BB24" i="13"/>
  <c r="AT24" i="13"/>
  <c r="AM24" i="13"/>
  <c r="AF24" i="13"/>
  <c r="Y24" i="13"/>
  <c r="R24" i="13"/>
  <c r="K24" i="13"/>
  <c r="D24" i="13"/>
  <c r="BG11" i="13"/>
  <c r="AO11" i="13"/>
  <c r="U11" i="13"/>
  <c r="C11" i="13"/>
  <c r="D365" i="12" l="1"/>
  <c r="AM352" i="12"/>
  <c r="U352" i="12"/>
  <c r="N352" i="12"/>
  <c r="AM345" i="12"/>
  <c r="U345" i="12"/>
  <c r="N339" i="12"/>
  <c r="BN336" i="12"/>
  <c r="BJ336" i="12"/>
  <c r="BF336" i="12"/>
  <c r="AU335" i="12"/>
  <c r="AM335" i="12"/>
  <c r="BF333" i="12"/>
  <c r="U333" i="12"/>
  <c r="N333" i="12"/>
  <c r="AM322" i="12"/>
  <c r="U322" i="12"/>
  <c r="N322" i="12"/>
  <c r="AM315" i="12"/>
  <c r="U315" i="12"/>
  <c r="AY311" i="12"/>
  <c r="AQ311" i="12"/>
  <c r="AQ309" i="12"/>
  <c r="N309" i="12"/>
  <c r="AY308" i="12"/>
  <c r="AQ307" i="12"/>
  <c r="BN306" i="12"/>
  <c r="BJ306" i="12"/>
  <c r="BF306" i="12"/>
  <c r="AQ305" i="12"/>
  <c r="BF303" i="12"/>
  <c r="AY303" i="12"/>
  <c r="AQ303" i="12"/>
  <c r="U303" i="12"/>
  <c r="N303" i="12"/>
  <c r="AM291" i="12"/>
  <c r="U291" i="12"/>
  <c r="N291" i="12"/>
  <c r="AM284" i="12"/>
  <c r="U284" i="12"/>
  <c r="N278" i="12"/>
  <c r="BN275" i="12"/>
  <c r="BJ275" i="12"/>
  <c r="BF275" i="12"/>
  <c r="BF272" i="12"/>
  <c r="AN272" i="12"/>
  <c r="U272" i="12"/>
  <c r="N272" i="12"/>
  <c r="AM260" i="12"/>
  <c r="U260" i="12"/>
  <c r="N260" i="12"/>
  <c r="AM253" i="12"/>
  <c r="U253" i="12"/>
  <c r="N247" i="12"/>
  <c r="BN244" i="12"/>
  <c r="BJ244" i="12"/>
  <c r="BF244" i="12"/>
  <c r="AU244" i="12"/>
  <c r="AM244" i="12"/>
  <c r="BF241" i="12"/>
  <c r="U241" i="12"/>
  <c r="N241" i="12"/>
  <c r="AM229" i="12"/>
  <c r="U229" i="12"/>
  <c r="N229" i="12"/>
  <c r="AM222" i="12"/>
  <c r="U222" i="12"/>
  <c r="N216" i="12"/>
  <c r="AU213" i="12"/>
  <c r="AQ213" i="12"/>
  <c r="AM213" i="12"/>
  <c r="AM210" i="12"/>
  <c r="U210" i="12"/>
  <c r="N210" i="12"/>
  <c r="AM198" i="12"/>
  <c r="U198" i="12"/>
  <c r="N198" i="12"/>
  <c r="AM191" i="12"/>
  <c r="U191" i="12"/>
  <c r="AK186" i="12"/>
  <c r="AC186" i="12"/>
  <c r="U186" i="12"/>
  <c r="N185" i="12"/>
  <c r="BA180" i="12"/>
  <c r="AS180" i="12"/>
  <c r="AK180" i="12"/>
  <c r="AC180" i="12"/>
  <c r="U180" i="12"/>
  <c r="AC174" i="12"/>
  <c r="U174" i="12"/>
  <c r="BX169" i="12"/>
  <c r="BN169" i="12"/>
  <c r="BJ169" i="12"/>
  <c r="BF169" i="12"/>
  <c r="U168" i="12"/>
  <c r="BF166" i="12"/>
  <c r="AM166" i="12"/>
  <c r="N166" i="12"/>
  <c r="AM154" i="12"/>
  <c r="U154" i="12"/>
  <c r="N154" i="12"/>
  <c r="AM147" i="12"/>
  <c r="U147" i="12"/>
  <c r="AY142" i="12"/>
  <c r="AS142" i="12"/>
  <c r="AM142" i="12"/>
  <c r="U142" i="12"/>
  <c r="N139" i="12"/>
  <c r="U137" i="12"/>
  <c r="BN133" i="12"/>
  <c r="BJ133" i="12"/>
  <c r="BF133" i="12"/>
  <c r="U132" i="12"/>
  <c r="N132" i="12"/>
  <c r="BF130" i="12"/>
  <c r="AM130" i="12"/>
  <c r="AM118" i="12"/>
  <c r="U118" i="12"/>
  <c r="N118" i="12"/>
  <c r="AM111" i="12"/>
  <c r="U111" i="12"/>
  <c r="AC106" i="12"/>
  <c r="U106" i="12"/>
  <c r="N105" i="12"/>
  <c r="BN102" i="12"/>
  <c r="BJ102" i="12"/>
  <c r="BF102" i="12"/>
  <c r="AC101" i="12"/>
  <c r="U101" i="12"/>
  <c r="BF99" i="12"/>
  <c r="AM99" i="12"/>
  <c r="N99" i="12"/>
  <c r="AM87" i="12"/>
  <c r="U87" i="12"/>
  <c r="N87" i="12"/>
  <c r="AM80" i="12"/>
  <c r="U80" i="12"/>
  <c r="N74" i="12"/>
  <c r="BN71" i="12"/>
  <c r="BJ71" i="12"/>
  <c r="BF71" i="12"/>
  <c r="AU71" i="12"/>
  <c r="AM71" i="12"/>
  <c r="BF68" i="12"/>
  <c r="U68" i="12"/>
  <c r="N68" i="12"/>
  <c r="AM57" i="12"/>
  <c r="U57" i="12"/>
  <c r="N57" i="12"/>
  <c r="AM50" i="12"/>
  <c r="U50" i="12"/>
  <c r="AM47" i="12"/>
  <c r="AM46" i="12"/>
  <c r="AM45" i="12"/>
  <c r="AM44" i="12"/>
  <c r="N44" i="12"/>
  <c r="AM43" i="12"/>
  <c r="AM42" i="12"/>
  <c r="BN39" i="12"/>
  <c r="BJ39" i="12"/>
  <c r="BF39" i="12"/>
  <c r="AU38" i="12"/>
  <c r="AM38" i="12"/>
  <c r="BF36" i="12"/>
  <c r="U36" i="12"/>
  <c r="N36" i="12"/>
  <c r="BB24" i="12"/>
  <c r="AT24" i="12"/>
  <c r="AM24" i="12"/>
  <c r="AF24" i="12"/>
  <c r="Y24" i="12"/>
  <c r="R24" i="12"/>
  <c r="K24" i="12"/>
  <c r="D24" i="12"/>
  <c r="BG11" i="12"/>
  <c r="AO11" i="12"/>
  <c r="U11" i="12"/>
  <c r="C11" i="12"/>
  <c r="D365" i="11" l="1"/>
  <c r="AM352" i="11"/>
  <c r="U352" i="11"/>
  <c r="N352" i="11"/>
  <c r="AM345" i="11"/>
  <c r="U345" i="11"/>
  <c r="N339" i="11"/>
  <c r="BN336" i="11"/>
  <c r="BJ336" i="11"/>
  <c r="BF336" i="11"/>
  <c r="AU335" i="11"/>
  <c r="AM335" i="11"/>
  <c r="BF333" i="11"/>
  <c r="U333" i="11"/>
  <c r="N333" i="11"/>
  <c r="AM322" i="11"/>
  <c r="U322" i="11"/>
  <c r="N322" i="11"/>
  <c r="AM315" i="11"/>
  <c r="U315" i="11"/>
  <c r="AY311" i="11"/>
  <c r="AQ311" i="11"/>
  <c r="AQ309" i="11"/>
  <c r="N309" i="11"/>
  <c r="AY308" i="11"/>
  <c r="AQ307" i="11"/>
  <c r="BN306" i="11"/>
  <c r="BJ306" i="11"/>
  <c r="BF306" i="11"/>
  <c r="AQ305" i="11"/>
  <c r="BF303" i="11"/>
  <c r="AY303" i="11"/>
  <c r="AQ303" i="11"/>
  <c r="U303" i="11"/>
  <c r="N303" i="11"/>
  <c r="AM291" i="11"/>
  <c r="U291" i="11"/>
  <c r="N291" i="11"/>
  <c r="AM284" i="11"/>
  <c r="U284" i="11"/>
  <c r="N278" i="11"/>
  <c r="BN275" i="11"/>
  <c r="BJ275" i="11"/>
  <c r="BF275" i="11"/>
  <c r="BF272" i="11"/>
  <c r="AN272" i="11"/>
  <c r="U272" i="11"/>
  <c r="N272" i="11"/>
  <c r="AM260" i="11"/>
  <c r="U260" i="11"/>
  <c r="N260" i="11"/>
  <c r="AM253" i="11"/>
  <c r="U253" i="11"/>
  <c r="N247" i="11"/>
  <c r="BN244" i="11"/>
  <c r="BJ244" i="11"/>
  <c r="BF244" i="11"/>
  <c r="AU244" i="11"/>
  <c r="AM244" i="11"/>
  <c r="BF241" i="11"/>
  <c r="U241" i="11"/>
  <c r="N241" i="11"/>
  <c r="AM229" i="11"/>
  <c r="U229" i="11"/>
  <c r="N229" i="11"/>
  <c r="AM222" i="11"/>
  <c r="U222" i="11"/>
  <c r="N216" i="11"/>
  <c r="AU213" i="11"/>
  <c r="AQ213" i="11"/>
  <c r="AM213" i="11"/>
  <c r="AM210" i="11"/>
  <c r="U210" i="11"/>
  <c r="N210" i="11"/>
  <c r="AM198" i="11"/>
  <c r="U198" i="11"/>
  <c r="N198" i="11"/>
  <c r="AM191" i="11"/>
  <c r="U191" i="11"/>
  <c r="AK186" i="11"/>
  <c r="AC186" i="11"/>
  <c r="U186" i="11"/>
  <c r="N185" i="11"/>
  <c r="BA180" i="11"/>
  <c r="AS180" i="11"/>
  <c r="AK180" i="11"/>
  <c r="AC180" i="11"/>
  <c r="U180" i="11"/>
  <c r="AC174" i="11"/>
  <c r="U174" i="11"/>
  <c r="BX169" i="11"/>
  <c r="BN169" i="11"/>
  <c r="BJ169" i="11"/>
  <c r="BF169" i="11"/>
  <c r="U168" i="11"/>
  <c r="BF166" i="11"/>
  <c r="AM166" i="11"/>
  <c r="N166" i="11"/>
  <c r="AM154" i="11"/>
  <c r="U154" i="11"/>
  <c r="N154" i="11"/>
  <c r="AM147" i="11"/>
  <c r="U147" i="11"/>
  <c r="AY142" i="11"/>
  <c r="AS142" i="11"/>
  <c r="AM142" i="11"/>
  <c r="U142" i="11"/>
  <c r="N139" i="11"/>
  <c r="U137" i="11"/>
  <c r="BN133" i="11"/>
  <c r="BJ133" i="11"/>
  <c r="BF133" i="11"/>
  <c r="U132" i="11"/>
  <c r="N132" i="11"/>
  <c r="BF130" i="11"/>
  <c r="AM130" i="11"/>
  <c r="AM118" i="11"/>
  <c r="U118" i="11"/>
  <c r="N118" i="11"/>
  <c r="AM111" i="11"/>
  <c r="U111" i="11"/>
  <c r="AC106" i="11"/>
  <c r="U106" i="11"/>
  <c r="N105" i="11"/>
  <c r="BN102" i="11"/>
  <c r="BJ102" i="11"/>
  <c r="BF102" i="11"/>
  <c r="AC101" i="11"/>
  <c r="U101" i="11"/>
  <c r="BF99" i="11"/>
  <c r="AM99" i="11"/>
  <c r="N99" i="11"/>
  <c r="AM87" i="11"/>
  <c r="U87" i="11"/>
  <c r="N87" i="11"/>
  <c r="AM80" i="11"/>
  <c r="U80" i="11"/>
  <c r="N74" i="11"/>
  <c r="BN71" i="11"/>
  <c r="BJ71" i="11"/>
  <c r="BF71" i="11"/>
  <c r="AU71" i="11"/>
  <c r="AM71" i="11"/>
  <c r="BF68" i="11"/>
  <c r="U68" i="11"/>
  <c r="N68" i="11"/>
  <c r="AM57" i="11"/>
  <c r="U57" i="11"/>
  <c r="N57" i="11"/>
  <c r="AM50" i="11"/>
  <c r="U50" i="11"/>
  <c r="AM47" i="11"/>
  <c r="AM46" i="11"/>
  <c r="AM45" i="11"/>
  <c r="AM44" i="11"/>
  <c r="N44" i="11"/>
  <c r="AM43" i="11"/>
  <c r="AM42" i="11"/>
  <c r="BN39" i="11"/>
  <c r="BJ39" i="11"/>
  <c r="BF39" i="11"/>
  <c r="AU38" i="11"/>
  <c r="AM38" i="11"/>
  <c r="BF36" i="11"/>
  <c r="U36" i="11"/>
  <c r="N36" i="11"/>
  <c r="BB24" i="11"/>
  <c r="AT24" i="11"/>
  <c r="AM24" i="11"/>
  <c r="AF24" i="11"/>
  <c r="Y24" i="11"/>
  <c r="R24" i="11"/>
  <c r="K24" i="11"/>
  <c r="D24" i="11"/>
  <c r="BG11" i="11"/>
  <c r="AO11" i="11"/>
  <c r="U11" i="11"/>
  <c r="C11" i="11"/>
  <c r="D365" i="10" l="1"/>
  <c r="AM352" i="10"/>
  <c r="U352" i="10"/>
  <c r="N352" i="10"/>
  <c r="AM345" i="10"/>
  <c r="U345" i="10"/>
  <c r="N339" i="10"/>
  <c r="BN336" i="10"/>
  <c r="BJ336" i="10"/>
  <c r="BF336" i="10"/>
  <c r="AU335" i="10"/>
  <c r="AM335" i="10"/>
  <c r="BF333" i="10"/>
  <c r="U333" i="10"/>
  <c r="N333" i="10"/>
  <c r="AM322" i="10"/>
  <c r="U322" i="10"/>
  <c r="N322" i="10"/>
  <c r="AM315" i="10"/>
  <c r="U315" i="10"/>
  <c r="AY311" i="10"/>
  <c r="AQ311" i="10"/>
  <c r="AQ309" i="10"/>
  <c r="N309" i="10"/>
  <c r="AY308" i="10"/>
  <c r="AQ307" i="10"/>
  <c r="BN306" i="10"/>
  <c r="BJ306" i="10"/>
  <c r="BF306" i="10"/>
  <c r="AQ305" i="10"/>
  <c r="BF303" i="10"/>
  <c r="AY303" i="10"/>
  <c r="AQ303" i="10"/>
  <c r="U303" i="10"/>
  <c r="N303" i="10"/>
  <c r="AM291" i="10"/>
  <c r="U291" i="10"/>
  <c r="N291" i="10"/>
  <c r="AM284" i="10"/>
  <c r="U284" i="10"/>
  <c r="N278" i="10"/>
  <c r="BN275" i="10"/>
  <c r="BJ275" i="10"/>
  <c r="BF275" i="10"/>
  <c r="BF272" i="10"/>
  <c r="AN272" i="10"/>
  <c r="U272" i="10"/>
  <c r="N272" i="10"/>
  <c r="AM260" i="10"/>
  <c r="U260" i="10"/>
  <c r="N260" i="10"/>
  <c r="AM253" i="10"/>
  <c r="U253" i="10"/>
  <c r="N247" i="10"/>
  <c r="BN244" i="10"/>
  <c r="BJ244" i="10"/>
  <c r="BF244" i="10"/>
  <c r="AU244" i="10"/>
  <c r="AM244" i="10"/>
  <c r="BF241" i="10"/>
  <c r="U241" i="10"/>
  <c r="N241" i="10"/>
  <c r="AM229" i="10"/>
  <c r="U229" i="10"/>
  <c r="N229" i="10"/>
  <c r="AM222" i="10"/>
  <c r="U222" i="10"/>
  <c r="N216" i="10"/>
  <c r="AU213" i="10"/>
  <c r="AQ213" i="10"/>
  <c r="AM213" i="10"/>
  <c r="AM210" i="10"/>
  <c r="U210" i="10"/>
  <c r="N210" i="10"/>
  <c r="AM198" i="10"/>
  <c r="U198" i="10"/>
  <c r="N198" i="10"/>
  <c r="AM191" i="10"/>
  <c r="U191" i="10"/>
  <c r="AK186" i="10"/>
  <c r="AC186" i="10"/>
  <c r="U186" i="10"/>
  <c r="N185" i="10"/>
  <c r="BA180" i="10"/>
  <c r="AS180" i="10"/>
  <c r="AK180" i="10"/>
  <c r="AC180" i="10"/>
  <c r="U180" i="10"/>
  <c r="AC174" i="10"/>
  <c r="U174" i="10"/>
  <c r="BX169" i="10"/>
  <c r="BN169" i="10"/>
  <c r="BJ169" i="10"/>
  <c r="BF169" i="10"/>
  <c r="U168" i="10"/>
  <c r="BF166" i="10"/>
  <c r="AM166" i="10"/>
  <c r="N166" i="10"/>
  <c r="AM154" i="10"/>
  <c r="U154" i="10"/>
  <c r="N154" i="10"/>
  <c r="AM147" i="10"/>
  <c r="U147" i="10"/>
  <c r="AY142" i="10"/>
  <c r="AS142" i="10"/>
  <c r="AM142" i="10"/>
  <c r="U142" i="10"/>
  <c r="N139" i="10"/>
  <c r="U137" i="10"/>
  <c r="BN133" i="10"/>
  <c r="BJ133" i="10"/>
  <c r="BF133" i="10"/>
  <c r="U132" i="10"/>
  <c r="N132" i="10"/>
  <c r="BF130" i="10"/>
  <c r="AM130" i="10"/>
  <c r="AM118" i="10"/>
  <c r="U118" i="10"/>
  <c r="N118" i="10"/>
  <c r="AM111" i="10"/>
  <c r="U111" i="10"/>
  <c r="AC106" i="10"/>
  <c r="U106" i="10"/>
  <c r="N105" i="10"/>
  <c r="BN102" i="10"/>
  <c r="BJ102" i="10"/>
  <c r="BF102" i="10"/>
  <c r="AC101" i="10"/>
  <c r="U101" i="10"/>
  <c r="BF99" i="10"/>
  <c r="AM99" i="10"/>
  <c r="N99" i="10"/>
  <c r="AM87" i="10"/>
  <c r="U87" i="10"/>
  <c r="N87" i="10"/>
  <c r="AM80" i="10"/>
  <c r="U80" i="10"/>
  <c r="N74" i="10"/>
  <c r="BN71" i="10"/>
  <c r="BJ71" i="10"/>
  <c r="BF71" i="10"/>
  <c r="AU71" i="10"/>
  <c r="AM71" i="10"/>
  <c r="BF68" i="10"/>
  <c r="U68" i="10"/>
  <c r="N68" i="10"/>
  <c r="AM57" i="10"/>
  <c r="U57" i="10"/>
  <c r="N57" i="10"/>
  <c r="AM50" i="10"/>
  <c r="U50" i="10"/>
  <c r="AM47" i="10"/>
  <c r="AM46" i="10"/>
  <c r="AM45" i="10"/>
  <c r="AM44" i="10"/>
  <c r="N44" i="10"/>
  <c r="AM43" i="10"/>
  <c r="AM42" i="10"/>
  <c r="BN39" i="10"/>
  <c r="BJ39" i="10"/>
  <c r="BF39" i="10"/>
  <c r="AU38" i="10"/>
  <c r="AM38" i="10"/>
  <c r="BF36" i="10"/>
  <c r="U36" i="10"/>
  <c r="N36" i="10"/>
  <c r="BB24" i="10"/>
  <c r="AT24" i="10"/>
  <c r="AM24" i="10"/>
  <c r="AF24" i="10"/>
  <c r="Y24" i="10"/>
  <c r="R24" i="10"/>
  <c r="K24" i="10"/>
  <c r="D24" i="10"/>
  <c r="BG11" i="10"/>
  <c r="AO11" i="10"/>
  <c r="U11" i="10"/>
  <c r="C11" i="10"/>
  <c r="D365" i="9" l="1"/>
  <c r="AM352" i="9"/>
  <c r="U352" i="9"/>
  <c r="N352" i="9"/>
  <c r="AM345" i="9"/>
  <c r="U345" i="9"/>
  <c r="N339" i="9"/>
  <c r="BN336" i="9"/>
  <c r="BJ336" i="9"/>
  <c r="BF336" i="9"/>
  <c r="AU335" i="9"/>
  <c r="AM335" i="9"/>
  <c r="BF333" i="9"/>
  <c r="U333" i="9"/>
  <c r="N333" i="9"/>
  <c r="AM322" i="9"/>
  <c r="U322" i="9"/>
  <c r="N322" i="9"/>
  <c r="AM315" i="9"/>
  <c r="U315" i="9"/>
  <c r="AY311" i="9"/>
  <c r="AQ311" i="9"/>
  <c r="AQ309" i="9"/>
  <c r="N309" i="9"/>
  <c r="AY308" i="9"/>
  <c r="AQ307" i="9"/>
  <c r="BN306" i="9"/>
  <c r="BJ306" i="9"/>
  <c r="BF306" i="9"/>
  <c r="AQ305" i="9"/>
  <c r="BF303" i="9"/>
  <c r="AY303" i="9"/>
  <c r="AQ303" i="9"/>
  <c r="U303" i="9"/>
  <c r="N303" i="9"/>
  <c r="AM291" i="9"/>
  <c r="U291" i="9"/>
  <c r="N291" i="9"/>
  <c r="AM284" i="9"/>
  <c r="U284" i="9"/>
  <c r="N278" i="9"/>
  <c r="BN275" i="9"/>
  <c r="BJ275" i="9"/>
  <c r="BF275" i="9"/>
  <c r="BF272" i="9"/>
  <c r="AN272" i="9"/>
  <c r="U272" i="9"/>
  <c r="N272" i="9"/>
  <c r="AM260" i="9"/>
  <c r="U260" i="9"/>
  <c r="N260" i="9"/>
  <c r="AM253" i="9"/>
  <c r="U253" i="9"/>
  <c r="N247" i="9"/>
  <c r="BN244" i="9"/>
  <c r="BJ244" i="9"/>
  <c r="BF244" i="9"/>
  <c r="AU244" i="9"/>
  <c r="AM244" i="9"/>
  <c r="BF241" i="9"/>
  <c r="U241" i="9"/>
  <c r="N241" i="9"/>
  <c r="AM229" i="9"/>
  <c r="U229" i="9"/>
  <c r="N229" i="9"/>
  <c r="AM222" i="9"/>
  <c r="U222" i="9"/>
  <c r="N216" i="9"/>
  <c r="AU213" i="9"/>
  <c r="AQ213" i="9"/>
  <c r="AM213" i="9"/>
  <c r="AM210" i="9"/>
  <c r="U210" i="9"/>
  <c r="N210" i="9"/>
  <c r="AM198" i="9"/>
  <c r="U198" i="9"/>
  <c r="N198" i="9"/>
  <c r="AM191" i="9"/>
  <c r="U191" i="9"/>
  <c r="AK186" i="9"/>
  <c r="AC186" i="9"/>
  <c r="U186" i="9"/>
  <c r="N185" i="9"/>
  <c r="BA180" i="9"/>
  <c r="AS180" i="9"/>
  <c r="AK180" i="9"/>
  <c r="AC180" i="9"/>
  <c r="U180" i="9"/>
  <c r="AC174" i="9"/>
  <c r="U174" i="9"/>
  <c r="BX169" i="9"/>
  <c r="BN169" i="9"/>
  <c r="BJ169" i="9"/>
  <c r="BF169" i="9"/>
  <c r="U168" i="9"/>
  <c r="BF166" i="9"/>
  <c r="AM166" i="9"/>
  <c r="N166" i="9"/>
  <c r="AM154" i="9"/>
  <c r="U154" i="9"/>
  <c r="N154" i="9"/>
  <c r="AM147" i="9"/>
  <c r="U147" i="9"/>
  <c r="AY142" i="9"/>
  <c r="AS142" i="9"/>
  <c r="AM142" i="9"/>
  <c r="U142" i="9"/>
  <c r="N139" i="9"/>
  <c r="U137" i="9"/>
  <c r="BN133" i="9"/>
  <c r="BJ133" i="9"/>
  <c r="BF133" i="9"/>
  <c r="U132" i="9"/>
  <c r="N132" i="9"/>
  <c r="BF130" i="9"/>
  <c r="AM130" i="9"/>
  <c r="AM118" i="9"/>
  <c r="U118" i="9"/>
  <c r="N118" i="9"/>
  <c r="AM111" i="9"/>
  <c r="U111" i="9"/>
  <c r="AC106" i="9"/>
  <c r="U106" i="9"/>
  <c r="N105" i="9"/>
  <c r="BN102" i="9"/>
  <c r="BJ102" i="9"/>
  <c r="BF102" i="9"/>
  <c r="AC101" i="9"/>
  <c r="U101" i="9"/>
  <c r="BF99" i="9"/>
  <c r="AM99" i="9"/>
  <c r="N99" i="9"/>
  <c r="AM87" i="9"/>
  <c r="U87" i="9"/>
  <c r="N87" i="9"/>
  <c r="AM80" i="9"/>
  <c r="U80" i="9"/>
  <c r="N74" i="9"/>
  <c r="BN71" i="9"/>
  <c r="BJ71" i="9"/>
  <c r="BF71" i="9"/>
  <c r="AU71" i="9"/>
  <c r="AM71" i="9"/>
  <c r="BF68" i="9"/>
  <c r="U68" i="9"/>
  <c r="N68" i="9"/>
  <c r="AM57" i="9"/>
  <c r="U57" i="9"/>
  <c r="N57" i="9"/>
  <c r="AM50" i="9"/>
  <c r="U50" i="9"/>
  <c r="AM47" i="9"/>
  <c r="AM46" i="9"/>
  <c r="AM45" i="9"/>
  <c r="AM44" i="9"/>
  <c r="N44" i="9"/>
  <c r="AM43" i="9"/>
  <c r="AM42" i="9"/>
  <c r="BN39" i="9"/>
  <c r="BJ39" i="9"/>
  <c r="BF39" i="9"/>
  <c r="AU38" i="9"/>
  <c r="AM38" i="9"/>
  <c r="BF36" i="9"/>
  <c r="U36" i="9"/>
  <c r="N36" i="9"/>
  <c r="BB24" i="9"/>
  <c r="AT24" i="9"/>
  <c r="AM24" i="9"/>
  <c r="AF24" i="9"/>
  <c r="Y24" i="9"/>
  <c r="R24" i="9"/>
  <c r="K24" i="9"/>
  <c r="D24" i="9"/>
  <c r="BG11" i="9"/>
  <c r="AO11" i="9"/>
  <c r="U11" i="9"/>
  <c r="C11" i="9"/>
  <c r="D365" i="8" l="1"/>
  <c r="AM352" i="8"/>
  <c r="U352" i="8"/>
  <c r="N352" i="8"/>
  <c r="AM345" i="8"/>
  <c r="U345" i="8"/>
  <c r="N339" i="8"/>
  <c r="BN336" i="8"/>
  <c r="BJ336" i="8"/>
  <c r="BF336" i="8"/>
  <c r="AU335" i="8"/>
  <c r="AM335" i="8"/>
  <c r="BF333" i="8"/>
  <c r="U333" i="8"/>
  <c r="N333" i="8"/>
  <c r="AM322" i="8"/>
  <c r="U322" i="8"/>
  <c r="N322" i="8"/>
  <c r="AM315" i="8"/>
  <c r="U315" i="8"/>
  <c r="AY311" i="8"/>
  <c r="AQ311" i="8"/>
  <c r="AQ309" i="8"/>
  <c r="N309" i="8"/>
  <c r="AY308" i="8"/>
  <c r="AQ307" i="8"/>
  <c r="BN306" i="8"/>
  <c r="BJ306" i="8"/>
  <c r="BF306" i="8"/>
  <c r="AQ305" i="8"/>
  <c r="BF303" i="8"/>
  <c r="AY303" i="8"/>
  <c r="AQ303" i="8"/>
  <c r="U303" i="8"/>
  <c r="N303" i="8"/>
  <c r="AM291" i="8"/>
  <c r="U291" i="8"/>
  <c r="N291" i="8"/>
  <c r="AM284" i="8"/>
  <c r="U284" i="8"/>
  <c r="N278" i="8"/>
  <c r="BN275" i="8"/>
  <c r="BJ275" i="8"/>
  <c r="BF275" i="8"/>
  <c r="BF272" i="8"/>
  <c r="AN272" i="8"/>
  <c r="U272" i="8"/>
  <c r="N272" i="8"/>
  <c r="AM260" i="8"/>
  <c r="U260" i="8"/>
  <c r="N260" i="8"/>
  <c r="AM253" i="8"/>
  <c r="U253" i="8"/>
  <c r="N247" i="8"/>
  <c r="BN244" i="8"/>
  <c r="BJ244" i="8"/>
  <c r="BF244" i="8"/>
  <c r="AU244" i="8"/>
  <c r="AM244" i="8"/>
  <c r="BF241" i="8"/>
  <c r="U241" i="8"/>
  <c r="N241" i="8"/>
  <c r="AM229" i="8"/>
  <c r="U229" i="8"/>
  <c r="N229" i="8"/>
  <c r="AM222" i="8"/>
  <c r="U222" i="8"/>
  <c r="N216" i="8"/>
  <c r="AU213" i="8"/>
  <c r="AQ213" i="8"/>
  <c r="AM213" i="8"/>
  <c r="AM210" i="8"/>
  <c r="U210" i="8"/>
  <c r="N210" i="8"/>
  <c r="AM198" i="8"/>
  <c r="U198" i="8"/>
  <c r="N198" i="8"/>
  <c r="AM191" i="8"/>
  <c r="U191" i="8"/>
  <c r="AK186" i="8"/>
  <c r="AC186" i="8"/>
  <c r="U186" i="8"/>
  <c r="N185" i="8"/>
  <c r="BA180" i="8"/>
  <c r="AS180" i="8"/>
  <c r="AK180" i="8"/>
  <c r="AC180" i="8"/>
  <c r="U180" i="8"/>
  <c r="AC174" i="8"/>
  <c r="U174" i="8"/>
  <c r="BX169" i="8"/>
  <c r="BN169" i="8"/>
  <c r="BJ169" i="8"/>
  <c r="BF169" i="8"/>
  <c r="U168" i="8"/>
  <c r="BF166" i="8"/>
  <c r="AM166" i="8"/>
  <c r="N166" i="8"/>
  <c r="AM154" i="8"/>
  <c r="U154" i="8"/>
  <c r="N154" i="8"/>
  <c r="AM147" i="8"/>
  <c r="U147" i="8"/>
  <c r="AY142" i="8"/>
  <c r="AS142" i="8"/>
  <c r="AM142" i="8"/>
  <c r="U142" i="8"/>
  <c r="N139" i="8"/>
  <c r="U137" i="8"/>
  <c r="BN133" i="8"/>
  <c r="BJ133" i="8"/>
  <c r="BF133" i="8"/>
  <c r="U132" i="8"/>
  <c r="N132" i="8"/>
  <c r="BF130" i="8"/>
  <c r="AM130" i="8"/>
  <c r="AM118" i="8"/>
  <c r="U118" i="8"/>
  <c r="N118" i="8"/>
  <c r="AM111" i="8"/>
  <c r="U111" i="8"/>
  <c r="AC106" i="8"/>
  <c r="U106" i="8"/>
  <c r="N105" i="8"/>
  <c r="BN102" i="8"/>
  <c r="BJ102" i="8"/>
  <c r="BF102" i="8"/>
  <c r="AC101" i="8"/>
  <c r="U101" i="8"/>
  <c r="BF99" i="8"/>
  <c r="AM99" i="8"/>
  <c r="N99" i="8"/>
  <c r="AM87" i="8"/>
  <c r="U87" i="8"/>
  <c r="N87" i="8"/>
  <c r="AM80" i="8"/>
  <c r="U80" i="8"/>
  <c r="N74" i="8"/>
  <c r="BN71" i="8"/>
  <c r="BJ71" i="8"/>
  <c r="BF71" i="8"/>
  <c r="AU71" i="8"/>
  <c r="AM71" i="8"/>
  <c r="BF68" i="8"/>
  <c r="U68" i="8"/>
  <c r="N68" i="8"/>
  <c r="AM57" i="8"/>
  <c r="U57" i="8"/>
  <c r="N57" i="8"/>
  <c r="AM50" i="8"/>
  <c r="U50" i="8"/>
  <c r="AM47" i="8"/>
  <c r="AM46" i="8"/>
  <c r="AM45" i="8"/>
  <c r="AM44" i="8"/>
  <c r="N44" i="8"/>
  <c r="AM43" i="8"/>
  <c r="AM42" i="8"/>
  <c r="BN39" i="8"/>
  <c r="BJ39" i="8"/>
  <c r="BF39" i="8"/>
  <c r="AU38" i="8"/>
  <c r="AM38" i="8"/>
  <c r="BF36" i="8"/>
  <c r="U36" i="8"/>
  <c r="N36" i="8"/>
  <c r="BB24" i="8"/>
  <c r="AT24" i="8"/>
  <c r="AM24" i="8"/>
  <c r="AF24" i="8"/>
  <c r="Y24" i="8"/>
  <c r="R24" i="8"/>
  <c r="K24" i="8"/>
  <c r="D24" i="8"/>
  <c r="BG11" i="8"/>
  <c r="AO11" i="8"/>
  <c r="U11" i="8"/>
  <c r="C11" i="8"/>
  <c r="D365" i="7" l="1"/>
  <c r="AM352" i="7"/>
  <c r="U352" i="7"/>
  <c r="N352" i="7"/>
  <c r="AM345" i="7"/>
  <c r="U345" i="7"/>
  <c r="N339" i="7"/>
  <c r="BN336" i="7"/>
  <c r="BJ336" i="7"/>
  <c r="BF336" i="7"/>
  <c r="AU335" i="7"/>
  <c r="AM335" i="7"/>
  <c r="BF333" i="7"/>
  <c r="U333" i="7"/>
  <c r="N333" i="7"/>
  <c r="AM322" i="7"/>
  <c r="U322" i="7"/>
  <c r="N322" i="7"/>
  <c r="AM315" i="7"/>
  <c r="U315" i="7"/>
  <c r="AY311" i="7"/>
  <c r="AQ311" i="7"/>
  <c r="AQ309" i="7"/>
  <c r="N309" i="7"/>
  <c r="AY308" i="7"/>
  <c r="AQ307" i="7"/>
  <c r="BN306" i="7"/>
  <c r="BJ306" i="7"/>
  <c r="BF306" i="7"/>
  <c r="AQ305" i="7"/>
  <c r="BF303" i="7"/>
  <c r="AY303" i="7"/>
  <c r="AQ303" i="7"/>
  <c r="U303" i="7"/>
  <c r="N303" i="7"/>
  <c r="AM291" i="7"/>
  <c r="U291" i="7"/>
  <c r="N291" i="7"/>
  <c r="AM284" i="7"/>
  <c r="U284" i="7"/>
  <c r="N278" i="7"/>
  <c r="BN275" i="7"/>
  <c r="BJ275" i="7"/>
  <c r="BF275" i="7"/>
  <c r="BF272" i="7"/>
  <c r="AN272" i="7"/>
  <c r="U272" i="7"/>
  <c r="N272" i="7"/>
  <c r="AM260" i="7"/>
  <c r="U260" i="7"/>
  <c r="N260" i="7"/>
  <c r="AM253" i="7"/>
  <c r="U253" i="7"/>
  <c r="N247" i="7"/>
  <c r="BN244" i="7"/>
  <c r="BJ244" i="7"/>
  <c r="BF244" i="7"/>
  <c r="AU244" i="7"/>
  <c r="AM244" i="7"/>
  <c r="BF241" i="7"/>
  <c r="U241" i="7"/>
  <c r="N241" i="7"/>
  <c r="AM229" i="7"/>
  <c r="U229" i="7"/>
  <c r="N229" i="7"/>
  <c r="AM222" i="7"/>
  <c r="U222" i="7"/>
  <c r="N216" i="7"/>
  <c r="AU213" i="7"/>
  <c r="AQ213" i="7"/>
  <c r="AM213" i="7"/>
  <c r="AM210" i="7"/>
  <c r="U210" i="7"/>
  <c r="N210" i="7"/>
  <c r="AM198" i="7"/>
  <c r="U198" i="7"/>
  <c r="N198" i="7"/>
  <c r="AM191" i="7"/>
  <c r="U191" i="7"/>
  <c r="AK186" i="7"/>
  <c r="AC186" i="7"/>
  <c r="U186" i="7"/>
  <c r="N185" i="7"/>
  <c r="BA180" i="7"/>
  <c r="AS180" i="7"/>
  <c r="AK180" i="7"/>
  <c r="AC180" i="7"/>
  <c r="U180" i="7"/>
  <c r="AC174" i="7"/>
  <c r="U174" i="7"/>
  <c r="BX169" i="7"/>
  <c r="BN169" i="7"/>
  <c r="BJ169" i="7"/>
  <c r="BF169" i="7"/>
  <c r="U168" i="7"/>
  <c r="BF166" i="7"/>
  <c r="AM166" i="7"/>
  <c r="N166" i="7"/>
  <c r="AM154" i="7"/>
  <c r="U154" i="7"/>
  <c r="N154" i="7"/>
  <c r="AM147" i="7"/>
  <c r="U147" i="7"/>
  <c r="AY142" i="7"/>
  <c r="AS142" i="7"/>
  <c r="AM142" i="7"/>
  <c r="U142" i="7"/>
  <c r="N139" i="7"/>
  <c r="U137" i="7"/>
  <c r="BN133" i="7"/>
  <c r="BJ133" i="7"/>
  <c r="BF133" i="7"/>
  <c r="U132" i="7"/>
  <c r="N132" i="7"/>
  <c r="BF130" i="7"/>
  <c r="AM130" i="7"/>
  <c r="AM118" i="7"/>
  <c r="U118" i="7"/>
  <c r="N118" i="7"/>
  <c r="AM111" i="7"/>
  <c r="U111" i="7"/>
  <c r="AC106" i="7"/>
  <c r="U106" i="7"/>
  <c r="N105" i="7"/>
  <c r="BN102" i="7"/>
  <c r="BJ102" i="7"/>
  <c r="BF102" i="7"/>
  <c r="AC101" i="7"/>
  <c r="U101" i="7"/>
  <c r="BF99" i="7"/>
  <c r="AM99" i="7"/>
  <c r="N99" i="7"/>
  <c r="AM87" i="7"/>
  <c r="U87" i="7"/>
  <c r="N87" i="7"/>
  <c r="AM80" i="7"/>
  <c r="U80" i="7"/>
  <c r="N74" i="7"/>
  <c r="BN71" i="7"/>
  <c r="BJ71" i="7"/>
  <c r="BF71" i="7"/>
  <c r="AU71" i="7"/>
  <c r="AM71" i="7"/>
  <c r="BF68" i="7"/>
  <c r="U68" i="7"/>
  <c r="N68" i="7"/>
  <c r="AM57" i="7"/>
  <c r="U57" i="7"/>
  <c r="N57" i="7"/>
  <c r="AM50" i="7"/>
  <c r="U50" i="7"/>
  <c r="AM47" i="7"/>
  <c r="AM46" i="7"/>
  <c r="AM45" i="7"/>
  <c r="AM44" i="7"/>
  <c r="N44" i="7"/>
  <c r="AM43" i="7"/>
  <c r="AM42" i="7"/>
  <c r="BN39" i="7"/>
  <c r="BJ39" i="7"/>
  <c r="BF39" i="7"/>
  <c r="AU38" i="7"/>
  <c r="AM38" i="7"/>
  <c r="BF36" i="7"/>
  <c r="U36" i="7"/>
  <c r="N36" i="7"/>
  <c r="BB24" i="7"/>
  <c r="AT24" i="7"/>
  <c r="AM24" i="7"/>
  <c r="AF24" i="7"/>
  <c r="Y24" i="7"/>
  <c r="R24" i="7"/>
  <c r="K24" i="7"/>
  <c r="D24" i="7"/>
  <c r="BG11" i="7"/>
  <c r="AO11" i="7"/>
  <c r="U11" i="7"/>
  <c r="C11" i="7"/>
  <c r="D365" i="6" l="1"/>
  <c r="AM352" i="6"/>
  <c r="U352" i="6"/>
  <c r="N352" i="6"/>
  <c r="AM345" i="6"/>
  <c r="U345" i="6"/>
  <c r="N339" i="6"/>
  <c r="BN336" i="6"/>
  <c r="BJ336" i="6"/>
  <c r="BF336" i="6"/>
  <c r="AU335" i="6"/>
  <c r="AM335" i="6"/>
  <c r="BF333" i="6"/>
  <c r="U333" i="6"/>
  <c r="N333" i="6"/>
  <c r="AM322" i="6"/>
  <c r="U322" i="6"/>
  <c r="N322" i="6"/>
  <c r="AM315" i="6"/>
  <c r="U315" i="6"/>
  <c r="AY311" i="6"/>
  <c r="AQ311" i="6"/>
  <c r="AQ309" i="6"/>
  <c r="N309" i="6"/>
  <c r="AY308" i="6"/>
  <c r="AQ307" i="6"/>
  <c r="BN306" i="6"/>
  <c r="BJ306" i="6"/>
  <c r="BF306" i="6"/>
  <c r="AQ305" i="6"/>
  <c r="BF303" i="6"/>
  <c r="AY303" i="6"/>
  <c r="AQ303" i="6"/>
  <c r="U303" i="6"/>
  <c r="N303" i="6"/>
  <c r="AM291" i="6"/>
  <c r="U291" i="6"/>
  <c r="N291" i="6"/>
  <c r="AM284" i="6"/>
  <c r="U284" i="6"/>
  <c r="N278" i="6"/>
  <c r="BN275" i="6"/>
  <c r="BJ275" i="6"/>
  <c r="BF275" i="6"/>
  <c r="BF272" i="6"/>
  <c r="AN272" i="6"/>
  <c r="U272" i="6"/>
  <c r="N272" i="6"/>
  <c r="AM260" i="6"/>
  <c r="U260" i="6"/>
  <c r="N260" i="6"/>
  <c r="AM253" i="6"/>
  <c r="U253" i="6"/>
  <c r="N247" i="6"/>
  <c r="BN244" i="6"/>
  <c r="BJ244" i="6"/>
  <c r="BF244" i="6"/>
  <c r="AU244" i="6"/>
  <c r="AM244" i="6"/>
  <c r="BF241" i="6"/>
  <c r="U241" i="6"/>
  <c r="N241" i="6"/>
  <c r="AM229" i="6"/>
  <c r="U229" i="6"/>
  <c r="N229" i="6"/>
  <c r="AM222" i="6"/>
  <c r="U222" i="6"/>
  <c r="N216" i="6"/>
  <c r="AU213" i="6"/>
  <c r="AQ213" i="6"/>
  <c r="AM213" i="6"/>
  <c r="AM210" i="6"/>
  <c r="U210" i="6"/>
  <c r="N210" i="6"/>
  <c r="AM198" i="6"/>
  <c r="U198" i="6"/>
  <c r="N198" i="6"/>
  <c r="AM191" i="6"/>
  <c r="U191" i="6"/>
  <c r="AK186" i="6"/>
  <c r="AC186" i="6"/>
  <c r="U186" i="6"/>
  <c r="N185" i="6"/>
  <c r="BA180" i="6"/>
  <c r="AS180" i="6"/>
  <c r="AK180" i="6"/>
  <c r="AC180" i="6"/>
  <c r="U180" i="6"/>
  <c r="AC174" i="6"/>
  <c r="U174" i="6"/>
  <c r="BX169" i="6"/>
  <c r="BN169" i="6"/>
  <c r="BJ169" i="6"/>
  <c r="BF169" i="6"/>
  <c r="U168" i="6"/>
  <c r="BF166" i="6"/>
  <c r="AM166" i="6"/>
  <c r="N166" i="6"/>
  <c r="AM154" i="6"/>
  <c r="U154" i="6"/>
  <c r="N154" i="6"/>
  <c r="AM147" i="6"/>
  <c r="U147" i="6"/>
  <c r="AY142" i="6"/>
  <c r="AS142" i="6"/>
  <c r="AM142" i="6"/>
  <c r="U142" i="6"/>
  <c r="N139" i="6"/>
  <c r="U137" i="6"/>
  <c r="BN133" i="6"/>
  <c r="BJ133" i="6"/>
  <c r="BF133" i="6"/>
  <c r="U132" i="6"/>
  <c r="N132" i="6"/>
  <c r="BF130" i="6"/>
  <c r="AM130" i="6"/>
  <c r="AM118" i="6"/>
  <c r="U118" i="6"/>
  <c r="N118" i="6"/>
  <c r="AM111" i="6"/>
  <c r="U111" i="6"/>
  <c r="AC106" i="6"/>
  <c r="U106" i="6"/>
  <c r="N105" i="6"/>
  <c r="BN102" i="6"/>
  <c r="BJ102" i="6"/>
  <c r="BF102" i="6"/>
  <c r="AC101" i="6"/>
  <c r="U101" i="6"/>
  <c r="BF99" i="6"/>
  <c r="AM99" i="6"/>
  <c r="N99" i="6"/>
  <c r="AM87" i="6"/>
  <c r="U87" i="6"/>
  <c r="N87" i="6"/>
  <c r="AM80" i="6"/>
  <c r="U80" i="6"/>
  <c r="N74" i="6"/>
  <c r="BN71" i="6"/>
  <c r="BJ71" i="6"/>
  <c r="BF71" i="6"/>
  <c r="AU71" i="6"/>
  <c r="AM71" i="6"/>
  <c r="BF68" i="6"/>
  <c r="U68" i="6"/>
  <c r="N68" i="6"/>
  <c r="AM57" i="6"/>
  <c r="U57" i="6"/>
  <c r="N57" i="6"/>
  <c r="AM50" i="6"/>
  <c r="U50" i="6"/>
  <c r="AM47" i="6"/>
  <c r="AM46" i="6"/>
  <c r="AM45" i="6"/>
  <c r="AM44" i="6"/>
  <c r="N44" i="6"/>
  <c r="AM43" i="6"/>
  <c r="AM42" i="6"/>
  <c r="BN39" i="6"/>
  <c r="BJ39" i="6"/>
  <c r="BF39" i="6"/>
  <c r="AU38" i="6"/>
  <c r="AM38" i="6"/>
  <c r="BF36" i="6"/>
  <c r="U36" i="6"/>
  <c r="N36" i="6"/>
  <c r="BB24" i="6"/>
  <c r="AT24" i="6"/>
  <c r="AM24" i="6"/>
  <c r="AF24" i="6"/>
  <c r="Y24" i="6"/>
  <c r="R24" i="6"/>
  <c r="K24" i="6"/>
  <c r="D24" i="6"/>
  <c r="BG11" i="6"/>
  <c r="AO11" i="6"/>
  <c r="U11" i="6"/>
  <c r="C11" i="6"/>
  <c r="D365" i="5" l="1"/>
  <c r="AM352" i="5"/>
  <c r="U352" i="5"/>
  <c r="N352" i="5"/>
  <c r="AM345" i="5"/>
  <c r="U345" i="5"/>
  <c r="N339" i="5"/>
  <c r="BN336" i="5"/>
  <c r="BJ336" i="5"/>
  <c r="BF336" i="5"/>
  <c r="AU335" i="5"/>
  <c r="AM335" i="5"/>
  <c r="BF333" i="5"/>
  <c r="U333" i="5"/>
  <c r="N333" i="5"/>
  <c r="AM322" i="5"/>
  <c r="U322" i="5"/>
  <c r="N322" i="5"/>
  <c r="AM315" i="5"/>
  <c r="U315" i="5"/>
  <c r="AY311" i="5"/>
  <c r="AQ311" i="5"/>
  <c r="AQ309" i="5"/>
  <c r="N309" i="5"/>
  <c r="AY308" i="5"/>
  <c r="AQ307" i="5"/>
  <c r="BN306" i="5"/>
  <c r="BJ306" i="5"/>
  <c r="BF306" i="5"/>
  <c r="AQ305" i="5"/>
  <c r="BF303" i="5"/>
  <c r="AY303" i="5"/>
  <c r="AQ303" i="5"/>
  <c r="U303" i="5"/>
  <c r="N303" i="5"/>
  <c r="AM291" i="5"/>
  <c r="U291" i="5"/>
  <c r="N291" i="5"/>
  <c r="AM284" i="5"/>
  <c r="U284" i="5"/>
  <c r="N278" i="5"/>
  <c r="BN275" i="5"/>
  <c r="BJ275" i="5"/>
  <c r="BF275" i="5"/>
  <c r="BF272" i="5"/>
  <c r="AN272" i="5"/>
  <c r="U272" i="5"/>
  <c r="N272" i="5"/>
  <c r="AM260" i="5"/>
  <c r="U260" i="5"/>
  <c r="N260" i="5"/>
  <c r="AM253" i="5"/>
  <c r="U253" i="5"/>
  <c r="N247" i="5"/>
  <c r="BN244" i="5"/>
  <c r="BJ244" i="5"/>
  <c r="BF244" i="5"/>
  <c r="AU244" i="5"/>
  <c r="AM244" i="5"/>
  <c r="BF241" i="5"/>
  <c r="U241" i="5"/>
  <c r="N241" i="5"/>
  <c r="AM229" i="5"/>
  <c r="U229" i="5"/>
  <c r="N229" i="5"/>
  <c r="AM222" i="5"/>
  <c r="U222" i="5"/>
  <c r="N216" i="5"/>
  <c r="AU213" i="5"/>
  <c r="AQ213" i="5"/>
  <c r="AM213" i="5"/>
  <c r="AM210" i="5"/>
  <c r="U210" i="5"/>
  <c r="N210" i="5"/>
  <c r="AM198" i="5"/>
  <c r="U198" i="5"/>
  <c r="N198" i="5"/>
  <c r="AM191" i="5"/>
  <c r="U191" i="5"/>
  <c r="AK186" i="5"/>
  <c r="AC186" i="5"/>
  <c r="U186" i="5"/>
  <c r="N185" i="5"/>
  <c r="BA180" i="5"/>
  <c r="AS180" i="5"/>
  <c r="AK180" i="5"/>
  <c r="AC180" i="5"/>
  <c r="U180" i="5"/>
  <c r="AC174" i="5"/>
  <c r="U174" i="5"/>
  <c r="BX169" i="5"/>
  <c r="BN169" i="5"/>
  <c r="BJ169" i="5"/>
  <c r="BF169" i="5"/>
  <c r="U168" i="5"/>
  <c r="BF166" i="5"/>
  <c r="AM166" i="5"/>
  <c r="N166" i="5"/>
  <c r="AM154" i="5"/>
  <c r="U154" i="5"/>
  <c r="N154" i="5"/>
  <c r="AM147" i="5"/>
  <c r="U147" i="5"/>
  <c r="AY142" i="5"/>
  <c r="AS142" i="5"/>
  <c r="AM142" i="5"/>
  <c r="U142" i="5"/>
  <c r="N139" i="5"/>
  <c r="U137" i="5"/>
  <c r="BN133" i="5"/>
  <c r="BJ133" i="5"/>
  <c r="BF133" i="5"/>
  <c r="U132" i="5"/>
  <c r="N132" i="5"/>
  <c r="BF130" i="5"/>
  <c r="AM130" i="5"/>
  <c r="AM118" i="5"/>
  <c r="U118" i="5"/>
  <c r="N118" i="5"/>
  <c r="AM111" i="5"/>
  <c r="U111" i="5"/>
  <c r="AC106" i="5"/>
  <c r="U106" i="5"/>
  <c r="N105" i="5"/>
  <c r="BN102" i="5"/>
  <c r="BJ102" i="5"/>
  <c r="BF102" i="5"/>
  <c r="AC101" i="5"/>
  <c r="U101" i="5"/>
  <c r="BF99" i="5"/>
  <c r="AM99" i="5"/>
  <c r="N99" i="5"/>
  <c r="AM87" i="5"/>
  <c r="U87" i="5"/>
  <c r="N87" i="5"/>
  <c r="AM80" i="5"/>
  <c r="U80" i="5"/>
  <c r="N74" i="5"/>
  <c r="BN71" i="5"/>
  <c r="BJ71" i="5"/>
  <c r="BF71" i="5"/>
  <c r="AU71" i="5"/>
  <c r="AM71" i="5"/>
  <c r="BF68" i="5"/>
  <c r="U68" i="5"/>
  <c r="N68" i="5"/>
  <c r="AM57" i="5"/>
  <c r="U57" i="5"/>
  <c r="N57" i="5"/>
  <c r="AM50" i="5"/>
  <c r="U50" i="5"/>
  <c r="AM47" i="5"/>
  <c r="AM46" i="5"/>
  <c r="AM45" i="5"/>
  <c r="AM44" i="5"/>
  <c r="N44" i="5"/>
  <c r="AM43" i="5"/>
  <c r="AM42" i="5"/>
  <c r="BN39" i="5"/>
  <c r="BJ39" i="5"/>
  <c r="BF39" i="5"/>
  <c r="AU38" i="5"/>
  <c r="AM38" i="5"/>
  <c r="BF36" i="5"/>
  <c r="U36" i="5"/>
  <c r="N36" i="5"/>
  <c r="BB24" i="5"/>
  <c r="AT24" i="5"/>
  <c r="AM24" i="5"/>
  <c r="AF24" i="5"/>
  <c r="Y24" i="5"/>
  <c r="R24" i="5"/>
  <c r="K24" i="5"/>
  <c r="D24" i="5"/>
  <c r="BG11" i="5"/>
  <c r="AO11" i="5"/>
  <c r="U11" i="5"/>
  <c r="C11" i="5"/>
  <c r="D365" i="4" l="1"/>
  <c r="AM352" i="4"/>
  <c r="U352" i="4"/>
  <c r="N352" i="4"/>
  <c r="AM345" i="4"/>
  <c r="U345" i="4"/>
  <c r="N339" i="4"/>
  <c r="BN336" i="4"/>
  <c r="BJ336" i="4"/>
  <c r="BF336" i="4"/>
  <c r="AU335" i="4"/>
  <c r="AM335" i="4"/>
  <c r="BF333" i="4"/>
  <c r="U333" i="4"/>
  <c r="N333" i="4"/>
  <c r="AM322" i="4"/>
  <c r="U322" i="4"/>
  <c r="N322" i="4"/>
  <c r="AM315" i="4"/>
  <c r="U315" i="4"/>
  <c r="AY311" i="4"/>
  <c r="AQ311" i="4"/>
  <c r="AQ309" i="4"/>
  <c r="N309" i="4"/>
  <c r="AY308" i="4"/>
  <c r="AQ307" i="4"/>
  <c r="BN306" i="4"/>
  <c r="BJ306" i="4"/>
  <c r="BF306" i="4"/>
  <c r="AQ305" i="4"/>
  <c r="BF303" i="4"/>
  <c r="AY303" i="4"/>
  <c r="AQ303" i="4"/>
  <c r="U303" i="4"/>
  <c r="N303" i="4"/>
  <c r="AM291" i="4"/>
  <c r="U291" i="4"/>
  <c r="N291" i="4"/>
  <c r="AM284" i="4"/>
  <c r="U284" i="4"/>
  <c r="N278" i="4"/>
  <c r="BN275" i="4"/>
  <c r="BJ275" i="4"/>
  <c r="BF275" i="4"/>
  <c r="BF272" i="4"/>
  <c r="AN272" i="4"/>
  <c r="U272" i="4"/>
  <c r="N272" i="4"/>
  <c r="AM260" i="4"/>
  <c r="U260" i="4"/>
  <c r="N260" i="4"/>
  <c r="AM253" i="4"/>
  <c r="U253" i="4"/>
  <c r="N247" i="4"/>
  <c r="BN244" i="4"/>
  <c r="BJ244" i="4"/>
  <c r="BF244" i="4"/>
  <c r="AU244" i="4"/>
  <c r="AM244" i="4"/>
  <c r="BF241" i="4"/>
  <c r="U241" i="4"/>
  <c r="N241" i="4"/>
  <c r="AM229" i="4"/>
  <c r="U229" i="4"/>
  <c r="N229" i="4"/>
  <c r="AM222" i="4"/>
  <c r="U222" i="4"/>
  <c r="N216" i="4"/>
  <c r="AU213" i="4"/>
  <c r="AQ213" i="4"/>
  <c r="AM213" i="4"/>
  <c r="AM210" i="4"/>
  <c r="U210" i="4"/>
  <c r="N210" i="4"/>
  <c r="AM198" i="4"/>
  <c r="U198" i="4"/>
  <c r="N198" i="4"/>
  <c r="AM191" i="4"/>
  <c r="U191" i="4"/>
  <c r="AK186" i="4"/>
  <c r="AC186" i="4"/>
  <c r="U186" i="4"/>
  <c r="N185" i="4"/>
  <c r="BA180" i="4"/>
  <c r="AS180" i="4"/>
  <c r="AK180" i="4"/>
  <c r="AC180" i="4"/>
  <c r="U180" i="4"/>
  <c r="AC174" i="4"/>
  <c r="U174" i="4"/>
  <c r="BX169" i="4"/>
  <c r="BN169" i="4"/>
  <c r="BJ169" i="4"/>
  <c r="BF169" i="4"/>
  <c r="U168" i="4"/>
  <c r="BF166" i="4"/>
  <c r="AM166" i="4"/>
  <c r="N166" i="4"/>
  <c r="AM154" i="4"/>
  <c r="U154" i="4"/>
  <c r="N154" i="4"/>
  <c r="AM147" i="4"/>
  <c r="U147" i="4"/>
  <c r="AY142" i="4"/>
  <c r="AS142" i="4"/>
  <c r="AM142" i="4"/>
  <c r="U142" i="4"/>
  <c r="N139" i="4"/>
  <c r="U137" i="4"/>
  <c r="BN133" i="4"/>
  <c r="BJ133" i="4"/>
  <c r="BF133" i="4"/>
  <c r="U132" i="4"/>
  <c r="N132" i="4"/>
  <c r="BF130" i="4"/>
  <c r="AM130" i="4"/>
  <c r="AM118" i="4"/>
  <c r="U118" i="4"/>
  <c r="N118" i="4"/>
  <c r="AM111" i="4"/>
  <c r="U111" i="4"/>
  <c r="AC106" i="4"/>
  <c r="U106" i="4"/>
  <c r="N105" i="4"/>
  <c r="BN102" i="4"/>
  <c r="BJ102" i="4"/>
  <c r="BF102" i="4"/>
  <c r="AC101" i="4"/>
  <c r="U101" i="4"/>
  <c r="BF99" i="4"/>
  <c r="AM99" i="4"/>
  <c r="N99" i="4"/>
  <c r="AM87" i="4"/>
  <c r="U87" i="4"/>
  <c r="N87" i="4"/>
  <c r="AM80" i="4"/>
  <c r="U80" i="4"/>
  <c r="N74" i="4"/>
  <c r="BN71" i="4"/>
  <c r="BJ71" i="4"/>
  <c r="BF71" i="4"/>
  <c r="AU71" i="4"/>
  <c r="AM71" i="4"/>
  <c r="BF68" i="4"/>
  <c r="U68" i="4"/>
  <c r="N68" i="4"/>
  <c r="AM57" i="4"/>
  <c r="U57" i="4"/>
  <c r="N57" i="4"/>
  <c r="AM50" i="4"/>
  <c r="U50" i="4"/>
  <c r="AM47" i="4"/>
  <c r="AM46" i="4"/>
  <c r="AM45" i="4"/>
  <c r="AM44" i="4"/>
  <c r="N44" i="4"/>
  <c r="AM43" i="4"/>
  <c r="AM42" i="4"/>
  <c r="BN39" i="4"/>
  <c r="BJ39" i="4"/>
  <c r="BF39" i="4"/>
  <c r="AU38" i="4"/>
  <c r="AM38" i="4"/>
  <c r="BF36" i="4"/>
  <c r="U36" i="4"/>
  <c r="N36" i="4"/>
  <c r="BB24" i="4"/>
  <c r="AT24" i="4"/>
  <c r="AM24" i="4"/>
  <c r="AF24" i="4"/>
  <c r="Y24" i="4"/>
  <c r="R24" i="4"/>
  <c r="K24" i="4"/>
  <c r="D24" i="4"/>
  <c r="BG11" i="4"/>
  <c r="AO11" i="4"/>
  <c r="U11" i="4"/>
  <c r="C11" i="4"/>
  <c r="D365" i="3" l="1"/>
  <c r="AM352" i="3"/>
  <c r="U352" i="3"/>
  <c r="N352" i="3"/>
  <c r="AM345" i="3"/>
  <c r="U345" i="3"/>
  <c r="N339" i="3"/>
  <c r="BN336" i="3"/>
  <c r="BJ336" i="3"/>
  <c r="BF336" i="3"/>
  <c r="AU335" i="3"/>
  <c r="AM335" i="3"/>
  <c r="BF333" i="3"/>
  <c r="U333" i="3"/>
  <c r="N333" i="3"/>
  <c r="AM322" i="3"/>
  <c r="U322" i="3"/>
  <c r="N322" i="3"/>
  <c r="AM315" i="3"/>
  <c r="U315" i="3"/>
  <c r="AY311" i="3"/>
  <c r="AQ311" i="3"/>
  <c r="AQ309" i="3"/>
  <c r="N309" i="3"/>
  <c r="AY308" i="3"/>
  <c r="AQ307" i="3"/>
  <c r="BN306" i="3"/>
  <c r="BJ306" i="3"/>
  <c r="BF306" i="3"/>
  <c r="AQ305" i="3"/>
  <c r="BF303" i="3"/>
  <c r="AY303" i="3"/>
  <c r="AQ303" i="3"/>
  <c r="U303" i="3"/>
  <c r="N303" i="3"/>
  <c r="AM291" i="3"/>
  <c r="U291" i="3"/>
  <c r="N291" i="3"/>
  <c r="AM284" i="3"/>
  <c r="U284" i="3"/>
  <c r="N278" i="3"/>
  <c r="BN275" i="3"/>
  <c r="BJ275" i="3"/>
  <c r="BF275" i="3"/>
  <c r="BF272" i="3"/>
  <c r="AN272" i="3"/>
  <c r="U272" i="3"/>
  <c r="N272" i="3"/>
  <c r="AM260" i="3"/>
  <c r="U260" i="3"/>
  <c r="N260" i="3"/>
  <c r="AM253" i="3"/>
  <c r="U253" i="3"/>
  <c r="N247" i="3"/>
  <c r="BN244" i="3"/>
  <c r="BJ244" i="3"/>
  <c r="BF244" i="3"/>
  <c r="AU244" i="3"/>
  <c r="AM244" i="3"/>
  <c r="BF241" i="3"/>
  <c r="U241" i="3"/>
  <c r="N241" i="3"/>
  <c r="AM229" i="3"/>
  <c r="U229" i="3"/>
  <c r="N229" i="3"/>
  <c r="AM222" i="3"/>
  <c r="U222" i="3"/>
  <c r="N216" i="3"/>
  <c r="AU213" i="3"/>
  <c r="AQ213" i="3"/>
  <c r="AM213" i="3"/>
  <c r="AM210" i="3"/>
  <c r="U210" i="3"/>
  <c r="N210" i="3"/>
  <c r="AM198" i="3"/>
  <c r="U198" i="3"/>
  <c r="N198" i="3"/>
  <c r="AM191" i="3"/>
  <c r="U191" i="3"/>
  <c r="AK186" i="3"/>
  <c r="AC186" i="3"/>
  <c r="U186" i="3"/>
  <c r="N185" i="3"/>
  <c r="BA180" i="3"/>
  <c r="AS180" i="3"/>
  <c r="AK180" i="3"/>
  <c r="AC180" i="3"/>
  <c r="U180" i="3"/>
  <c r="AC174" i="3"/>
  <c r="U174" i="3"/>
  <c r="BX169" i="3"/>
  <c r="BN169" i="3"/>
  <c r="BJ169" i="3"/>
  <c r="BF169" i="3"/>
  <c r="U168" i="3"/>
  <c r="BF166" i="3"/>
  <c r="AM166" i="3"/>
  <c r="N166" i="3"/>
  <c r="AM154" i="3"/>
  <c r="U154" i="3"/>
  <c r="N154" i="3"/>
  <c r="AM147" i="3"/>
  <c r="U147" i="3"/>
  <c r="AY142" i="3"/>
  <c r="AS142" i="3"/>
  <c r="AM142" i="3"/>
  <c r="U142" i="3"/>
  <c r="N139" i="3"/>
  <c r="U137" i="3"/>
  <c r="BN133" i="3"/>
  <c r="BJ133" i="3"/>
  <c r="BF133" i="3"/>
  <c r="U132" i="3"/>
  <c r="N132" i="3"/>
  <c r="BF130" i="3"/>
  <c r="AM130" i="3"/>
  <c r="AM118" i="3"/>
  <c r="U118" i="3"/>
  <c r="N118" i="3"/>
  <c r="AM111" i="3"/>
  <c r="U111" i="3"/>
  <c r="AC106" i="3"/>
  <c r="U106" i="3"/>
  <c r="N105" i="3"/>
  <c r="BN102" i="3"/>
  <c r="BJ102" i="3"/>
  <c r="BF102" i="3"/>
  <c r="AC101" i="3"/>
  <c r="U101" i="3"/>
  <c r="BF99" i="3"/>
  <c r="AM99" i="3"/>
  <c r="N99" i="3"/>
  <c r="AM87" i="3"/>
  <c r="U87" i="3"/>
  <c r="N87" i="3"/>
  <c r="AM80" i="3"/>
  <c r="U80" i="3"/>
  <c r="N74" i="3"/>
  <c r="BN71" i="3"/>
  <c r="BJ71" i="3"/>
  <c r="BF71" i="3"/>
  <c r="AU71" i="3"/>
  <c r="AM71" i="3"/>
  <c r="BF68" i="3"/>
  <c r="U68" i="3"/>
  <c r="N68" i="3"/>
  <c r="AM57" i="3"/>
  <c r="U57" i="3"/>
  <c r="N57" i="3"/>
  <c r="AM50" i="3"/>
  <c r="U50" i="3"/>
  <c r="AM47" i="3"/>
  <c r="AM46" i="3"/>
  <c r="AM45" i="3"/>
  <c r="AM44" i="3"/>
  <c r="N44" i="3"/>
  <c r="AM43" i="3"/>
  <c r="AM42" i="3"/>
  <c r="BN39" i="3"/>
  <c r="BJ39" i="3"/>
  <c r="BF39" i="3"/>
  <c r="AU38" i="3"/>
  <c r="AM38" i="3"/>
  <c r="BF36" i="3"/>
  <c r="U36" i="3"/>
  <c r="N36" i="3"/>
  <c r="BB24" i="3"/>
  <c r="AT24" i="3"/>
  <c r="AM24" i="3"/>
  <c r="AF24" i="3"/>
  <c r="Y24" i="3"/>
  <c r="R24" i="3"/>
  <c r="K24" i="3"/>
  <c r="D24" i="3"/>
  <c r="BG11" i="3"/>
  <c r="AO11" i="3"/>
  <c r="U11" i="3"/>
  <c r="C11" i="3"/>
  <c r="D365" i="2" l="1"/>
  <c r="AM352" i="2"/>
  <c r="U352" i="2"/>
  <c r="N352" i="2"/>
  <c r="AM345" i="2"/>
  <c r="U345" i="2"/>
  <c r="N339" i="2"/>
  <c r="BN336" i="2"/>
  <c r="BJ336" i="2"/>
  <c r="BF336" i="2"/>
  <c r="AU335" i="2"/>
  <c r="AM335" i="2"/>
  <c r="BF333" i="2"/>
  <c r="U333" i="2"/>
  <c r="N333" i="2"/>
  <c r="AM322" i="2"/>
  <c r="U322" i="2"/>
  <c r="N322" i="2"/>
  <c r="AM315" i="2"/>
  <c r="U315" i="2"/>
  <c r="AY311" i="2"/>
  <c r="AQ311" i="2"/>
  <c r="AQ309" i="2"/>
  <c r="N309" i="2"/>
  <c r="AY308" i="2"/>
  <c r="AQ307" i="2"/>
  <c r="BN306" i="2"/>
  <c r="BJ306" i="2"/>
  <c r="BF306" i="2"/>
  <c r="AQ305" i="2"/>
  <c r="BF303" i="2"/>
  <c r="AY303" i="2"/>
  <c r="AQ303" i="2"/>
  <c r="U303" i="2"/>
  <c r="N303" i="2"/>
  <c r="AM291" i="2"/>
  <c r="U291" i="2"/>
  <c r="N291" i="2"/>
  <c r="AM284" i="2"/>
  <c r="U284" i="2"/>
  <c r="N278" i="2"/>
  <c r="BN275" i="2"/>
  <c r="BJ275" i="2"/>
  <c r="BF275" i="2"/>
  <c r="BF272" i="2"/>
  <c r="AN272" i="2"/>
  <c r="U272" i="2"/>
  <c r="N272" i="2"/>
  <c r="AM260" i="2"/>
  <c r="U260" i="2"/>
  <c r="N260" i="2"/>
  <c r="AM253" i="2"/>
  <c r="U253" i="2"/>
  <c r="N247" i="2"/>
  <c r="BN244" i="2"/>
  <c r="BJ244" i="2"/>
  <c r="BF244" i="2"/>
  <c r="AU244" i="2"/>
  <c r="AM244" i="2"/>
  <c r="BF241" i="2"/>
  <c r="U241" i="2"/>
  <c r="N241" i="2"/>
  <c r="AM229" i="2"/>
  <c r="U229" i="2"/>
  <c r="N229" i="2"/>
  <c r="AM222" i="2"/>
  <c r="U222" i="2"/>
  <c r="N216" i="2"/>
  <c r="AU213" i="2"/>
  <c r="AQ213" i="2"/>
  <c r="AM213" i="2"/>
  <c r="AM210" i="2"/>
  <c r="U210" i="2"/>
  <c r="N210" i="2"/>
  <c r="AM198" i="2"/>
  <c r="U198" i="2"/>
  <c r="N198" i="2"/>
  <c r="AM191" i="2"/>
  <c r="U191" i="2"/>
  <c r="AK186" i="2"/>
  <c r="AC186" i="2"/>
  <c r="U186" i="2"/>
  <c r="N185" i="2"/>
  <c r="BA180" i="2"/>
  <c r="AS180" i="2"/>
  <c r="AK180" i="2"/>
  <c r="AC180" i="2"/>
  <c r="U180" i="2"/>
  <c r="AC174" i="2"/>
  <c r="U174" i="2"/>
  <c r="BX169" i="2"/>
  <c r="BN169" i="2"/>
  <c r="BJ169" i="2"/>
  <c r="BF169" i="2"/>
  <c r="U168" i="2"/>
  <c r="BF166" i="2"/>
  <c r="AM166" i="2"/>
  <c r="N166" i="2"/>
  <c r="AM154" i="2"/>
  <c r="U154" i="2"/>
  <c r="N154" i="2"/>
  <c r="AM147" i="2"/>
  <c r="U147" i="2"/>
  <c r="AY142" i="2"/>
  <c r="AS142" i="2"/>
  <c r="AM142" i="2"/>
  <c r="U142" i="2"/>
  <c r="N139" i="2"/>
  <c r="U137" i="2"/>
  <c r="BN133" i="2"/>
  <c r="BJ133" i="2"/>
  <c r="BF133" i="2"/>
  <c r="U132" i="2"/>
  <c r="N132" i="2"/>
  <c r="BF130" i="2"/>
  <c r="AM130" i="2"/>
  <c r="AM118" i="2"/>
  <c r="U118" i="2"/>
  <c r="N118" i="2"/>
  <c r="AM111" i="2"/>
  <c r="U111" i="2"/>
  <c r="AC106" i="2"/>
  <c r="U106" i="2"/>
  <c r="N105" i="2"/>
  <c r="BN102" i="2"/>
  <c r="BJ102" i="2"/>
  <c r="BF102" i="2"/>
  <c r="AC101" i="2"/>
  <c r="U101" i="2"/>
  <c r="BF99" i="2"/>
  <c r="AM99" i="2"/>
  <c r="N99" i="2"/>
  <c r="AM87" i="2"/>
  <c r="U87" i="2"/>
  <c r="N87" i="2"/>
  <c r="AM80" i="2"/>
  <c r="U80" i="2"/>
  <c r="N74" i="2"/>
  <c r="BN71" i="2"/>
  <c r="BJ71" i="2"/>
  <c r="BF71" i="2"/>
  <c r="AU71" i="2"/>
  <c r="AM71" i="2"/>
  <c r="BF68" i="2"/>
  <c r="U68" i="2"/>
  <c r="N68" i="2"/>
  <c r="AM57" i="2"/>
  <c r="U57" i="2"/>
  <c r="N57" i="2"/>
  <c r="AM50" i="2"/>
  <c r="U50" i="2"/>
  <c r="AM47" i="2"/>
  <c r="AM46" i="2"/>
  <c r="AM45" i="2"/>
  <c r="AM44" i="2"/>
  <c r="N44" i="2"/>
  <c r="AM43" i="2"/>
  <c r="AM42" i="2"/>
  <c r="BN39" i="2"/>
  <c r="BJ39" i="2"/>
  <c r="BF39" i="2"/>
  <c r="AU38" i="2"/>
  <c r="AM38" i="2"/>
  <c r="BF36" i="2"/>
  <c r="U36" i="2"/>
  <c r="N36" i="2"/>
  <c r="BB24" i="2"/>
  <c r="AT24" i="2"/>
  <c r="AM24" i="2"/>
  <c r="AF24" i="2"/>
  <c r="Y24" i="2"/>
  <c r="R24" i="2"/>
  <c r="K24" i="2"/>
  <c r="D24" i="2"/>
  <c r="BG11" i="2"/>
  <c r="AO11" i="2"/>
  <c r="U11" i="2"/>
  <c r="C11" i="2"/>
  <c r="D365" i="1" l="1"/>
  <c r="AM352" i="1"/>
  <c r="U352" i="1"/>
  <c r="N352" i="1"/>
  <c r="AM345" i="1"/>
  <c r="U345" i="1"/>
  <c r="N339" i="1"/>
  <c r="BN336" i="1"/>
  <c r="BJ336" i="1"/>
  <c r="BF336" i="1"/>
  <c r="AU335" i="1"/>
  <c r="AM335" i="1"/>
  <c r="BF333" i="1"/>
  <c r="U333" i="1"/>
  <c r="N333" i="1"/>
  <c r="AM322" i="1"/>
  <c r="U322" i="1"/>
  <c r="N322" i="1"/>
  <c r="AM315" i="1"/>
  <c r="U315" i="1"/>
  <c r="AY311" i="1"/>
  <c r="AQ311" i="1"/>
  <c r="AQ309" i="1"/>
  <c r="N309" i="1"/>
  <c r="AY308" i="1"/>
  <c r="AQ307" i="1"/>
  <c r="BN306" i="1"/>
  <c r="BJ306" i="1"/>
  <c r="BF306" i="1"/>
  <c r="AQ305" i="1"/>
  <c r="BF303" i="1"/>
  <c r="AY303" i="1"/>
  <c r="AQ303" i="1"/>
  <c r="U303" i="1"/>
  <c r="N303" i="1"/>
  <c r="AM291" i="1"/>
  <c r="U291" i="1"/>
  <c r="N291" i="1"/>
  <c r="AM284" i="1"/>
  <c r="U284" i="1"/>
  <c r="N278" i="1"/>
  <c r="BN275" i="1"/>
  <c r="BJ275" i="1"/>
  <c r="BF275" i="1"/>
  <c r="BF272" i="1"/>
  <c r="AN272" i="1"/>
  <c r="U272" i="1"/>
  <c r="N272" i="1"/>
  <c r="AM260" i="1"/>
  <c r="U260" i="1"/>
  <c r="N260" i="1"/>
  <c r="AM253" i="1"/>
  <c r="U253" i="1"/>
  <c r="N247" i="1"/>
  <c r="BN244" i="1"/>
  <c r="BJ244" i="1"/>
  <c r="BF244" i="1"/>
  <c r="AU244" i="1"/>
  <c r="AM244" i="1"/>
  <c r="BF241" i="1"/>
  <c r="U241" i="1"/>
  <c r="N241" i="1"/>
  <c r="AM229" i="1"/>
  <c r="U229" i="1"/>
  <c r="N229" i="1"/>
  <c r="AM222" i="1"/>
  <c r="U222" i="1"/>
  <c r="N216" i="1"/>
  <c r="AU213" i="1"/>
  <c r="AQ213" i="1"/>
  <c r="AM213" i="1"/>
  <c r="AM210" i="1"/>
  <c r="U210" i="1"/>
  <c r="N210" i="1"/>
  <c r="AM198" i="1"/>
  <c r="U198" i="1"/>
  <c r="N198" i="1"/>
  <c r="AM191" i="1"/>
  <c r="U191" i="1"/>
  <c r="AK186" i="1"/>
  <c r="AC186" i="1"/>
  <c r="U186" i="1"/>
  <c r="N185" i="1"/>
  <c r="BA180" i="1"/>
  <c r="AS180" i="1"/>
  <c r="AK180" i="1"/>
  <c r="AC180" i="1"/>
  <c r="U180" i="1"/>
  <c r="AC174" i="1"/>
  <c r="U174" i="1"/>
  <c r="BX169" i="1"/>
  <c r="BN169" i="1"/>
  <c r="BJ169" i="1"/>
  <c r="BF169" i="1"/>
  <c r="U168" i="1"/>
  <c r="BF166" i="1"/>
  <c r="AM166" i="1"/>
  <c r="N166" i="1"/>
  <c r="AM154" i="1"/>
  <c r="U154" i="1"/>
  <c r="N154" i="1"/>
  <c r="AM147" i="1"/>
  <c r="U147" i="1"/>
  <c r="AY142" i="1"/>
  <c r="AS142" i="1"/>
  <c r="AM142" i="1"/>
  <c r="U142" i="1"/>
  <c r="N139" i="1"/>
  <c r="U137" i="1"/>
  <c r="BN133" i="1"/>
  <c r="BJ133" i="1"/>
  <c r="BF133" i="1"/>
  <c r="U132" i="1"/>
  <c r="N132" i="1"/>
  <c r="BF130" i="1"/>
  <c r="AM130" i="1"/>
  <c r="AM118" i="1"/>
  <c r="U118" i="1"/>
  <c r="N118" i="1"/>
  <c r="AM111" i="1"/>
  <c r="U111" i="1"/>
  <c r="AC106" i="1"/>
  <c r="U106" i="1"/>
  <c r="N105" i="1"/>
  <c r="BN102" i="1"/>
  <c r="BJ102" i="1"/>
  <c r="BF102" i="1"/>
  <c r="AC101" i="1"/>
  <c r="U101" i="1"/>
  <c r="BF99" i="1"/>
  <c r="AM99" i="1"/>
  <c r="N99" i="1"/>
  <c r="AM87" i="1"/>
  <c r="U87" i="1"/>
  <c r="N87" i="1"/>
  <c r="AM80" i="1"/>
  <c r="U80" i="1"/>
  <c r="N74" i="1"/>
  <c r="BN71" i="1"/>
  <c r="BJ71" i="1"/>
  <c r="BF71" i="1"/>
  <c r="AU71" i="1"/>
  <c r="AM71" i="1"/>
  <c r="BF68" i="1"/>
  <c r="U68" i="1"/>
  <c r="N68" i="1"/>
  <c r="AM57" i="1"/>
  <c r="U57" i="1"/>
  <c r="N57" i="1"/>
  <c r="AM50" i="1"/>
  <c r="U50" i="1"/>
  <c r="AM47" i="1"/>
  <c r="AM46" i="1"/>
  <c r="AM45" i="1"/>
  <c r="AM44" i="1"/>
  <c r="N44" i="1"/>
  <c r="AM43" i="1"/>
  <c r="AM42" i="1"/>
  <c r="BN39" i="1"/>
  <c r="BJ39" i="1"/>
  <c r="BF39" i="1"/>
  <c r="AU38" i="1"/>
  <c r="AM38" i="1"/>
  <c r="BF36" i="1"/>
  <c r="U36" i="1"/>
  <c r="N36" i="1"/>
  <c r="BB24" i="1"/>
  <c r="AT24" i="1"/>
  <c r="AM24" i="1"/>
  <c r="AF24" i="1"/>
  <c r="Y24" i="1"/>
  <c r="R24" i="1"/>
  <c r="K24" i="1"/>
  <c r="D24" i="1"/>
  <c r="BG11" i="1"/>
  <c r="AO11" i="1"/>
  <c r="U11" i="1"/>
  <c r="C11" i="1"/>
</calcChain>
</file>

<file path=xl/sharedStrings.xml><?xml version="1.0" encoding="utf-8"?>
<sst xmlns="http://schemas.openxmlformats.org/spreadsheetml/2006/main" count="2821" uniqueCount="86">
  <si>
    <t>団体名</t>
    <rPh sb="0" eb="3">
      <t>ダンタイメイ</t>
    </rPh>
    <phoneticPr fontId="8"/>
  </si>
  <si>
    <t>業種名</t>
    <rPh sb="0" eb="2">
      <t>ギョウシュ</t>
    </rPh>
    <rPh sb="2" eb="3">
      <t>メイ</t>
    </rPh>
    <phoneticPr fontId="8"/>
  </si>
  <si>
    <t>事業名</t>
    <rPh sb="0" eb="2">
      <t>ジギョウ</t>
    </rPh>
    <rPh sb="2" eb="3">
      <t>メイ</t>
    </rPh>
    <phoneticPr fontId="8"/>
  </si>
  <si>
    <t>施設名</t>
    <rPh sb="0" eb="2">
      <t>シセツ</t>
    </rPh>
    <rPh sb="2" eb="3">
      <t>メイ</t>
    </rPh>
    <phoneticPr fontId="8"/>
  </si>
  <si>
    <t>抜本的な改革の取組</t>
    <phoneticPr fontId="8"/>
  </si>
  <si>
    <t>事業廃止</t>
    <rPh sb="0" eb="2">
      <t>ジギョウ</t>
    </rPh>
    <rPh sb="2" eb="4">
      <t>ハイシ</t>
    </rPh>
    <phoneticPr fontId="8"/>
  </si>
  <si>
    <t>民営化・
民間譲渡</t>
    <rPh sb="0" eb="3">
      <t>ミンエイカ</t>
    </rPh>
    <rPh sb="5" eb="7">
      <t>ミンカン</t>
    </rPh>
    <rPh sb="7" eb="9">
      <t>ジョウト</t>
    </rPh>
    <phoneticPr fontId="8"/>
  </si>
  <si>
    <t>広域化等</t>
    <rPh sb="0" eb="3">
      <t>コウイキカ</t>
    </rPh>
    <rPh sb="3" eb="4">
      <t>トウ</t>
    </rPh>
    <phoneticPr fontId="8"/>
  </si>
  <si>
    <t>民間活用</t>
    <rPh sb="0" eb="2">
      <t>ミンカン</t>
    </rPh>
    <rPh sb="2" eb="4">
      <t>カツヨウ</t>
    </rPh>
    <phoneticPr fontId="8"/>
  </si>
  <si>
    <t>現行の経営
体制を継続</t>
    <rPh sb="0" eb="2">
      <t>ゲンコウ</t>
    </rPh>
    <rPh sb="3" eb="5">
      <t>ケイエイ</t>
    </rPh>
    <rPh sb="6" eb="8">
      <t>タイセイ</t>
    </rPh>
    <rPh sb="9" eb="11">
      <t>ケイゾク</t>
    </rPh>
    <phoneticPr fontId="8"/>
  </si>
  <si>
    <t>指定管理者
制度</t>
    <rPh sb="0" eb="2">
      <t>シテイ</t>
    </rPh>
    <rPh sb="2" eb="5">
      <t>カンリシャ</t>
    </rPh>
    <rPh sb="6" eb="8">
      <t>セイド</t>
    </rPh>
    <phoneticPr fontId="8"/>
  </si>
  <si>
    <t>包括的
民間委託</t>
    <rPh sb="0" eb="3">
      <t>ホウカツテキ</t>
    </rPh>
    <rPh sb="4" eb="6">
      <t>ミンカン</t>
    </rPh>
    <rPh sb="6" eb="8">
      <t>イタク</t>
    </rPh>
    <phoneticPr fontId="8"/>
  </si>
  <si>
    <t>PPP/PFI方式
の活用</t>
    <rPh sb="7" eb="9">
      <t>ホウシキ</t>
    </rPh>
    <rPh sb="11" eb="13">
      <t>カツヨウ</t>
    </rPh>
    <phoneticPr fontId="8"/>
  </si>
  <si>
    <t>地方独立行政法人への移行</t>
    <rPh sb="0" eb="2">
      <t>チホウ</t>
    </rPh>
    <rPh sb="2" eb="4">
      <t>ドクリツ</t>
    </rPh>
    <rPh sb="4" eb="6">
      <t>ギョウセイ</t>
    </rPh>
    <rPh sb="6" eb="8">
      <t>ホウジン</t>
    </rPh>
    <rPh sb="10" eb="12">
      <t>イコウ</t>
    </rPh>
    <phoneticPr fontId="8"/>
  </si>
  <si>
    <t>取組事項</t>
    <rPh sb="0" eb="2">
      <t>トリクミ</t>
    </rPh>
    <rPh sb="2" eb="4">
      <t>ジコウ</t>
    </rPh>
    <phoneticPr fontId="8"/>
  </si>
  <si>
    <t>（取組の概要）</t>
    <rPh sb="1" eb="2">
      <t>ト</t>
    </rPh>
    <rPh sb="2" eb="3">
      <t>ク</t>
    </rPh>
    <rPh sb="4" eb="6">
      <t>ガイヨウ</t>
    </rPh>
    <phoneticPr fontId="8"/>
  </si>
  <si>
    <t>（全部と一部の別）</t>
    <rPh sb="1" eb="3">
      <t>ゼンブ</t>
    </rPh>
    <rPh sb="4" eb="6">
      <t>イチブ</t>
    </rPh>
    <rPh sb="7" eb="8">
      <t>ベツ</t>
    </rPh>
    <phoneticPr fontId="8"/>
  </si>
  <si>
    <t>（実施（予定）時期）</t>
    <rPh sb="1" eb="3">
      <t>ジッシ</t>
    </rPh>
    <rPh sb="4" eb="6">
      <t>ヨテイ</t>
    </rPh>
    <rPh sb="7" eb="9">
      <t>ジキ</t>
    </rPh>
    <phoneticPr fontId="8"/>
  </si>
  <si>
    <t>実施済</t>
    <rPh sb="0" eb="2">
      <t>ジッシ</t>
    </rPh>
    <rPh sb="2" eb="3">
      <t>ズ</t>
    </rPh>
    <phoneticPr fontId="8"/>
  </si>
  <si>
    <t>全部廃止</t>
    <rPh sb="0" eb="2">
      <t>ゼンブ</t>
    </rPh>
    <rPh sb="2" eb="4">
      <t>ハイシ</t>
    </rPh>
    <phoneticPr fontId="8"/>
  </si>
  <si>
    <t>一部廃止</t>
    <rPh sb="0" eb="2">
      <t>イチブ</t>
    </rPh>
    <rPh sb="2" eb="4">
      <t>ハイシ</t>
    </rPh>
    <phoneticPr fontId="8"/>
  </si>
  <si>
    <t>①診療所化・介護施設化</t>
    <rPh sb="1" eb="4">
      <t>シンリョウジョ</t>
    </rPh>
    <rPh sb="4" eb="5">
      <t>カ</t>
    </rPh>
    <rPh sb="6" eb="8">
      <t>カイゴ</t>
    </rPh>
    <rPh sb="8" eb="10">
      <t>シセツ</t>
    </rPh>
    <rPh sb="10" eb="11">
      <t>カ</t>
    </rPh>
    <phoneticPr fontId="8"/>
  </si>
  <si>
    <r>
      <rPr>
        <b/>
        <sz val="12"/>
        <color theme="1"/>
        <rFont val="游ゴシック"/>
        <family val="3"/>
        <charset val="128"/>
        <scheme val="minor"/>
      </rPr>
      <t>②</t>
    </r>
    <r>
      <rPr>
        <b/>
        <sz val="10"/>
        <color theme="1"/>
        <rFont val="游ゴシック"/>
        <family val="3"/>
        <charset val="128"/>
        <scheme val="minor"/>
      </rPr>
      <t>簡易水道事業の飲料水供給施設化</t>
    </r>
    <rPh sb="1" eb="3">
      <t>カンイ</t>
    </rPh>
    <rPh sb="3" eb="5">
      <t>スイドウ</t>
    </rPh>
    <rPh sb="5" eb="7">
      <t>ジギョウ</t>
    </rPh>
    <rPh sb="8" eb="10">
      <t>インリョウ</t>
    </rPh>
    <rPh sb="11" eb="13">
      <t>キョウキュウ</t>
    </rPh>
    <rPh sb="13" eb="15">
      <t>シセツ</t>
    </rPh>
    <rPh sb="15" eb="16">
      <t>カ</t>
    </rPh>
    <phoneticPr fontId="8"/>
  </si>
  <si>
    <t>年</t>
    <rPh sb="0" eb="1">
      <t>ネン</t>
    </rPh>
    <phoneticPr fontId="8"/>
  </si>
  <si>
    <t>月</t>
    <rPh sb="0" eb="1">
      <t>ガツ</t>
    </rPh>
    <phoneticPr fontId="8"/>
  </si>
  <si>
    <t>日</t>
    <rPh sb="0" eb="1">
      <t>ニチ</t>
    </rPh>
    <phoneticPr fontId="8"/>
  </si>
  <si>
    <t>実施予定</t>
    <rPh sb="0" eb="2">
      <t>ジッシ</t>
    </rPh>
    <rPh sb="2" eb="4">
      <t>ヨテイ</t>
    </rPh>
    <phoneticPr fontId="8"/>
  </si>
  <si>
    <t>③事業目的の完了</t>
    <rPh sb="1" eb="3">
      <t>ジギョウ</t>
    </rPh>
    <rPh sb="3" eb="5">
      <t>モクテキ</t>
    </rPh>
    <rPh sb="6" eb="8">
      <t>カンリョウ</t>
    </rPh>
    <phoneticPr fontId="8"/>
  </si>
  <si>
    <t>④民営化・民間譲渡による廃止</t>
    <rPh sb="1" eb="4">
      <t>ミンエイカ</t>
    </rPh>
    <rPh sb="5" eb="7">
      <t>ミンカン</t>
    </rPh>
    <rPh sb="7" eb="9">
      <t>ジョウト</t>
    </rPh>
    <rPh sb="12" eb="14">
      <t>ハイシ</t>
    </rPh>
    <phoneticPr fontId="8"/>
  </si>
  <si>
    <t>⑤広域化による廃止</t>
    <rPh sb="1" eb="4">
      <t>コウイキカ</t>
    </rPh>
    <rPh sb="7" eb="9">
      <t>ハイシ</t>
    </rPh>
    <phoneticPr fontId="8"/>
  </si>
  <si>
    <t>⑥その他</t>
    <rPh sb="3" eb="4">
      <t>タ</t>
    </rPh>
    <phoneticPr fontId="8"/>
  </si>
  <si>
    <t>（取組の効果額）</t>
    <rPh sb="1" eb="2">
      <t>ト</t>
    </rPh>
    <rPh sb="2" eb="3">
      <t>ク</t>
    </rPh>
    <rPh sb="4" eb="6">
      <t>コウカ</t>
    </rPh>
    <rPh sb="6" eb="7">
      <t>ガク</t>
    </rPh>
    <phoneticPr fontId="8"/>
  </si>
  <si>
    <t>（取組の効果額内訳）</t>
    <rPh sb="1" eb="3">
      <t>トリクミ</t>
    </rPh>
    <rPh sb="4" eb="6">
      <t>コウカ</t>
    </rPh>
    <rPh sb="6" eb="7">
      <t>ガク</t>
    </rPh>
    <rPh sb="7" eb="9">
      <t>ウチワケ</t>
    </rPh>
    <phoneticPr fontId="8"/>
  </si>
  <si>
    <t>百万円(年)</t>
    <rPh sb="0" eb="2">
      <t>ヒャクマン</t>
    </rPh>
    <rPh sb="2" eb="3">
      <t>エン</t>
    </rPh>
    <rPh sb="4" eb="5">
      <t>ネン</t>
    </rPh>
    <phoneticPr fontId="8"/>
  </si>
  <si>
    <t>（検討状況・課題）</t>
    <rPh sb="1" eb="3">
      <t>ケントウ</t>
    </rPh>
    <rPh sb="3" eb="5">
      <t>ジョウキョウ</t>
    </rPh>
    <rPh sb="6" eb="8">
      <t>カダイ</t>
    </rPh>
    <phoneticPr fontId="8"/>
  </si>
  <si>
    <t>検討中</t>
    <rPh sb="0" eb="3">
      <t>ケントウチュウ</t>
    </rPh>
    <phoneticPr fontId="8"/>
  </si>
  <si>
    <t>民営化・民間譲渡</t>
    <rPh sb="0" eb="3">
      <t>ミンエイカ</t>
    </rPh>
    <rPh sb="4" eb="6">
      <t>ミンカン</t>
    </rPh>
    <rPh sb="6" eb="8">
      <t>ジョウト</t>
    </rPh>
    <phoneticPr fontId="8"/>
  </si>
  <si>
    <t>全部民営化・
全部民間譲渡</t>
    <rPh sb="0" eb="2">
      <t>ゼンブ</t>
    </rPh>
    <rPh sb="2" eb="5">
      <t>ミンエイカ</t>
    </rPh>
    <rPh sb="7" eb="9">
      <t>ゼンブ</t>
    </rPh>
    <rPh sb="9" eb="11">
      <t>ミンカン</t>
    </rPh>
    <rPh sb="11" eb="13">
      <t>ジョウト</t>
    </rPh>
    <phoneticPr fontId="8"/>
  </si>
  <si>
    <t>一部民営化・
一部民間譲渡</t>
    <rPh sb="0" eb="2">
      <t>イチブ</t>
    </rPh>
    <rPh sb="2" eb="5">
      <t>ミンエイカ</t>
    </rPh>
    <rPh sb="7" eb="8">
      <t>イチ</t>
    </rPh>
    <rPh sb="8" eb="9">
      <t>ブ</t>
    </rPh>
    <rPh sb="9" eb="11">
      <t>ミンカン</t>
    </rPh>
    <rPh sb="11" eb="13">
      <t>ジョウト</t>
    </rPh>
    <phoneticPr fontId="8"/>
  </si>
  <si>
    <t>（水道事業）広域化等</t>
    <rPh sb="1" eb="3">
      <t>スイドウ</t>
    </rPh>
    <rPh sb="3" eb="5">
      <t>ジギョウ</t>
    </rPh>
    <phoneticPr fontId="8"/>
  </si>
  <si>
    <t>（実施類型）</t>
    <rPh sb="1" eb="3">
      <t>ジッシ</t>
    </rPh>
    <rPh sb="3" eb="5">
      <t>ルイケイ</t>
    </rPh>
    <phoneticPr fontId="8"/>
  </si>
  <si>
    <t>経営統合</t>
    <rPh sb="0" eb="2">
      <t>ケイエイ</t>
    </rPh>
    <rPh sb="2" eb="4">
      <t>トウゴウ</t>
    </rPh>
    <phoneticPr fontId="8"/>
  </si>
  <si>
    <t>施設の
共同設置・利用</t>
    <rPh sb="0" eb="2">
      <t>シセツ</t>
    </rPh>
    <rPh sb="4" eb="6">
      <t>キョウドウ</t>
    </rPh>
    <rPh sb="6" eb="8">
      <t>セッチ</t>
    </rPh>
    <rPh sb="9" eb="11">
      <t>リヨウ</t>
    </rPh>
    <phoneticPr fontId="8"/>
  </si>
  <si>
    <t>施設管理の
共同化</t>
    <rPh sb="0" eb="2">
      <t>シセツ</t>
    </rPh>
    <rPh sb="2" eb="4">
      <t>カンリ</t>
    </rPh>
    <rPh sb="6" eb="9">
      <t>キョウドウカ</t>
    </rPh>
    <phoneticPr fontId="8"/>
  </si>
  <si>
    <t>管理の一体化</t>
    <rPh sb="0" eb="2">
      <t>カンリ</t>
    </rPh>
    <rPh sb="3" eb="6">
      <t>イッタイカ</t>
    </rPh>
    <phoneticPr fontId="8"/>
  </si>
  <si>
    <t>（簡易水道事業）広域化等</t>
    <rPh sb="1" eb="3">
      <t>カンイ</t>
    </rPh>
    <rPh sb="3" eb="5">
      <t>スイドウ</t>
    </rPh>
    <rPh sb="5" eb="7">
      <t>ジギョウ</t>
    </rPh>
    <phoneticPr fontId="8"/>
  </si>
  <si>
    <t>簡易水道事業統合(市町村内)</t>
    <rPh sb="0" eb="2">
      <t>カンイ</t>
    </rPh>
    <rPh sb="2" eb="4">
      <t>スイドウ</t>
    </rPh>
    <rPh sb="4" eb="6">
      <t>ジギョウ</t>
    </rPh>
    <rPh sb="6" eb="8">
      <t>トウゴウ</t>
    </rPh>
    <rPh sb="9" eb="12">
      <t>シチョウソン</t>
    </rPh>
    <rPh sb="12" eb="13">
      <t>ナイ</t>
    </rPh>
    <phoneticPr fontId="8"/>
  </si>
  <si>
    <t>簡易水道事業統合
（市町村を越える統合）</t>
    <rPh sb="0" eb="2">
      <t>カンイ</t>
    </rPh>
    <rPh sb="2" eb="4">
      <t>スイドウ</t>
    </rPh>
    <rPh sb="4" eb="6">
      <t>ジギョウ</t>
    </rPh>
    <rPh sb="6" eb="8">
      <t>トウゴウ</t>
    </rPh>
    <rPh sb="10" eb="13">
      <t>シチョウソン</t>
    </rPh>
    <rPh sb="14" eb="15">
      <t>コ</t>
    </rPh>
    <rPh sb="17" eb="19">
      <t>トウゴウ</t>
    </rPh>
    <phoneticPr fontId="8"/>
  </si>
  <si>
    <t>簡易水道事業統合以外</t>
    <rPh sb="0" eb="2">
      <t>カンイ</t>
    </rPh>
    <rPh sb="2" eb="4">
      <t>スイドウ</t>
    </rPh>
    <rPh sb="4" eb="6">
      <t>ジギョウ</t>
    </rPh>
    <rPh sb="6" eb="8">
      <t>トウゴウ</t>
    </rPh>
    <rPh sb="8" eb="10">
      <t>イガイ</t>
    </rPh>
    <phoneticPr fontId="8"/>
  </si>
  <si>
    <t>施設の共同
設置・利用</t>
    <rPh sb="0" eb="2">
      <t>シセツ</t>
    </rPh>
    <rPh sb="3" eb="5">
      <t>キョウドウ</t>
    </rPh>
    <rPh sb="6" eb="8">
      <t>セッチ</t>
    </rPh>
    <rPh sb="9" eb="11">
      <t>リヨウ</t>
    </rPh>
    <phoneticPr fontId="8"/>
  </si>
  <si>
    <t>施設管理の
共同化</t>
    <rPh sb="0" eb="2">
      <t>シセツ</t>
    </rPh>
    <rPh sb="2" eb="4">
      <t>カンリ</t>
    </rPh>
    <rPh sb="6" eb="8">
      <t>キョウドウ</t>
    </rPh>
    <rPh sb="8" eb="9">
      <t>カ</t>
    </rPh>
    <phoneticPr fontId="8"/>
  </si>
  <si>
    <t>管理の一体化</t>
    <rPh sb="0" eb="2">
      <t>カンリ</t>
    </rPh>
    <rPh sb="3" eb="5">
      <t>イッタイ</t>
    </rPh>
    <rPh sb="5" eb="6">
      <t>カ</t>
    </rPh>
    <phoneticPr fontId="8"/>
  </si>
  <si>
    <t>（下水道事業）広域化等</t>
    <rPh sb="1" eb="2">
      <t>シタ</t>
    </rPh>
    <rPh sb="2" eb="4">
      <t>スイドウ</t>
    </rPh>
    <rPh sb="4" eb="6">
      <t>ジギョウ</t>
    </rPh>
    <phoneticPr fontId="8"/>
  </si>
  <si>
    <t>汚水処理施設の統廃合</t>
    <rPh sb="0" eb="2">
      <t>オスイ</t>
    </rPh>
    <rPh sb="2" eb="4">
      <t>ショリ</t>
    </rPh>
    <rPh sb="4" eb="6">
      <t>シセツ</t>
    </rPh>
    <rPh sb="7" eb="10">
      <t>トウハイゴウ</t>
    </rPh>
    <phoneticPr fontId="8"/>
  </si>
  <si>
    <t>処理場廃止あり</t>
    <rPh sb="0" eb="3">
      <t>ショリジョウ</t>
    </rPh>
    <rPh sb="3" eb="5">
      <t>ハイシ</t>
    </rPh>
    <phoneticPr fontId="8"/>
  </si>
  <si>
    <t>処理場廃止なし</t>
    <rPh sb="0" eb="3">
      <t>ショリジョウ</t>
    </rPh>
    <rPh sb="3" eb="5">
      <t>ハイシ</t>
    </rPh>
    <phoneticPr fontId="8"/>
  </si>
  <si>
    <t>公共下水･流域下水の統合</t>
    <rPh sb="0" eb="2">
      <t>コウキョウ</t>
    </rPh>
    <rPh sb="2" eb="4">
      <t>ゲスイ</t>
    </rPh>
    <rPh sb="5" eb="7">
      <t>リュウイキ</t>
    </rPh>
    <rPh sb="7" eb="9">
      <t>ゲスイ</t>
    </rPh>
    <rPh sb="10" eb="12">
      <t>トウゴウ</t>
    </rPh>
    <phoneticPr fontId="8"/>
  </si>
  <si>
    <t>公共下水同士
の統合</t>
    <rPh sb="0" eb="2">
      <t>コウキョウ</t>
    </rPh>
    <rPh sb="2" eb="4">
      <t>ゲスイ</t>
    </rPh>
    <rPh sb="4" eb="6">
      <t>ドウシ</t>
    </rPh>
    <rPh sb="8" eb="10">
      <t>トウゴウ</t>
    </rPh>
    <phoneticPr fontId="8"/>
  </si>
  <si>
    <t>集落排水･公共下水との統合</t>
    <rPh sb="0" eb="2">
      <t>シュウラク</t>
    </rPh>
    <rPh sb="2" eb="4">
      <t>ハイスイ</t>
    </rPh>
    <rPh sb="5" eb="7">
      <t>コウキョウ</t>
    </rPh>
    <rPh sb="7" eb="9">
      <t>ゲスイ</t>
    </rPh>
    <rPh sb="11" eb="13">
      <t>トウゴウ</t>
    </rPh>
    <phoneticPr fontId="8"/>
  </si>
  <si>
    <t>特環下水と公共下水との結合</t>
    <rPh sb="0" eb="1">
      <t>トク</t>
    </rPh>
    <rPh sb="2" eb="4">
      <t>ゲスイ</t>
    </rPh>
    <rPh sb="5" eb="7">
      <t>コウキョウ</t>
    </rPh>
    <rPh sb="7" eb="9">
      <t>ゲスイ</t>
    </rPh>
    <rPh sb="11" eb="13">
      <t>ケツゴウ</t>
    </rPh>
    <phoneticPr fontId="8"/>
  </si>
  <si>
    <t>その他</t>
    <rPh sb="2" eb="3">
      <t>ホカ</t>
    </rPh>
    <phoneticPr fontId="8"/>
  </si>
  <si>
    <t>汚泥処理の
共同化</t>
    <rPh sb="0" eb="2">
      <t>オデイ</t>
    </rPh>
    <rPh sb="2" eb="4">
      <t>ショリ</t>
    </rPh>
    <rPh sb="6" eb="9">
      <t>キョウドウカ</t>
    </rPh>
    <phoneticPr fontId="8"/>
  </si>
  <si>
    <t>維持管理・事務
の共同化</t>
    <rPh sb="0" eb="2">
      <t>イジ</t>
    </rPh>
    <rPh sb="2" eb="4">
      <t>カンリ</t>
    </rPh>
    <rPh sb="5" eb="7">
      <t>ジム</t>
    </rPh>
    <rPh sb="9" eb="12">
      <t>キョウドウカ</t>
    </rPh>
    <phoneticPr fontId="8"/>
  </si>
  <si>
    <t>最適な汚水処理施設の選択（最適化）</t>
    <rPh sb="0" eb="2">
      <t>サイテキ</t>
    </rPh>
    <rPh sb="3" eb="5">
      <t>オスイ</t>
    </rPh>
    <rPh sb="5" eb="7">
      <t>ショリ</t>
    </rPh>
    <rPh sb="7" eb="9">
      <t>シセツ</t>
    </rPh>
    <rPh sb="10" eb="12">
      <t>センタク</t>
    </rPh>
    <rPh sb="13" eb="16">
      <t>サイテキカ</t>
    </rPh>
    <phoneticPr fontId="8"/>
  </si>
  <si>
    <t>（水道・簡易水道・下水道事業以外）広域化等</t>
    <rPh sb="0" eb="1">
      <t>スイドウ</t>
    </rPh>
    <rPh sb="1" eb="3">
      <t>スイドウ</t>
    </rPh>
    <rPh sb="4" eb="6">
      <t>カンイ</t>
    </rPh>
    <rPh sb="6" eb="8">
      <t>スイドウ</t>
    </rPh>
    <rPh sb="9" eb="12">
      <t>ゲスイドウ</t>
    </rPh>
    <rPh sb="12" eb="14">
      <t>ジギョウ</t>
    </rPh>
    <rPh sb="14" eb="16">
      <t>イガイ</t>
    </rPh>
    <rPh sb="17" eb="20">
      <t>コウイキカ</t>
    </rPh>
    <rPh sb="20" eb="21">
      <t>トウ</t>
    </rPh>
    <phoneticPr fontId="8"/>
  </si>
  <si>
    <t>民間活用（指定管理者制度）</t>
    <rPh sb="0" eb="2">
      <t>ミンカン</t>
    </rPh>
    <rPh sb="2" eb="4">
      <t>カツヨウ</t>
    </rPh>
    <rPh sb="5" eb="7">
      <t>シテイ</t>
    </rPh>
    <rPh sb="7" eb="10">
      <t>カンリシャ</t>
    </rPh>
    <rPh sb="10" eb="12">
      <t>セイド</t>
    </rPh>
    <phoneticPr fontId="8"/>
  </si>
  <si>
    <t>（方式）</t>
    <rPh sb="1" eb="3">
      <t>ホウシキ</t>
    </rPh>
    <phoneticPr fontId="8"/>
  </si>
  <si>
    <t>代行制</t>
    <rPh sb="0" eb="3">
      <t>ダイコウセイ</t>
    </rPh>
    <phoneticPr fontId="8"/>
  </si>
  <si>
    <t>利用料金制</t>
    <rPh sb="0" eb="2">
      <t>リヨウ</t>
    </rPh>
    <rPh sb="2" eb="5">
      <t>リョウキンセイ</t>
    </rPh>
    <phoneticPr fontId="8"/>
  </si>
  <si>
    <t>民間活用（包括的民間委託）</t>
    <rPh sb="0" eb="2">
      <t>ミンカン</t>
    </rPh>
    <rPh sb="2" eb="4">
      <t>カツヨウ</t>
    </rPh>
    <rPh sb="5" eb="8">
      <t>ホウカツテキ</t>
    </rPh>
    <rPh sb="8" eb="10">
      <t>ミンカン</t>
    </rPh>
    <rPh sb="10" eb="12">
      <t>イタク</t>
    </rPh>
    <phoneticPr fontId="8"/>
  </si>
  <si>
    <t>（（実施済のみ）性能発注内容）</t>
    <rPh sb="2" eb="4">
      <t>ジッシ</t>
    </rPh>
    <rPh sb="4" eb="5">
      <t>ズ</t>
    </rPh>
    <rPh sb="8" eb="10">
      <t>セイノウ</t>
    </rPh>
    <rPh sb="10" eb="12">
      <t>ハッチュウ</t>
    </rPh>
    <rPh sb="12" eb="14">
      <t>ナイヨウ</t>
    </rPh>
    <phoneticPr fontId="8"/>
  </si>
  <si>
    <t>民間活用（ＰＰＰ/ＰＦＩ方式の活用）</t>
    <rPh sb="0" eb="2">
      <t>ミンカン</t>
    </rPh>
    <rPh sb="2" eb="4">
      <t>カツヨウ</t>
    </rPh>
    <rPh sb="12" eb="14">
      <t>ホウシキ</t>
    </rPh>
    <rPh sb="15" eb="17">
      <t>カツヨウ</t>
    </rPh>
    <phoneticPr fontId="8"/>
  </si>
  <si>
    <t>（導入・契約（予定）時期）</t>
    <rPh sb="1" eb="3">
      <t>ドウニュウ</t>
    </rPh>
    <rPh sb="4" eb="6">
      <t>ケイヤク</t>
    </rPh>
    <rPh sb="7" eb="9">
      <t>ヨテイ</t>
    </rPh>
    <rPh sb="10" eb="12">
      <t>ジキ</t>
    </rPh>
    <phoneticPr fontId="8"/>
  </si>
  <si>
    <t>BTO方式</t>
    <rPh sb="3" eb="5">
      <t>ホウシキ</t>
    </rPh>
    <phoneticPr fontId="8"/>
  </si>
  <si>
    <t>公共施設等運営権方式（コンセッション方式）</t>
    <rPh sb="0" eb="2">
      <t>コウキョウ</t>
    </rPh>
    <rPh sb="2" eb="4">
      <t>シセツ</t>
    </rPh>
    <rPh sb="4" eb="5">
      <t>トウ</t>
    </rPh>
    <rPh sb="5" eb="8">
      <t>ウンエイケン</t>
    </rPh>
    <rPh sb="8" eb="10">
      <t>ホウシキ</t>
    </rPh>
    <rPh sb="18" eb="20">
      <t>ホウシキ</t>
    </rPh>
    <phoneticPr fontId="8"/>
  </si>
  <si>
    <t>BOT方式</t>
    <rPh sb="3" eb="5">
      <t>ホウシキ</t>
    </rPh>
    <phoneticPr fontId="8"/>
  </si>
  <si>
    <t>BOO方式</t>
    <rPh sb="3" eb="5">
      <t>ホウシキ</t>
    </rPh>
    <phoneticPr fontId="8"/>
  </si>
  <si>
    <t>港湾運営会社制度</t>
    <rPh sb="0" eb="2">
      <t>コウワン</t>
    </rPh>
    <rPh sb="2" eb="4">
      <t>ウンエイ</t>
    </rPh>
    <rPh sb="4" eb="6">
      <t>ガイシャ</t>
    </rPh>
    <rPh sb="6" eb="8">
      <t>セイド</t>
    </rPh>
    <phoneticPr fontId="8"/>
  </si>
  <si>
    <t>DB方式</t>
    <rPh sb="2" eb="4">
      <t>ホウシキ</t>
    </rPh>
    <phoneticPr fontId="8"/>
  </si>
  <si>
    <t>DBO方式</t>
    <rPh sb="3" eb="5">
      <t>ホウシキ</t>
    </rPh>
    <phoneticPr fontId="8"/>
  </si>
  <si>
    <t>その他</t>
    <rPh sb="2" eb="3">
      <t>タ</t>
    </rPh>
    <phoneticPr fontId="8"/>
  </si>
  <si>
    <t>民間活用（地方独立行政法人への移行）</t>
    <rPh sb="0" eb="2">
      <t>ミンカン</t>
    </rPh>
    <rPh sb="2" eb="4">
      <t>カツヨウ</t>
    </rPh>
    <rPh sb="5" eb="7">
      <t>チホウ</t>
    </rPh>
    <rPh sb="7" eb="9">
      <t>ドクリツ</t>
    </rPh>
    <rPh sb="9" eb="11">
      <t>ギョウセイ</t>
    </rPh>
    <rPh sb="11" eb="13">
      <t>ホウジン</t>
    </rPh>
    <rPh sb="15" eb="17">
      <t>イコウ</t>
    </rPh>
    <phoneticPr fontId="8"/>
  </si>
  <si>
    <t>（公務員型と非公務員型の別）</t>
    <rPh sb="1" eb="5">
      <t>コウムインガタ</t>
    </rPh>
    <rPh sb="6" eb="7">
      <t>ヒ</t>
    </rPh>
    <rPh sb="7" eb="11">
      <t>コウムインガタ</t>
    </rPh>
    <rPh sb="12" eb="13">
      <t>ベツ</t>
    </rPh>
    <phoneticPr fontId="8"/>
  </si>
  <si>
    <t>公務員型</t>
    <rPh sb="0" eb="3">
      <t>コウムイン</t>
    </rPh>
    <rPh sb="3" eb="4">
      <t>ガタ</t>
    </rPh>
    <phoneticPr fontId="8"/>
  </si>
  <si>
    <t>非公務員型</t>
    <rPh sb="0" eb="1">
      <t>ヒ</t>
    </rPh>
    <rPh sb="1" eb="4">
      <t>コウムイン</t>
    </rPh>
    <rPh sb="4" eb="5">
      <t>ガタ</t>
    </rPh>
    <phoneticPr fontId="8"/>
  </si>
  <si>
    <t>抜本的な改革に取り組まず、現行の経営体制・手法を継続する理由及び現在の経営状況・経営戦略等における中長期的な将来見通しを踏まえた、今後の経営改革の方向性</t>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</si>
</sst>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font>
      <sz val="11"/>
      <color theme="1"/>
      <name val="Yu Gothic"/>
      <family val="2"/>
      <charset val="128"/>
    </font>
    <font>
      <sz val="6"/>
      <name val="Yu Gothic"/>
      <family val="2"/>
      <charset val="128"/>
    </font>
    <font>
      <sz val="8"/>
      <color theme="1"/>
      <name val="游ゴシック"/>
      <family val="2"/>
      <charset val="128"/>
      <scheme val="minor"/>
    </font>
    <font>
      <sz val="8"/>
      <color theme="1"/>
      <name val="游ゴシック"/>
      <family val="3"/>
      <charset val="128"/>
      <scheme val="minor"/>
    </font>
    <font>
      <b/>
      <sz val="24"/>
      <color theme="1"/>
      <name val="AR Pゴシック体M"/>
      <family val="3"/>
      <charset val="128"/>
    </font>
    <font>
      <b/>
      <sz val="20"/>
      <color theme="1"/>
      <name val="游ゴシック"/>
      <family val="3"/>
      <charset val="128"/>
      <scheme val="minor"/>
    </font>
    <font>
      <sz val="18"/>
      <color theme="1"/>
      <name val="游ゴシック"/>
      <family val="2"/>
      <charset val="128"/>
      <scheme val="minor"/>
    </font>
    <font>
      <sz val="22"/>
      <color theme="1"/>
      <name val="游ゴシック"/>
      <family val="2"/>
      <charset val="128"/>
      <scheme val="minor"/>
    </font>
    <font>
      <sz val="6"/>
      <name val="游ゴシック"/>
      <family val="2"/>
      <charset val="128"/>
      <scheme val="minor"/>
    </font>
    <font>
      <sz val="22"/>
      <color theme="1"/>
      <name val="游ゴシック"/>
      <family val="3"/>
      <charset val="128"/>
      <scheme val="minor"/>
    </font>
    <font>
      <sz val="18"/>
      <name val="游ゴシック"/>
      <family val="2"/>
      <charset val="128"/>
      <scheme val="minor"/>
    </font>
    <font>
      <sz val="11"/>
      <name val="游ゴシック"/>
      <family val="2"/>
      <charset val="128"/>
      <scheme val="minor"/>
    </font>
    <font>
      <b/>
      <sz val="18"/>
      <color theme="1"/>
      <name val="游ゴシック"/>
      <family val="3"/>
      <charset val="128"/>
      <scheme val="minor"/>
    </font>
    <font>
      <sz val="12"/>
      <color theme="1"/>
      <name val="游ゴシック"/>
      <family val="2"/>
      <charset val="128"/>
      <scheme val="minor"/>
    </font>
    <font>
      <sz val="24"/>
      <color theme="1"/>
      <name val="游ゴシック"/>
      <family val="3"/>
      <charset val="128"/>
      <scheme val="minor"/>
    </font>
    <font>
      <b/>
      <sz val="17"/>
      <color theme="1"/>
      <name val="游ゴシック"/>
      <family val="3"/>
      <charset val="128"/>
      <scheme val="minor"/>
    </font>
    <font>
      <sz val="12"/>
      <color theme="1"/>
      <name val="游ゴシック"/>
      <family val="3"/>
      <charset val="128"/>
      <scheme val="minor"/>
    </font>
    <font>
      <sz val="11"/>
      <color theme="1"/>
      <name val="游ゴシック"/>
      <family val="3"/>
      <charset val="128"/>
      <scheme val="minor"/>
    </font>
    <font>
      <sz val="20"/>
      <color theme="1"/>
      <name val="游ゴシック"/>
      <family val="3"/>
      <charset val="128"/>
      <scheme val="minor"/>
    </font>
    <font>
      <sz val="11"/>
      <color theme="1"/>
      <name val="ＭＳ Ｐゴシック"/>
      <family val="3"/>
      <charset val="128"/>
    </font>
    <font>
      <sz val="16"/>
      <color theme="1"/>
      <name val="游ゴシック"/>
      <family val="3"/>
      <charset val="128"/>
      <scheme val="minor"/>
    </font>
    <font>
      <b/>
      <sz val="16"/>
      <color theme="1"/>
      <name val="游ゴシック"/>
      <family val="3"/>
      <charset val="128"/>
      <scheme val="minor"/>
    </font>
    <font>
      <sz val="16"/>
      <color theme="1"/>
      <name val="游ゴシック"/>
      <family val="2"/>
      <charset val="128"/>
      <scheme val="minor"/>
    </font>
    <font>
      <sz val="28"/>
      <color theme="1"/>
      <name val="游ゴシック"/>
      <family val="3"/>
      <charset val="128"/>
      <scheme val="minor"/>
    </font>
    <font>
      <b/>
      <sz val="14"/>
      <color theme="1"/>
      <name val="游ゴシック"/>
      <family val="3"/>
      <charset val="128"/>
      <scheme val="minor"/>
    </font>
    <font>
      <b/>
      <sz val="12"/>
      <color theme="1"/>
      <name val="游ゴシック"/>
      <family val="3"/>
      <charset val="128"/>
      <scheme val="minor"/>
    </font>
    <font>
      <b/>
      <sz val="10"/>
      <color theme="1"/>
      <name val="游ゴシック"/>
      <family val="3"/>
      <charset val="128"/>
      <scheme val="minor"/>
    </font>
    <font>
      <sz val="14"/>
      <color theme="1"/>
      <name val="游ゴシック"/>
      <family val="3"/>
      <charset val="128"/>
      <scheme val="minor"/>
    </font>
    <font>
      <b/>
      <sz val="13"/>
      <color theme="1"/>
      <name val="游ゴシック"/>
      <family val="3"/>
      <charset val="128"/>
      <scheme val="minor"/>
    </font>
    <font>
      <b/>
      <sz val="11"/>
      <color theme="1"/>
      <name val="游ゴシック"/>
      <family val="3"/>
      <charset val="128"/>
      <scheme val="minor"/>
    </font>
    <font>
      <b/>
      <sz val="12.5"/>
      <color theme="1"/>
      <name val="游ゴシック"/>
      <family val="3"/>
      <charset val="128"/>
      <scheme val="minor"/>
    </font>
    <font>
      <sz val="10"/>
      <color theme="1"/>
      <name val="游ゴシック"/>
      <family val="3"/>
      <charset val="128"/>
      <scheme val="minor"/>
    </font>
    <font>
      <sz val="20"/>
      <name val="游ゴシック"/>
      <family val="2"/>
      <charset val="128"/>
      <scheme val="minor"/>
    </font>
  </fonts>
  <fills count="5">
    <fill>
      <patternFill patternType="none"/>
    </fill>
    <fill>
      <patternFill patternType="gray125"/>
    </fill>
    <fill>
      <patternFill patternType="solid">
        <fgColor rgb="FFCCFFFF"/>
        <bgColor indexed="64"/>
      </patternFill>
    </fill>
    <fill>
      <patternFill patternType="solid">
        <fgColor theme="9" tint="0.39997558519241921"/>
        <bgColor indexed="64"/>
      </patternFill>
    </fill>
    <fill>
      <patternFill patternType="solid">
        <fgColor theme="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alignment vertical="center"/>
    </xf>
  </cellStyleXfs>
  <cellXfs count="312">
    <xf numFmtId="0" fontId="0" fillId="0" borderId="0" xfId="0">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4" fillId="0" borderId="0" xfId="0" applyFont="1">
      <alignment vertical="center"/>
    </xf>
    <xf numFmtId="0" fontId="5" fillId="0" borderId="0" xfId="0" applyFont="1" applyAlignment="1">
      <alignment horizontal="center" vertical="center"/>
    </xf>
    <xf numFmtId="0" fontId="6" fillId="0" borderId="0" xfId="0" applyFont="1">
      <alignment vertical="center"/>
    </xf>
    <xf numFmtId="0" fontId="6" fillId="0" borderId="0" xfId="0" applyFont="1" applyAlignment="1">
      <alignment horizontal="center" vertical="center"/>
    </xf>
    <xf numFmtId="0" fontId="7" fillId="0" borderId="1" xfId="0" applyFont="1" applyBorder="1" applyAlignment="1">
      <alignment horizontal="center" vertical="center" shrinkToFit="1"/>
    </xf>
    <xf numFmtId="0" fontId="0" fillId="0" borderId="1" xfId="0" applyBorder="1" applyAlignment="1">
      <alignment horizontal="center" vertical="center" shrinkToFit="1"/>
    </xf>
    <xf numFmtId="0" fontId="9" fillId="0" borderId="2" xfId="0" applyFont="1" applyBorder="1" applyAlignment="1">
      <alignment horizontal="center" vertical="center" shrinkToFit="1"/>
    </xf>
    <xf numFmtId="0" fontId="0" fillId="0" borderId="3" xfId="0" applyBorder="1" applyAlignment="1">
      <alignment horizontal="center" vertical="center" shrinkToFit="1"/>
    </xf>
    <xf numFmtId="0" fontId="0" fillId="0" borderId="4" xfId="0" applyBorder="1" applyAlignment="1">
      <alignment horizontal="center" vertical="center" shrinkToFit="1"/>
    </xf>
    <xf numFmtId="0" fontId="7" fillId="0" borderId="2" xfId="0" applyFont="1" applyBorder="1" applyAlignment="1">
      <alignment horizontal="center" vertical="center" shrinkToFit="1"/>
    </xf>
    <xf numFmtId="0" fontId="0" fillId="0" borderId="1" xfId="0" applyBorder="1" applyAlignment="1">
      <alignment vertical="center" shrinkToFit="1"/>
    </xf>
    <xf numFmtId="0" fontId="7" fillId="0" borderId="0" xfId="0" applyFont="1" applyAlignment="1">
      <alignment vertical="center" shrinkToFit="1"/>
    </xf>
    <xf numFmtId="0" fontId="0" fillId="0" borderId="5" xfId="0" applyBorder="1" applyAlignment="1">
      <alignment horizontal="center" vertical="center" shrinkToFit="1"/>
    </xf>
    <xf numFmtId="0" fontId="0" fillId="0" borderId="0" xfId="0" applyAlignment="1">
      <alignment horizontal="center" vertical="center" shrinkToFit="1"/>
    </xf>
    <xf numFmtId="0" fontId="0" fillId="0" borderId="6" xfId="0" applyBorder="1" applyAlignment="1">
      <alignment horizontal="center" vertical="center" shrinkToFit="1"/>
    </xf>
    <xf numFmtId="0" fontId="0" fillId="0" borderId="7" xfId="0"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6" fillId="0" borderId="1" xfId="0" applyFont="1" applyBorder="1" applyAlignment="1">
      <alignment horizontal="center" vertical="center" shrinkToFit="1"/>
    </xf>
    <xf numFmtId="0" fontId="10" fillId="0" borderId="2" xfId="0" applyFont="1" applyBorder="1" applyAlignment="1">
      <alignment horizontal="center" vertical="center" shrinkToFit="1"/>
    </xf>
    <xf numFmtId="0" fontId="11" fillId="0" borderId="3" xfId="0" applyFont="1" applyBorder="1" applyAlignment="1">
      <alignment horizontal="center" vertical="center" shrinkToFit="1"/>
    </xf>
    <xf numFmtId="0" fontId="6" fillId="0" borderId="2" xfId="0" applyFont="1" applyBorder="1" applyAlignment="1">
      <alignment horizontal="center" vertical="center" shrinkToFit="1"/>
    </xf>
    <xf numFmtId="0" fontId="11" fillId="0" borderId="5" xfId="0" applyFont="1" applyBorder="1" applyAlignment="1">
      <alignment horizontal="center" vertical="center" shrinkToFit="1"/>
    </xf>
    <xf numFmtId="0" fontId="11" fillId="0" borderId="0" xfId="0" applyFont="1" applyAlignment="1">
      <alignment horizontal="center" vertical="center" shrinkToFit="1"/>
    </xf>
    <xf numFmtId="0" fontId="11" fillId="0" borderId="7" xfId="0" applyFont="1" applyBorder="1" applyAlignment="1">
      <alignment horizontal="center" vertical="center" shrinkToFit="1"/>
    </xf>
    <xf numFmtId="0" fontId="11" fillId="0" borderId="8" xfId="0" applyFont="1" applyBorder="1" applyAlignment="1">
      <alignment horizontal="center" vertical="center" shrinkToFit="1"/>
    </xf>
    <xf numFmtId="0" fontId="12" fillId="0" borderId="0" xfId="0" applyFont="1">
      <alignment vertical="center"/>
    </xf>
    <xf numFmtId="0" fontId="13" fillId="2" borderId="2" xfId="0" applyFont="1" applyFill="1" applyBorder="1" applyAlignment="1"/>
    <xf numFmtId="0" fontId="13" fillId="2" borderId="3" xfId="0" applyFont="1" applyFill="1" applyBorder="1" applyAlignment="1"/>
    <xf numFmtId="0" fontId="13" fillId="2" borderId="4" xfId="0" applyFont="1" applyFill="1" applyBorder="1" applyAlignment="1"/>
    <xf numFmtId="0" fontId="13" fillId="0" borderId="0" xfId="0" applyFont="1" applyAlignment="1"/>
    <xf numFmtId="0" fontId="13" fillId="2" borderId="5" xfId="0" applyFont="1" applyFill="1" applyBorder="1" applyAlignment="1"/>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13" fillId="2" borderId="0" xfId="0" applyFont="1" applyFill="1" applyAlignment="1"/>
    <xf numFmtId="0" fontId="13" fillId="2" borderId="6" xfId="0" applyFont="1" applyFill="1" applyBorder="1" applyAlignment="1"/>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9" xfId="0" applyFont="1" applyBorder="1" applyAlignment="1">
      <alignment horizontal="center" vertical="center"/>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2" xfId="0" applyFont="1" applyBorder="1" applyAlignment="1">
      <alignment horizontal="center" vertical="center"/>
    </xf>
    <xf numFmtId="0" fontId="12" fillId="0" borderId="3" xfId="0" applyFont="1" applyBorder="1" applyAlignment="1">
      <alignment horizontal="center" vertical="center"/>
    </xf>
    <xf numFmtId="0" fontId="12" fillId="0" borderId="4" xfId="0" applyFont="1" applyBorder="1" applyAlignment="1">
      <alignment horizontal="center" vertical="center"/>
    </xf>
    <xf numFmtId="0" fontId="14" fillId="2" borderId="0" xfId="0" applyFont="1" applyFill="1">
      <alignment vertical="center"/>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0" fillId="0" borderId="3" xfId="0" applyBorder="1">
      <alignment vertical="center"/>
    </xf>
    <xf numFmtId="0" fontId="0" fillId="0" borderId="4" xfId="0" applyBorder="1">
      <alignment vertical="center"/>
    </xf>
    <xf numFmtId="0" fontId="16" fillId="0" borderId="0" xfId="0" applyFont="1" applyAlignment="1"/>
    <xf numFmtId="0" fontId="12" fillId="0" borderId="5" xfId="0" applyFont="1" applyBorder="1" applyAlignment="1">
      <alignment horizontal="center" vertical="center" wrapText="1"/>
    </xf>
    <xf numFmtId="0" fontId="12" fillId="0" borderId="0" xfId="0" applyFont="1" applyAlignment="1">
      <alignment horizontal="center" vertical="center" wrapText="1"/>
    </xf>
    <xf numFmtId="0" fontId="12" fillId="0" borderId="6" xfId="0" applyFont="1" applyBorder="1" applyAlignment="1">
      <alignment horizontal="center" vertical="center" wrapText="1"/>
    </xf>
    <xf numFmtId="0" fontId="12" fillId="0" borderId="5" xfId="0" applyFont="1" applyBorder="1" applyAlignment="1">
      <alignment horizontal="center" vertical="center"/>
    </xf>
    <xf numFmtId="0" fontId="12" fillId="0" borderId="0" xfId="0" applyFont="1" applyAlignment="1">
      <alignment horizontal="center" vertical="center"/>
    </xf>
    <xf numFmtId="0" fontId="12" fillId="0" borderId="6" xfId="0" applyFont="1" applyBorder="1" applyAlignment="1">
      <alignment horizontal="center" vertical="center"/>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0" fillId="0" borderId="0" xfId="0">
      <alignment vertical="center"/>
    </xf>
    <xf numFmtId="0" fontId="0" fillId="0" borderId="6" xfId="0" applyBorder="1">
      <alignment vertical="center"/>
    </xf>
    <xf numFmtId="0" fontId="12" fillId="0" borderId="7" xfId="0" applyFont="1" applyBorder="1" applyAlignment="1">
      <alignment horizontal="center" vertical="center"/>
    </xf>
    <xf numFmtId="0" fontId="12" fillId="0" borderId="8" xfId="0" applyFont="1" applyBorder="1" applyAlignment="1">
      <alignment horizontal="center" vertical="center"/>
    </xf>
    <xf numFmtId="0" fontId="12" fillId="0" borderId="9" xfId="0" applyFont="1" applyBorder="1" applyAlignment="1">
      <alignment horizontal="center" vertical="center"/>
    </xf>
    <xf numFmtId="0" fontId="17" fillId="2" borderId="0" xfId="0" applyFont="1" applyFill="1">
      <alignment vertical="center"/>
    </xf>
    <xf numFmtId="0" fontId="12" fillId="0" borderId="7"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9"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8" xfId="0" applyFont="1" applyBorder="1" applyAlignment="1">
      <alignment horizontal="center" vertical="center" wrapText="1"/>
    </xf>
    <xf numFmtId="0" fontId="16" fillId="0" borderId="9"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8" xfId="0" applyFont="1" applyBorder="1" applyAlignment="1">
      <alignment horizontal="center" vertical="center" wrapText="1"/>
    </xf>
    <xf numFmtId="0" fontId="0" fillId="0" borderId="8" xfId="0" applyBorder="1">
      <alignment vertical="center"/>
    </xf>
    <xf numFmtId="0" fontId="0" fillId="0" borderId="9" xfId="0" applyBorder="1">
      <alignment vertical="center"/>
    </xf>
    <xf numFmtId="0" fontId="18" fillId="0" borderId="5" xfId="0" applyFont="1" applyBorder="1" applyAlignment="1">
      <alignment horizontal="center" vertical="center" wrapText="1"/>
    </xf>
    <xf numFmtId="0" fontId="18" fillId="0" borderId="0" xfId="0" applyFont="1" applyAlignment="1">
      <alignment horizontal="center" vertical="center" wrapText="1"/>
    </xf>
    <xf numFmtId="0" fontId="18" fillId="0" borderId="6"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3" xfId="0" applyFont="1" applyBorder="1" applyAlignment="1">
      <alignment horizontal="center" vertical="center" wrapText="1"/>
    </xf>
    <xf numFmtId="0" fontId="18" fillId="2" borderId="0" xfId="0" applyFont="1" applyFill="1">
      <alignment vertical="center"/>
    </xf>
    <xf numFmtId="0" fontId="18" fillId="0" borderId="7"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9" xfId="0" applyFont="1" applyBorder="1" applyAlignment="1">
      <alignment horizontal="center" vertical="center" wrapText="1"/>
    </xf>
    <xf numFmtId="0" fontId="16" fillId="2" borderId="7" xfId="0" applyFont="1" applyFill="1" applyBorder="1" applyAlignment="1"/>
    <xf numFmtId="0" fontId="16" fillId="2" borderId="8" xfId="0" applyFont="1" applyFill="1" applyBorder="1" applyAlignment="1"/>
    <xf numFmtId="0" fontId="13" fillId="2" borderId="8" xfId="0" applyFont="1" applyFill="1" applyBorder="1" applyAlignment="1"/>
    <xf numFmtId="0" fontId="13" fillId="2" borderId="9" xfId="0" applyFont="1" applyFill="1" applyBorder="1" applyAlignment="1"/>
    <xf numFmtId="0" fontId="17" fillId="0" borderId="0" xfId="0" applyFont="1">
      <alignment vertical="center"/>
    </xf>
    <xf numFmtId="0" fontId="16" fillId="0" borderId="0" xfId="0" applyFont="1">
      <alignment vertical="center"/>
    </xf>
    <xf numFmtId="0" fontId="17" fillId="2" borderId="2" xfId="0" applyFont="1" applyFill="1" applyBorder="1">
      <alignment vertical="center"/>
    </xf>
    <xf numFmtId="0" fontId="17" fillId="2" borderId="3" xfId="0" applyFont="1" applyFill="1" applyBorder="1">
      <alignment vertical="center"/>
    </xf>
    <xf numFmtId="0" fontId="16" fillId="2" borderId="10" xfId="0" applyFont="1" applyFill="1" applyBorder="1" applyAlignment="1">
      <alignment horizontal="left" wrapText="1"/>
    </xf>
    <xf numFmtId="0" fontId="16" fillId="2" borderId="3" xfId="0" applyFont="1" applyFill="1" applyBorder="1" applyAlignment="1">
      <alignment wrapText="1"/>
    </xf>
    <xf numFmtId="0" fontId="16" fillId="2" borderId="3" xfId="0" applyFont="1" applyFill="1" applyBorder="1" applyAlignment="1">
      <alignment shrinkToFit="1"/>
    </xf>
    <xf numFmtId="0" fontId="17" fillId="2" borderId="4" xfId="0" applyFont="1" applyFill="1" applyBorder="1">
      <alignment vertical="center"/>
    </xf>
    <xf numFmtId="0" fontId="19" fillId="0" borderId="0" xfId="0" applyFont="1">
      <alignment vertical="center"/>
    </xf>
    <xf numFmtId="0" fontId="17" fillId="2" borderId="5" xfId="0" applyFont="1" applyFill="1" applyBorder="1">
      <alignment vertical="center"/>
    </xf>
    <xf numFmtId="0" fontId="14" fillId="3" borderId="2" xfId="0" applyFont="1" applyFill="1" applyBorder="1" applyAlignment="1">
      <alignment horizontal="center" vertical="center"/>
    </xf>
    <xf numFmtId="0" fontId="14" fillId="3" borderId="3" xfId="0" applyFont="1" applyFill="1" applyBorder="1" applyAlignment="1">
      <alignment horizontal="center" vertical="center"/>
    </xf>
    <xf numFmtId="0" fontId="14" fillId="3" borderId="4" xfId="0" applyFont="1" applyFill="1" applyBorder="1" applyAlignment="1">
      <alignment horizontal="center" vertical="center"/>
    </xf>
    <xf numFmtId="0" fontId="14" fillId="0" borderId="2" xfId="0" applyFont="1" applyBorder="1" applyAlignment="1">
      <alignment horizontal="center" vertical="center"/>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16" fillId="2" borderId="0" xfId="0" applyFont="1" applyFill="1" applyAlignment="1">
      <alignment wrapText="1"/>
    </xf>
    <xf numFmtId="0" fontId="16" fillId="2" borderId="0" xfId="0" applyFont="1" applyFill="1" applyAlignment="1"/>
    <xf numFmtId="0" fontId="20" fillId="2" borderId="0" xfId="0" applyFont="1" applyFill="1" applyAlignment="1"/>
    <xf numFmtId="0" fontId="3" fillId="2" borderId="0" xfId="0" applyFont="1" applyFill="1" applyAlignment="1">
      <alignment horizontal="left" vertical="center" wrapText="1"/>
    </xf>
    <xf numFmtId="0" fontId="17" fillId="2" borderId="6" xfId="0" applyFont="1" applyFill="1" applyBorder="1">
      <alignment vertical="center"/>
    </xf>
    <xf numFmtId="0" fontId="14" fillId="3" borderId="7" xfId="0" applyFont="1" applyFill="1" applyBorder="1" applyAlignment="1">
      <alignment horizontal="center" vertical="center"/>
    </xf>
    <xf numFmtId="0" fontId="14" fillId="3" borderId="8" xfId="0" applyFont="1" applyFill="1" applyBorder="1" applyAlignment="1">
      <alignment horizontal="center" vertical="center"/>
    </xf>
    <xf numFmtId="0" fontId="14" fillId="3" borderId="9" xfId="0" applyFont="1" applyFill="1" applyBorder="1" applyAlignment="1">
      <alignment horizontal="center" vertical="center"/>
    </xf>
    <xf numFmtId="0" fontId="14" fillId="0" borderId="7" xfId="0" applyFont="1" applyBorder="1" applyAlignment="1">
      <alignment horizontal="center" vertical="center"/>
    </xf>
    <xf numFmtId="0" fontId="14" fillId="0" borderId="8" xfId="0" applyFont="1" applyBorder="1" applyAlignment="1">
      <alignment horizontal="center" vertical="center"/>
    </xf>
    <xf numFmtId="0" fontId="14" fillId="0" borderId="9" xfId="0" applyFont="1" applyBorder="1" applyAlignment="1">
      <alignment horizontal="center" vertical="center"/>
    </xf>
    <xf numFmtId="0" fontId="20" fillId="2" borderId="0" xfId="0" applyFont="1" applyFill="1">
      <alignment vertical="center"/>
    </xf>
    <xf numFmtId="0" fontId="16" fillId="2" borderId="0" xfId="0" applyFont="1" applyFill="1" applyAlignment="1">
      <alignment shrinkToFit="1"/>
    </xf>
    <xf numFmtId="0" fontId="3" fillId="2" borderId="0" xfId="0" applyFont="1" applyFill="1" applyAlignment="1">
      <alignment vertical="center" wrapText="1"/>
    </xf>
    <xf numFmtId="0" fontId="16" fillId="2" borderId="0" xfId="0" applyFont="1" applyFill="1" applyAlignment="1">
      <alignment horizontal="left" wrapText="1"/>
    </xf>
    <xf numFmtId="0" fontId="21" fillId="2" borderId="0" xfId="0" applyFont="1" applyFill="1">
      <alignment vertical="center"/>
    </xf>
    <xf numFmtId="0" fontId="20" fillId="2" borderId="0" xfId="0" applyFont="1" applyFill="1" applyAlignment="1">
      <alignment shrinkToFit="1"/>
    </xf>
    <xf numFmtId="0" fontId="20" fillId="2" borderId="0" xfId="0" applyFont="1" applyFill="1" applyAlignment="1">
      <alignment horizontal="left" vertical="center" wrapText="1"/>
    </xf>
    <xf numFmtId="0" fontId="20" fillId="2" borderId="0" xfId="0" applyFont="1" applyFill="1" applyAlignment="1">
      <alignment vertical="center" wrapText="1"/>
    </xf>
    <xf numFmtId="0" fontId="20" fillId="2" borderId="8" xfId="0" applyFont="1" applyFill="1" applyBorder="1" applyAlignment="1">
      <alignment wrapText="1"/>
    </xf>
    <xf numFmtId="0" fontId="20" fillId="2" borderId="0" xfId="0" applyFont="1" applyFill="1" applyAlignment="1">
      <alignment wrapText="1"/>
    </xf>
    <xf numFmtId="0" fontId="21" fillId="2" borderId="0" xfId="0" applyFont="1" applyFill="1" applyAlignment="1">
      <alignment horizontal="left" vertical="center"/>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18" fillId="0" borderId="4" xfId="0" applyFont="1" applyBorder="1" applyAlignment="1">
      <alignment horizontal="center" vertical="center"/>
    </xf>
    <xf numFmtId="0" fontId="22" fillId="0" borderId="2" xfId="0" applyFont="1" applyBorder="1" applyAlignment="1">
      <alignment horizontal="left" vertical="center" wrapText="1"/>
    </xf>
    <xf numFmtId="0" fontId="22" fillId="0" borderId="3" xfId="0" applyFont="1" applyBorder="1" applyAlignment="1">
      <alignment horizontal="left" vertical="center" wrapText="1"/>
    </xf>
    <xf numFmtId="0" fontId="22" fillId="0" borderId="4" xfId="0" applyFont="1" applyBorder="1" applyAlignment="1">
      <alignment horizontal="left" vertical="center" wrapText="1"/>
    </xf>
    <xf numFmtId="0" fontId="23" fillId="2" borderId="0" xfId="0" applyFont="1" applyFill="1" applyAlignment="1">
      <alignment vertical="center" wrapText="1"/>
    </xf>
    <xf numFmtId="0" fontId="24" fillId="0" borderId="1" xfId="0" applyFont="1" applyBorder="1" applyAlignment="1">
      <alignment horizontal="center" vertical="center" shrinkToFit="1"/>
    </xf>
    <xf numFmtId="0" fontId="18" fillId="0" borderId="2" xfId="0" applyFont="1" applyBorder="1" applyAlignment="1">
      <alignment horizontal="center" vertical="center" shrinkToFit="1"/>
    </xf>
    <xf numFmtId="0" fontId="18" fillId="0" borderId="3" xfId="0" applyFont="1" applyBorder="1" applyAlignment="1">
      <alignment horizontal="center" vertical="center" shrinkToFit="1"/>
    </xf>
    <xf numFmtId="0" fontId="18" fillId="0" borderId="4" xfId="0" applyFont="1" applyBorder="1" applyAlignment="1">
      <alignment horizontal="center" vertical="center" shrinkToFit="1"/>
    </xf>
    <xf numFmtId="0" fontId="14" fillId="0" borderId="5" xfId="0" applyFont="1" applyBorder="1" applyAlignment="1">
      <alignment horizontal="center" vertical="center"/>
    </xf>
    <xf numFmtId="0" fontId="14" fillId="0" borderId="0" xfId="0" applyFont="1" applyAlignment="1">
      <alignment horizontal="center" vertical="center"/>
    </xf>
    <xf numFmtId="0" fontId="14" fillId="0" borderId="6" xfId="0" applyFont="1" applyBorder="1" applyAlignment="1">
      <alignment horizontal="center" vertical="center"/>
    </xf>
    <xf numFmtId="0" fontId="18" fillId="0" borderId="5" xfId="0" applyFont="1" applyBorder="1" applyAlignment="1">
      <alignment horizontal="center" vertical="center"/>
    </xf>
    <xf numFmtId="0" fontId="18" fillId="0" borderId="0" xfId="0" applyFont="1" applyAlignment="1">
      <alignment horizontal="center" vertical="center"/>
    </xf>
    <xf numFmtId="0" fontId="18" fillId="0" borderId="6" xfId="0" applyFont="1" applyBorder="1" applyAlignment="1">
      <alignment horizontal="center" vertical="center"/>
    </xf>
    <xf numFmtId="0" fontId="22" fillId="0" borderId="5" xfId="0" applyFont="1" applyBorder="1" applyAlignment="1">
      <alignment horizontal="left" vertical="center" wrapText="1"/>
    </xf>
    <xf numFmtId="0" fontId="22" fillId="0" borderId="0" xfId="0" applyFont="1" applyAlignment="1">
      <alignment horizontal="left" vertical="center" wrapText="1"/>
    </xf>
    <xf numFmtId="0" fontId="22" fillId="0" borderId="6" xfId="0" applyFont="1" applyBorder="1" applyAlignment="1">
      <alignment horizontal="left" vertical="center" wrapText="1"/>
    </xf>
    <xf numFmtId="0" fontId="18" fillId="0" borderId="5" xfId="0" applyFont="1" applyBorder="1" applyAlignment="1">
      <alignment horizontal="center" vertical="center" shrinkToFit="1"/>
    </xf>
    <xf numFmtId="0" fontId="18" fillId="0" borderId="0" xfId="0" applyFont="1" applyAlignment="1">
      <alignment horizontal="center" vertical="center" shrinkToFit="1"/>
    </xf>
    <xf numFmtId="0" fontId="18" fillId="0" borderId="6" xfId="0" applyFont="1" applyBorder="1" applyAlignment="1">
      <alignment horizontal="center" vertical="center" shrinkToFit="1"/>
    </xf>
    <xf numFmtId="0" fontId="18" fillId="0" borderId="4" xfId="0" applyFont="1" applyBorder="1" applyAlignment="1">
      <alignment horizontal="center" vertical="center" wrapText="1"/>
    </xf>
    <xf numFmtId="0" fontId="18" fillId="0" borderId="7" xfId="0" applyFont="1" applyBorder="1" applyAlignment="1">
      <alignment horizontal="center" vertical="center"/>
    </xf>
    <xf numFmtId="0" fontId="18" fillId="0" borderId="8" xfId="0" applyFont="1" applyBorder="1" applyAlignment="1">
      <alignment horizontal="center" vertical="center"/>
    </xf>
    <xf numFmtId="0" fontId="18" fillId="0" borderId="9" xfId="0" applyFont="1" applyBorder="1" applyAlignment="1">
      <alignment horizontal="center" vertical="center"/>
    </xf>
    <xf numFmtId="0" fontId="14" fillId="2" borderId="0" xfId="0" applyFont="1" applyFill="1" applyAlignment="1">
      <alignment horizontal="center" vertical="center"/>
    </xf>
    <xf numFmtId="0" fontId="18" fillId="2" borderId="0" xfId="0" applyFont="1" applyFill="1" applyAlignment="1">
      <alignment horizontal="center" vertical="center"/>
    </xf>
    <xf numFmtId="0" fontId="20" fillId="2" borderId="0" xfId="0" applyFont="1" applyFill="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25" fillId="0" borderId="10" xfId="0" applyFont="1" applyBorder="1">
      <alignment vertical="center"/>
    </xf>
    <xf numFmtId="0" fontId="25" fillId="0" borderId="12" xfId="0" applyFont="1" applyBorder="1">
      <alignment vertical="center"/>
    </xf>
    <xf numFmtId="0" fontId="26" fillId="0" borderId="10" xfId="0" applyFont="1" applyBorder="1">
      <alignment vertical="center"/>
    </xf>
    <xf numFmtId="0" fontId="26" fillId="0" borderId="12" xfId="0" applyFont="1" applyBorder="1">
      <alignment vertical="center"/>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4" xfId="0" applyFont="1" applyBorder="1" applyAlignment="1">
      <alignment horizontal="center" vertical="center" wrapText="1"/>
    </xf>
    <xf numFmtId="0" fontId="25" fillId="0" borderId="10" xfId="0" applyFont="1" applyBorder="1" applyAlignment="1">
      <alignment vertical="center" wrapText="1"/>
    </xf>
    <xf numFmtId="0" fontId="27" fillId="2" borderId="0" xfId="0" applyFont="1" applyFill="1">
      <alignment vertical="center"/>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9" xfId="0" applyFont="1" applyBorder="1" applyAlignment="1">
      <alignment horizontal="center" vertical="center" wrapText="1"/>
    </xf>
    <xf numFmtId="0" fontId="22" fillId="0" borderId="7" xfId="0" applyFont="1" applyBorder="1" applyAlignment="1">
      <alignment horizontal="left" vertical="center" wrapText="1"/>
    </xf>
    <xf numFmtId="0" fontId="22" fillId="0" borderId="8" xfId="0" applyFont="1" applyBorder="1" applyAlignment="1">
      <alignment horizontal="left" vertical="center" wrapText="1"/>
    </xf>
    <xf numFmtId="0" fontId="22" fillId="0" borderId="9" xfId="0" applyFont="1" applyBorder="1" applyAlignment="1">
      <alignment horizontal="left" vertical="center" wrapText="1"/>
    </xf>
    <xf numFmtId="0" fontId="0" fillId="2" borderId="3" xfId="0" applyFill="1" applyBorder="1">
      <alignment vertical="center"/>
    </xf>
    <xf numFmtId="0" fontId="20" fillId="4" borderId="2" xfId="0" applyFont="1" applyFill="1" applyBorder="1" applyAlignment="1">
      <alignment horizontal="center" vertical="center"/>
    </xf>
    <xf numFmtId="0" fontId="20" fillId="4" borderId="3" xfId="0" applyFont="1" applyFill="1" applyBorder="1" applyAlignment="1">
      <alignment horizontal="center" vertical="center"/>
    </xf>
    <xf numFmtId="0" fontId="16" fillId="4" borderId="3" xfId="0" applyFont="1" applyFill="1" applyBorder="1" applyAlignment="1">
      <alignment horizontal="center" vertical="center" wrapText="1"/>
    </xf>
    <xf numFmtId="0" fontId="16" fillId="4" borderId="4" xfId="0" applyFont="1" applyFill="1" applyBorder="1" applyAlignment="1">
      <alignment horizontal="center" vertical="center" wrapText="1"/>
    </xf>
    <xf numFmtId="0" fontId="20" fillId="4" borderId="7" xfId="0" applyFont="1" applyFill="1" applyBorder="1" applyAlignment="1">
      <alignment horizontal="center" vertical="center"/>
    </xf>
    <xf numFmtId="0" fontId="20" fillId="4" borderId="8" xfId="0" applyFont="1" applyFill="1" applyBorder="1" applyAlignment="1">
      <alignment horizontal="center" vertical="center"/>
    </xf>
    <xf numFmtId="0" fontId="16" fillId="4" borderId="8" xfId="0" applyFont="1" applyFill="1" applyBorder="1" applyAlignment="1">
      <alignment horizontal="center" vertical="center" wrapText="1"/>
    </xf>
    <xf numFmtId="0" fontId="16" fillId="4" borderId="9" xfId="0" applyFont="1" applyFill="1" applyBorder="1" applyAlignment="1">
      <alignment horizontal="center" vertical="center" wrapText="1"/>
    </xf>
    <xf numFmtId="0" fontId="23" fillId="2" borderId="0" xfId="0" applyFont="1" applyFill="1">
      <alignment vertical="center"/>
    </xf>
    <xf numFmtId="0" fontId="17" fillId="2" borderId="7" xfId="0" applyFont="1" applyFill="1" applyBorder="1">
      <alignment vertical="center"/>
    </xf>
    <xf numFmtId="0" fontId="17" fillId="2" borderId="8" xfId="0" applyFont="1" applyFill="1" applyBorder="1">
      <alignment vertical="center"/>
    </xf>
    <xf numFmtId="0" fontId="17" fillId="2" borderId="9" xfId="0" applyFont="1" applyFill="1" applyBorder="1">
      <alignment vertical="center"/>
    </xf>
    <xf numFmtId="0" fontId="20" fillId="2" borderId="8" xfId="0" applyFont="1" applyFill="1" applyBorder="1" applyAlignment="1"/>
    <xf numFmtId="0" fontId="24" fillId="0" borderId="1" xfId="0" applyFont="1" applyBorder="1" applyAlignment="1">
      <alignment horizontal="center" vertical="center" wrapText="1" shrinkToFit="1"/>
    </xf>
    <xf numFmtId="0" fontId="18" fillId="0" borderId="7" xfId="0" applyFont="1" applyBorder="1" applyAlignment="1">
      <alignment horizontal="center" vertical="center" shrinkToFit="1"/>
    </xf>
    <xf numFmtId="0" fontId="18" fillId="0" borderId="8" xfId="0" applyFont="1" applyBorder="1" applyAlignment="1">
      <alignment horizontal="center" vertical="center" shrinkToFit="1"/>
    </xf>
    <xf numFmtId="0" fontId="18" fillId="0" borderId="9" xfId="0" applyFont="1" applyBorder="1" applyAlignment="1">
      <alignment horizontal="center" vertical="center" shrinkToFit="1"/>
    </xf>
    <xf numFmtId="0" fontId="0" fillId="2" borderId="0" xfId="0" applyFill="1">
      <alignment vertical="center"/>
    </xf>
    <xf numFmtId="0" fontId="16" fillId="2" borderId="3" xfId="0" applyFont="1" applyFill="1" applyBorder="1" applyAlignment="1">
      <alignment horizontal="left" wrapText="1"/>
    </xf>
    <xf numFmtId="0" fontId="16" fillId="2" borderId="0" xfId="0" applyFont="1" applyFill="1" applyAlignment="1">
      <alignment horizontal="left" wrapText="1"/>
    </xf>
    <xf numFmtId="0" fontId="14" fillId="0" borderId="1" xfId="0" applyFont="1" applyBorder="1" applyAlignment="1">
      <alignment horizontal="center" vertical="center"/>
    </xf>
    <xf numFmtId="0" fontId="24" fillId="0" borderId="2" xfId="0" applyFont="1" applyBorder="1" applyAlignment="1">
      <alignment horizontal="center" vertical="center" wrapText="1"/>
    </xf>
    <xf numFmtId="0" fontId="24" fillId="0" borderId="3"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3" xfId="0" applyFont="1" applyBorder="1" applyAlignment="1">
      <alignment horizontal="center" vertical="center" wrapText="1"/>
    </xf>
    <xf numFmtId="0" fontId="28" fillId="0" borderId="4" xfId="0" applyFont="1" applyBorder="1" applyAlignment="1">
      <alignment horizontal="center" vertical="center" wrapText="1"/>
    </xf>
    <xf numFmtId="0" fontId="24" fillId="0" borderId="5" xfId="0" applyFont="1" applyBorder="1" applyAlignment="1">
      <alignment horizontal="center" vertical="center" wrapText="1"/>
    </xf>
    <xf numFmtId="0" fontId="24" fillId="0" borderId="0" xfId="0" applyFont="1" applyAlignment="1">
      <alignment horizontal="center" vertical="center" wrapText="1"/>
    </xf>
    <xf numFmtId="0" fontId="28" fillId="0" borderId="5" xfId="0" applyFont="1" applyBorder="1" applyAlignment="1">
      <alignment horizontal="center" vertical="center" wrapText="1"/>
    </xf>
    <xf numFmtId="0" fontId="28" fillId="0" borderId="0" xfId="0" applyFont="1" applyAlignment="1">
      <alignment horizontal="center" vertical="center" wrapText="1"/>
    </xf>
    <xf numFmtId="0" fontId="28" fillId="0" borderId="6" xfId="0" applyFont="1" applyBorder="1" applyAlignment="1">
      <alignment horizontal="center" vertical="center" wrapText="1"/>
    </xf>
    <xf numFmtId="0" fontId="24" fillId="0" borderId="4"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11" xfId="0" applyFont="1" applyBorder="1" applyAlignment="1">
      <alignment horizontal="center" vertical="center"/>
    </xf>
    <xf numFmtId="0" fontId="24" fillId="0" borderId="6"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9"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3" xfId="0" applyFont="1" applyBorder="1" applyAlignment="1">
      <alignment horizontal="center" vertical="center" wrapText="1"/>
    </xf>
    <xf numFmtId="0" fontId="25" fillId="0" borderId="4"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3" xfId="0" applyFont="1" applyBorder="1" applyAlignment="1">
      <alignment horizontal="center" vertical="center" wrapText="1"/>
    </xf>
    <xf numFmtId="0" fontId="29" fillId="0" borderId="4"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9"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9" xfId="0" applyFont="1" applyBorder="1" applyAlignment="1">
      <alignment horizontal="center" vertical="center" wrapText="1"/>
    </xf>
    <xf numFmtId="0" fontId="18" fillId="0" borderId="1" xfId="0" applyFont="1" applyBorder="1" applyAlignment="1">
      <alignment horizontal="center" vertical="center" wrapText="1"/>
    </xf>
    <xf numFmtId="0" fontId="20" fillId="2" borderId="6" xfId="0" applyFont="1" applyFill="1" applyBorder="1">
      <alignment vertical="center"/>
    </xf>
    <xf numFmtId="0" fontId="14" fillId="2" borderId="8" xfId="0" applyFont="1" applyFill="1" applyBorder="1" applyAlignment="1">
      <alignment horizontal="center" vertical="center"/>
    </xf>
    <xf numFmtId="0" fontId="22" fillId="0" borderId="0" xfId="0" applyFont="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9" xfId="0" applyFont="1" applyBorder="1" applyAlignment="1">
      <alignment horizontal="center" vertical="center" wrapText="1"/>
    </xf>
    <xf numFmtId="0" fontId="25" fillId="0" borderId="5" xfId="0" applyFont="1" applyBorder="1" applyAlignment="1">
      <alignment horizontal="center" vertical="center" wrapText="1"/>
    </xf>
    <xf numFmtId="0" fontId="25" fillId="0" borderId="0" xfId="0" applyFont="1" applyAlignment="1">
      <alignment horizontal="center" vertical="center" wrapText="1"/>
    </xf>
    <xf numFmtId="0" fontId="25" fillId="0" borderId="6"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3" xfId="0" applyFont="1" applyBorder="1" applyAlignment="1">
      <alignment horizontal="center" vertical="center" wrapText="1"/>
    </xf>
    <xf numFmtId="0" fontId="30" fillId="0" borderId="4" xfId="0" applyFont="1" applyBorder="1" applyAlignment="1">
      <alignment horizontal="center" vertical="center" wrapText="1"/>
    </xf>
    <xf numFmtId="0" fontId="30" fillId="0" borderId="5" xfId="0" applyFont="1" applyBorder="1" applyAlignment="1">
      <alignment horizontal="center" vertical="center" wrapText="1"/>
    </xf>
    <xf numFmtId="0" fontId="30" fillId="0" borderId="0" xfId="0" applyFont="1" applyAlignment="1">
      <alignment horizontal="center" vertical="center" wrapText="1"/>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9" xfId="0" applyFont="1" applyBorder="1" applyAlignment="1">
      <alignment horizontal="center" vertical="center" wrapText="1"/>
    </xf>
    <xf numFmtId="0" fontId="16" fillId="2" borderId="0" xfId="0" applyFont="1" applyFill="1" applyAlignment="1">
      <alignment horizontal="left" vertical="center" wrapText="1"/>
    </xf>
    <xf numFmtId="0" fontId="24" fillId="0" borderId="2" xfId="0" applyFont="1" applyBorder="1" applyAlignment="1">
      <alignment horizontal="center" vertical="center" shrinkToFit="1"/>
    </xf>
    <xf numFmtId="0" fontId="24" fillId="0" borderId="3" xfId="0" applyFont="1" applyBorder="1" applyAlignment="1">
      <alignment horizontal="center" vertical="center" shrinkToFit="1"/>
    </xf>
    <xf numFmtId="0" fontId="24" fillId="0" borderId="4" xfId="0" applyFont="1" applyBorder="1" applyAlignment="1">
      <alignment horizontal="center" vertical="center" shrinkToFit="1"/>
    </xf>
    <xf numFmtId="0" fontId="24" fillId="0" borderId="5" xfId="0" applyFont="1" applyBorder="1" applyAlignment="1">
      <alignment horizontal="center" vertical="center" shrinkToFit="1"/>
    </xf>
    <xf numFmtId="0" fontId="24" fillId="0" borderId="0" xfId="0" applyFont="1" applyAlignment="1">
      <alignment horizontal="center" vertical="center" shrinkToFit="1"/>
    </xf>
    <xf numFmtId="0" fontId="24" fillId="0" borderId="6" xfId="0" applyFont="1" applyBorder="1" applyAlignment="1">
      <alignment horizontal="center" vertical="center" shrinkToFit="1"/>
    </xf>
    <xf numFmtId="0" fontId="24" fillId="0" borderId="7" xfId="0" applyFont="1" applyBorder="1" applyAlignment="1">
      <alignment horizontal="center" vertical="center" shrinkToFit="1"/>
    </xf>
    <xf numFmtId="0" fontId="24" fillId="0" borderId="8" xfId="0" applyFont="1" applyBorder="1" applyAlignment="1">
      <alignment horizontal="center" vertical="center" shrinkToFit="1"/>
    </xf>
    <xf numFmtId="0" fontId="24" fillId="0" borderId="9" xfId="0" applyFont="1" applyBorder="1" applyAlignment="1">
      <alignment horizontal="center" vertical="center" shrinkToFit="1"/>
    </xf>
    <xf numFmtId="0" fontId="16" fillId="2" borderId="8" xfId="0" applyFont="1" applyFill="1" applyBorder="1" applyAlignment="1">
      <alignment horizontal="left" wrapText="1"/>
    </xf>
    <xf numFmtId="0" fontId="24" fillId="2" borderId="0" xfId="0" applyFont="1" applyFill="1" applyAlignment="1">
      <alignment horizontal="left" vertical="center"/>
    </xf>
    <xf numFmtId="0" fontId="12" fillId="2" borderId="0" xfId="0" applyFont="1" applyFill="1">
      <alignmen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5" xfId="0" applyFont="1" applyBorder="1" applyAlignment="1">
      <alignment horizontal="left" vertical="center"/>
    </xf>
    <xf numFmtId="0" fontId="22" fillId="0" borderId="0" xfId="0" applyFont="1" applyAlignment="1">
      <alignment horizontal="left" vertical="center"/>
    </xf>
    <xf numFmtId="0" fontId="22" fillId="0" borderId="6" xfId="0" applyFont="1" applyBorder="1" applyAlignment="1">
      <alignment horizontal="left" vertical="center"/>
    </xf>
    <xf numFmtId="0" fontId="22" fillId="0" borderId="7" xfId="0" applyFont="1" applyBorder="1" applyAlignment="1">
      <alignment horizontal="left" vertical="center"/>
    </xf>
    <xf numFmtId="0" fontId="22" fillId="0" borderId="8" xfId="0" applyFont="1" applyBorder="1" applyAlignment="1">
      <alignment horizontal="left" vertical="center"/>
    </xf>
    <xf numFmtId="0" fontId="22" fillId="0" borderId="9" xfId="0" applyFont="1" applyBorder="1" applyAlignment="1">
      <alignment horizontal="left" vertical="center"/>
    </xf>
    <xf numFmtId="0" fontId="29" fillId="0" borderId="1" xfId="0" applyFont="1" applyBorder="1" applyAlignment="1">
      <alignment horizontal="center" vertical="center" wrapText="1"/>
    </xf>
    <xf numFmtId="0" fontId="17" fillId="0" borderId="1" xfId="0" applyFont="1" applyBorder="1" applyAlignment="1">
      <alignment horizontal="center" vertical="center" wrapText="1"/>
    </xf>
    <xf numFmtId="0" fontId="26" fillId="0" borderId="2" xfId="0" applyFont="1" applyBorder="1" applyAlignment="1">
      <alignment horizontal="left" vertical="center" wrapText="1"/>
    </xf>
    <xf numFmtId="0" fontId="26" fillId="0" borderId="3" xfId="0" applyFont="1" applyBorder="1" applyAlignment="1">
      <alignment horizontal="left" vertical="center" wrapText="1"/>
    </xf>
    <xf numFmtId="0" fontId="26" fillId="0" borderId="4" xfId="0" applyFont="1" applyBorder="1" applyAlignment="1">
      <alignment horizontal="left" vertical="center" wrapText="1"/>
    </xf>
    <xf numFmtId="0" fontId="26" fillId="0" borderId="5" xfId="0" applyFont="1" applyBorder="1" applyAlignment="1">
      <alignment horizontal="left" vertical="center" wrapText="1"/>
    </xf>
    <xf numFmtId="0" fontId="26" fillId="0" borderId="0" xfId="0" applyFont="1" applyAlignment="1">
      <alignment horizontal="left" vertical="center" wrapText="1"/>
    </xf>
    <xf numFmtId="0" fontId="26" fillId="0" borderId="6" xfId="0" applyFont="1" applyBorder="1" applyAlignment="1">
      <alignment horizontal="left" vertical="center" wrapText="1"/>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26" fillId="0" borderId="9" xfId="0" applyFont="1" applyBorder="1" applyAlignment="1">
      <alignment horizontal="left" vertical="center" wrapText="1"/>
    </xf>
    <xf numFmtId="0" fontId="31" fillId="0" borderId="2" xfId="0" applyFont="1" applyBorder="1" applyAlignment="1">
      <alignment horizontal="center" vertical="center" wrapText="1"/>
    </xf>
    <xf numFmtId="0" fontId="31" fillId="0" borderId="3" xfId="0" applyFont="1" applyBorder="1" applyAlignment="1">
      <alignment horizontal="center" vertical="center" wrapText="1"/>
    </xf>
    <xf numFmtId="0" fontId="31" fillId="0" borderId="4" xfId="0" applyFont="1" applyBorder="1" applyAlignment="1">
      <alignment horizontal="center" vertical="center" wrapText="1"/>
    </xf>
    <xf numFmtId="0" fontId="17" fillId="0" borderId="1" xfId="0" quotePrefix="1" applyFont="1" applyBorder="1" applyAlignment="1">
      <alignment horizontal="center" vertical="center" wrapText="1"/>
    </xf>
    <xf numFmtId="0" fontId="29" fillId="0" borderId="5" xfId="0" applyFont="1" applyBorder="1" applyAlignment="1">
      <alignment horizontal="center" vertical="center" wrapText="1"/>
    </xf>
    <xf numFmtId="0" fontId="29" fillId="0" borderId="0" xfId="0" applyFont="1" applyAlignment="1">
      <alignment horizontal="center" vertical="center" wrapText="1"/>
    </xf>
    <xf numFmtId="0" fontId="29" fillId="0" borderId="6" xfId="0" applyFont="1" applyBorder="1" applyAlignment="1">
      <alignment horizontal="center" vertical="center" wrapText="1"/>
    </xf>
    <xf numFmtId="0" fontId="31" fillId="0" borderId="5" xfId="0" applyFont="1" applyBorder="1" applyAlignment="1">
      <alignment horizontal="center" vertical="center" wrapText="1"/>
    </xf>
    <xf numFmtId="0" fontId="31" fillId="0" borderId="0" xfId="0" applyFont="1" applyAlignment="1">
      <alignment horizontal="center" vertical="center" wrapText="1"/>
    </xf>
    <xf numFmtId="0" fontId="31" fillId="0" borderId="6" xfId="0" applyFont="1" applyBorder="1" applyAlignment="1">
      <alignment horizontal="center" vertical="center" wrapText="1"/>
    </xf>
    <xf numFmtId="0" fontId="31" fillId="0" borderId="7" xfId="0" applyFont="1" applyBorder="1" applyAlignment="1">
      <alignment horizontal="center" vertical="center" wrapText="1"/>
    </xf>
    <xf numFmtId="0" fontId="31" fillId="0" borderId="8" xfId="0" applyFont="1" applyBorder="1" applyAlignment="1">
      <alignment horizontal="center" vertical="center" wrapText="1"/>
    </xf>
    <xf numFmtId="0" fontId="31" fillId="0" borderId="9" xfId="0" applyFont="1" applyBorder="1" applyAlignment="1">
      <alignment horizontal="center" vertical="center" wrapText="1"/>
    </xf>
    <xf numFmtId="0" fontId="32" fillId="0" borderId="0" xfId="0" applyFont="1" applyAlignment="1">
      <alignment horizontal="left" vertical="center" wrapText="1"/>
    </xf>
    <xf numFmtId="0" fontId="0" fillId="2" borderId="2" xfId="0" applyFill="1" applyBorder="1">
      <alignment vertical="center"/>
    </xf>
    <xf numFmtId="0" fontId="12" fillId="2" borderId="3" xfId="0" applyFont="1" applyFill="1" applyBorder="1">
      <alignment vertical="center"/>
    </xf>
    <xf numFmtId="0" fontId="0" fillId="2" borderId="4" xfId="0" applyFill="1" applyBorder="1">
      <alignment vertical="center"/>
    </xf>
    <xf numFmtId="0" fontId="0" fillId="2" borderId="5" xfId="0" applyFill="1" applyBorder="1">
      <alignment vertical="center"/>
    </xf>
    <xf numFmtId="0" fontId="6" fillId="4" borderId="2" xfId="0" applyFont="1" applyFill="1" applyBorder="1" applyAlignment="1">
      <alignment horizontal="left" vertical="top" wrapText="1"/>
    </xf>
    <xf numFmtId="0" fontId="6" fillId="4" borderId="3" xfId="0" applyFont="1" applyFill="1" applyBorder="1" applyAlignment="1">
      <alignment horizontal="left" vertical="top" wrapText="1"/>
    </xf>
    <xf numFmtId="0" fontId="6" fillId="4" borderId="4" xfId="0" applyFont="1" applyFill="1" applyBorder="1" applyAlignment="1">
      <alignment horizontal="left" vertical="top" wrapText="1"/>
    </xf>
    <xf numFmtId="0" fontId="0" fillId="2" borderId="6" xfId="0" applyFill="1" applyBorder="1">
      <alignment vertical="center"/>
    </xf>
    <xf numFmtId="0" fontId="6" fillId="4" borderId="5" xfId="0" applyFont="1" applyFill="1" applyBorder="1" applyAlignment="1">
      <alignment horizontal="left" vertical="top" wrapText="1"/>
    </xf>
    <xf numFmtId="0" fontId="6" fillId="4" borderId="0" xfId="0" applyFont="1" applyFill="1" applyAlignment="1">
      <alignment horizontal="left" vertical="top" wrapText="1"/>
    </xf>
    <xf numFmtId="0" fontId="6" fillId="4" borderId="6" xfId="0" applyFont="1" applyFill="1" applyBorder="1" applyAlignment="1">
      <alignment horizontal="left" vertical="top" wrapText="1"/>
    </xf>
    <xf numFmtId="0" fontId="6" fillId="4" borderId="7" xfId="0" applyFont="1" applyFill="1" applyBorder="1" applyAlignment="1">
      <alignment horizontal="left" vertical="top" wrapText="1"/>
    </xf>
    <xf numFmtId="0" fontId="6" fillId="4" borderId="8" xfId="0" applyFont="1" applyFill="1" applyBorder="1" applyAlignment="1">
      <alignment horizontal="left" vertical="top" wrapText="1"/>
    </xf>
    <xf numFmtId="0" fontId="6" fillId="4" borderId="9" xfId="0" applyFont="1" applyFill="1" applyBorder="1" applyAlignment="1">
      <alignment horizontal="left" vertical="top" wrapText="1"/>
    </xf>
    <xf numFmtId="0" fontId="0" fillId="2" borderId="7" xfId="0" applyFill="1" applyBorder="1">
      <alignment vertical="center"/>
    </xf>
    <xf numFmtId="0" fontId="0" fillId="2" borderId="8" xfId="0" applyFill="1" applyBorder="1">
      <alignment vertical="center"/>
    </xf>
    <xf numFmtId="0" fontId="0" fillId="2" borderId="9" xfId="0" applyFill="1" applyBorder="1">
      <alignment vertical="center"/>
    </xf>
  </cellXfs>
  <cellStyles count="1">
    <cellStyle name="標準" xfId="0" builtinId="0"/>
  </cellStyles>
  <dxfs count="26">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theme" Target="theme/theme1.xml"/><Relationship Id="rId3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3C311DAB-7D18-40DE-9F9B-0ED962529A5A}"/>
            </a:ext>
          </a:extLst>
        </xdr:cNvPr>
        <xdr:cNvSpPr/>
      </xdr:nvSpPr>
      <xdr:spPr>
        <a:xfrm>
          <a:off x="213879" y="99950"/>
          <a:ext cx="138303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F1451676-9593-4E75-8B05-98D3ED9ABA62}"/>
            </a:ext>
          </a:extLst>
        </xdr:cNvPr>
        <xdr:cNvSpPr/>
      </xdr:nvSpPr>
      <xdr:spPr>
        <a:xfrm>
          <a:off x="421163" y="2555504"/>
          <a:ext cx="281304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A899F6D1-3CE2-4989-9FEB-B4A5645F6FBE}"/>
            </a:ext>
          </a:extLst>
        </xdr:cNvPr>
        <xdr:cNvSpPr/>
      </xdr:nvSpPr>
      <xdr:spPr>
        <a:xfrm>
          <a:off x="442274" y="5346204"/>
          <a:ext cx="5114924"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B4DC6D7E-47A8-443B-93DB-8328A310A16D}"/>
            </a:ext>
          </a:extLst>
        </xdr:cNvPr>
        <xdr:cNvSpPr/>
      </xdr:nvSpPr>
      <xdr:spPr>
        <a:xfrm>
          <a:off x="3494105" y="11257065"/>
          <a:ext cx="42545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94D0FC9-BDA1-44E4-A975-6954A620AE12}"/>
            </a:ext>
          </a:extLst>
        </xdr:cNvPr>
        <xdr:cNvSpPr/>
      </xdr:nvSpPr>
      <xdr:spPr>
        <a:xfrm>
          <a:off x="3469368" y="7747454"/>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FC6482CF-77EA-407E-B548-2C115B2850C6}"/>
            </a:ext>
          </a:extLst>
        </xdr:cNvPr>
        <xdr:cNvSpPr/>
      </xdr:nvSpPr>
      <xdr:spPr>
        <a:xfrm>
          <a:off x="3502025" y="170211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C9915B6E-360D-430D-8334-45B0AB99CD38}"/>
            </a:ext>
          </a:extLst>
        </xdr:cNvPr>
        <xdr:cNvSpPr/>
      </xdr:nvSpPr>
      <xdr:spPr>
        <a:xfrm>
          <a:off x="3502025" y="1388427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29FF544E-5AE2-4FD9-9A30-EA246FFEBCDE}"/>
            </a:ext>
          </a:extLst>
        </xdr:cNvPr>
        <xdr:cNvSpPr/>
      </xdr:nvSpPr>
      <xdr:spPr>
        <a:xfrm>
          <a:off x="3502025" y="6946582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8F15AA5A-7D6C-4E01-9BB8-38BC0092ECD2}"/>
            </a:ext>
          </a:extLst>
        </xdr:cNvPr>
        <xdr:cNvSpPr/>
      </xdr:nvSpPr>
      <xdr:spPr>
        <a:xfrm>
          <a:off x="3502025" y="66319400"/>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76266658-B0D7-47F9-BF13-EA17258D890E}"/>
            </a:ext>
          </a:extLst>
        </xdr:cNvPr>
        <xdr:cNvSpPr/>
      </xdr:nvSpPr>
      <xdr:spPr>
        <a:xfrm>
          <a:off x="3502025" y="5766435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2C2DE244-D2AC-4840-8D5C-2AFA20B20AC3}"/>
            </a:ext>
          </a:extLst>
        </xdr:cNvPr>
        <xdr:cNvSpPr/>
      </xdr:nvSpPr>
      <xdr:spPr>
        <a:xfrm>
          <a:off x="3502025" y="5451792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2E8CEAF1-BEA1-450F-8FA1-D25AF97C0966}"/>
            </a:ext>
          </a:extLst>
        </xdr:cNvPr>
        <xdr:cNvSpPr/>
      </xdr:nvSpPr>
      <xdr:spPr>
        <a:xfrm>
          <a:off x="448540" y="70469291"/>
          <a:ext cx="8905875"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283D93E3-1C06-4D7E-B94F-440084823BAD}"/>
            </a:ext>
          </a:extLst>
        </xdr:cNvPr>
        <xdr:cNvSpPr/>
      </xdr:nvSpPr>
      <xdr:spPr>
        <a:xfrm>
          <a:off x="3502025" y="19970750"/>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000A8421-8B06-4FB4-BE37-B07C24577F09}"/>
            </a:ext>
          </a:extLst>
        </xdr:cNvPr>
        <xdr:cNvSpPr/>
      </xdr:nvSpPr>
      <xdr:spPr>
        <a:xfrm>
          <a:off x="3502025" y="5166360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A6740E06-6AA3-473B-BE3A-4C1428237C8A}"/>
            </a:ext>
          </a:extLst>
        </xdr:cNvPr>
        <xdr:cNvSpPr/>
      </xdr:nvSpPr>
      <xdr:spPr>
        <a:xfrm>
          <a:off x="3502025" y="48526700"/>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BFAC8400-003B-493B-9370-C4947F557F12}"/>
            </a:ext>
          </a:extLst>
        </xdr:cNvPr>
        <xdr:cNvSpPr/>
      </xdr:nvSpPr>
      <xdr:spPr>
        <a:xfrm>
          <a:off x="3502025" y="636555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0CB4B98C-530A-4F14-9767-FDD29F162989}"/>
            </a:ext>
          </a:extLst>
        </xdr:cNvPr>
        <xdr:cNvSpPr/>
      </xdr:nvSpPr>
      <xdr:spPr>
        <a:xfrm>
          <a:off x="3502025" y="6051867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583F83A7-D77A-415C-B915-009C62FD61D2}"/>
            </a:ext>
          </a:extLst>
        </xdr:cNvPr>
        <xdr:cNvSpPr/>
      </xdr:nvSpPr>
      <xdr:spPr>
        <a:xfrm>
          <a:off x="3502025" y="3949065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3384C153-CE40-4F11-A940-24964D13B7B1}"/>
            </a:ext>
          </a:extLst>
        </xdr:cNvPr>
        <xdr:cNvSpPr/>
      </xdr:nvSpPr>
      <xdr:spPr>
        <a:xfrm>
          <a:off x="3502025" y="42440225"/>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B2278B2F-4048-4E2B-B101-6E9ADF51C93C}"/>
            </a:ext>
          </a:extLst>
        </xdr:cNvPr>
        <xdr:cNvSpPr/>
      </xdr:nvSpPr>
      <xdr:spPr>
        <a:xfrm>
          <a:off x="7167245" y="53881655"/>
          <a:ext cx="5778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F03B8E34-CD7D-4DB7-A2C0-1EDB6AAC8E93}"/>
            </a:ext>
          </a:extLst>
        </xdr:cNvPr>
        <xdr:cNvSpPr/>
      </xdr:nvSpPr>
      <xdr:spPr>
        <a:xfrm>
          <a:off x="3502025" y="26623434"/>
          <a:ext cx="42545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DF624BE1-3AD0-400F-8AE7-7056D94ACE5B}"/>
            </a:ext>
          </a:extLst>
        </xdr:cNvPr>
        <xdr:cNvSpPr/>
      </xdr:nvSpPr>
      <xdr:spPr>
        <a:xfrm>
          <a:off x="3411007" y="32674984"/>
          <a:ext cx="53763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FD479EA2-2CE2-47B1-86CB-F5F21646E2FA}"/>
            </a:ext>
          </a:extLst>
        </xdr:cNvPr>
        <xdr:cNvSpPr/>
      </xdr:nvSpPr>
      <xdr:spPr>
        <a:xfrm>
          <a:off x="70770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BEB9C14B-51F9-4344-976A-3D29722FE37A}"/>
            </a:ext>
          </a:extLst>
        </xdr:cNvPr>
        <xdr:cNvSpPr/>
      </xdr:nvSpPr>
      <xdr:spPr>
        <a:xfrm>
          <a:off x="3506259" y="30267275"/>
          <a:ext cx="42545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AE7BD4A0-D914-4FB7-BEAE-3D995D97C003}"/>
            </a:ext>
          </a:extLst>
        </xdr:cNvPr>
        <xdr:cNvSpPr/>
      </xdr:nvSpPr>
      <xdr:spPr>
        <a:xfrm>
          <a:off x="3502025" y="456723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992EB7B1-6998-481E-986B-36B9E43E874A}"/>
            </a:ext>
          </a:extLst>
        </xdr:cNvPr>
        <xdr:cNvSpPr/>
      </xdr:nvSpPr>
      <xdr:spPr>
        <a:xfrm>
          <a:off x="3479800" y="23228300"/>
          <a:ext cx="4191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C2FB07FD-432B-4CD5-BD82-6A8959199BEA}"/>
            </a:ext>
          </a:extLst>
        </xdr:cNvPr>
        <xdr:cNvSpPr/>
      </xdr:nvSpPr>
      <xdr:spPr>
        <a:xfrm>
          <a:off x="213879" y="99950"/>
          <a:ext cx="138303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EBFC9C12-033B-453C-99A7-949DF49561C7}"/>
            </a:ext>
          </a:extLst>
        </xdr:cNvPr>
        <xdr:cNvSpPr/>
      </xdr:nvSpPr>
      <xdr:spPr>
        <a:xfrm>
          <a:off x="421163" y="2555504"/>
          <a:ext cx="281304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F9677C2C-FB6A-4070-98F2-69811777D5D2}"/>
            </a:ext>
          </a:extLst>
        </xdr:cNvPr>
        <xdr:cNvSpPr/>
      </xdr:nvSpPr>
      <xdr:spPr>
        <a:xfrm>
          <a:off x="442274" y="5346204"/>
          <a:ext cx="5114924"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8E684C05-F74E-493C-B799-26882602A296}"/>
            </a:ext>
          </a:extLst>
        </xdr:cNvPr>
        <xdr:cNvSpPr/>
      </xdr:nvSpPr>
      <xdr:spPr>
        <a:xfrm>
          <a:off x="3494105" y="11257065"/>
          <a:ext cx="42545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73CBD924-2572-44B4-871C-43C6B0687A07}"/>
            </a:ext>
          </a:extLst>
        </xdr:cNvPr>
        <xdr:cNvSpPr/>
      </xdr:nvSpPr>
      <xdr:spPr>
        <a:xfrm>
          <a:off x="3469368" y="7747454"/>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7825C6E1-BB5A-456B-8108-F642FE435DC2}"/>
            </a:ext>
          </a:extLst>
        </xdr:cNvPr>
        <xdr:cNvSpPr/>
      </xdr:nvSpPr>
      <xdr:spPr>
        <a:xfrm>
          <a:off x="3502025" y="170211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6CFE5F62-60D0-4E78-A789-B7EADDED8366}"/>
            </a:ext>
          </a:extLst>
        </xdr:cNvPr>
        <xdr:cNvSpPr/>
      </xdr:nvSpPr>
      <xdr:spPr>
        <a:xfrm>
          <a:off x="3502025" y="1388427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B954FB02-CA87-4E9E-9F94-6968F2E0E778}"/>
            </a:ext>
          </a:extLst>
        </xdr:cNvPr>
        <xdr:cNvSpPr/>
      </xdr:nvSpPr>
      <xdr:spPr>
        <a:xfrm>
          <a:off x="3502025" y="6946582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991A7512-B738-49BC-9EC9-94DB82A86F04}"/>
            </a:ext>
          </a:extLst>
        </xdr:cNvPr>
        <xdr:cNvSpPr/>
      </xdr:nvSpPr>
      <xdr:spPr>
        <a:xfrm>
          <a:off x="3502025" y="66319400"/>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AD517BBA-B900-4CAB-A872-50F67E1F32D8}"/>
            </a:ext>
          </a:extLst>
        </xdr:cNvPr>
        <xdr:cNvSpPr/>
      </xdr:nvSpPr>
      <xdr:spPr>
        <a:xfrm>
          <a:off x="3502025" y="5766435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397ACE38-5935-4AB3-983F-8F0E18BB28C2}"/>
            </a:ext>
          </a:extLst>
        </xdr:cNvPr>
        <xdr:cNvSpPr/>
      </xdr:nvSpPr>
      <xdr:spPr>
        <a:xfrm>
          <a:off x="3502025" y="5451792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BB391478-BCA8-4417-9983-A1948EEF6526}"/>
            </a:ext>
          </a:extLst>
        </xdr:cNvPr>
        <xdr:cNvSpPr/>
      </xdr:nvSpPr>
      <xdr:spPr>
        <a:xfrm>
          <a:off x="448540" y="70469291"/>
          <a:ext cx="8905875"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08377F6E-34A2-4A27-A022-5C2D83EB1D63}"/>
            </a:ext>
          </a:extLst>
        </xdr:cNvPr>
        <xdr:cNvSpPr/>
      </xdr:nvSpPr>
      <xdr:spPr>
        <a:xfrm>
          <a:off x="3502025" y="19970750"/>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F8843F01-68B1-44B2-AC0E-1622DBCDBBE0}"/>
            </a:ext>
          </a:extLst>
        </xdr:cNvPr>
        <xdr:cNvSpPr/>
      </xdr:nvSpPr>
      <xdr:spPr>
        <a:xfrm>
          <a:off x="3502025" y="5166360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8543BA71-CBCA-461B-B0D5-B9633F80F72F}"/>
            </a:ext>
          </a:extLst>
        </xdr:cNvPr>
        <xdr:cNvSpPr/>
      </xdr:nvSpPr>
      <xdr:spPr>
        <a:xfrm>
          <a:off x="3502025" y="48526700"/>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30565F3B-4B89-4707-8CA9-1C5F0A2D5A44}"/>
            </a:ext>
          </a:extLst>
        </xdr:cNvPr>
        <xdr:cNvSpPr/>
      </xdr:nvSpPr>
      <xdr:spPr>
        <a:xfrm>
          <a:off x="3502025" y="636555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1931E6B8-9FD0-4F17-826F-F23DA275A981}"/>
            </a:ext>
          </a:extLst>
        </xdr:cNvPr>
        <xdr:cNvSpPr/>
      </xdr:nvSpPr>
      <xdr:spPr>
        <a:xfrm>
          <a:off x="3502025" y="6051867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6BCC8503-C139-4529-9C18-138F4C0B98BA}"/>
            </a:ext>
          </a:extLst>
        </xdr:cNvPr>
        <xdr:cNvSpPr/>
      </xdr:nvSpPr>
      <xdr:spPr>
        <a:xfrm>
          <a:off x="3502025" y="3949065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5AB3F6C7-B0CD-46FB-A4A7-002D61A09BB9}"/>
            </a:ext>
          </a:extLst>
        </xdr:cNvPr>
        <xdr:cNvSpPr/>
      </xdr:nvSpPr>
      <xdr:spPr>
        <a:xfrm>
          <a:off x="3502025" y="42440225"/>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D1314965-C47A-48D2-B3B6-791521C5B4C1}"/>
            </a:ext>
          </a:extLst>
        </xdr:cNvPr>
        <xdr:cNvSpPr/>
      </xdr:nvSpPr>
      <xdr:spPr>
        <a:xfrm>
          <a:off x="7167245" y="53881655"/>
          <a:ext cx="5778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785F2B39-C60A-4B82-9FB4-1A7E2DFBE03A}"/>
            </a:ext>
          </a:extLst>
        </xdr:cNvPr>
        <xdr:cNvSpPr/>
      </xdr:nvSpPr>
      <xdr:spPr>
        <a:xfrm>
          <a:off x="3502025" y="26623434"/>
          <a:ext cx="42545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13502D4D-82A9-472A-8FEF-BEAEAB99A7F9}"/>
            </a:ext>
          </a:extLst>
        </xdr:cNvPr>
        <xdr:cNvSpPr/>
      </xdr:nvSpPr>
      <xdr:spPr>
        <a:xfrm>
          <a:off x="3411007" y="32674984"/>
          <a:ext cx="53763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8FD9EF5E-78C4-45FB-AD9B-7C64111A8C0C}"/>
            </a:ext>
          </a:extLst>
        </xdr:cNvPr>
        <xdr:cNvSpPr/>
      </xdr:nvSpPr>
      <xdr:spPr>
        <a:xfrm>
          <a:off x="70770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91974CD0-359B-4AAB-A6AD-8643498A4B99}"/>
            </a:ext>
          </a:extLst>
        </xdr:cNvPr>
        <xdr:cNvSpPr/>
      </xdr:nvSpPr>
      <xdr:spPr>
        <a:xfrm>
          <a:off x="3506259" y="30267275"/>
          <a:ext cx="42545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5E388E5-3929-45BE-AF2A-37F1AF7D9CB4}"/>
            </a:ext>
          </a:extLst>
        </xdr:cNvPr>
        <xdr:cNvSpPr/>
      </xdr:nvSpPr>
      <xdr:spPr>
        <a:xfrm>
          <a:off x="3502025" y="456723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6D311F1E-8C40-4A40-BC0B-5DBCBE2DA924}"/>
            </a:ext>
          </a:extLst>
        </xdr:cNvPr>
        <xdr:cNvSpPr/>
      </xdr:nvSpPr>
      <xdr:spPr>
        <a:xfrm>
          <a:off x="3479800" y="23228300"/>
          <a:ext cx="4191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3A3A9460-8693-4DF7-8ACC-DA5955421E62}"/>
            </a:ext>
          </a:extLst>
        </xdr:cNvPr>
        <xdr:cNvSpPr/>
      </xdr:nvSpPr>
      <xdr:spPr>
        <a:xfrm>
          <a:off x="213879" y="99950"/>
          <a:ext cx="138303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FF5B2EA2-10DD-4E80-8E78-B63F81D0845A}"/>
            </a:ext>
          </a:extLst>
        </xdr:cNvPr>
        <xdr:cNvSpPr/>
      </xdr:nvSpPr>
      <xdr:spPr>
        <a:xfrm>
          <a:off x="421163" y="2555504"/>
          <a:ext cx="281304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4EA9A74E-106B-4D06-9071-8B234449B59C}"/>
            </a:ext>
          </a:extLst>
        </xdr:cNvPr>
        <xdr:cNvSpPr/>
      </xdr:nvSpPr>
      <xdr:spPr>
        <a:xfrm>
          <a:off x="442274" y="5346204"/>
          <a:ext cx="5114924"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779D57D3-7F2D-40E6-B570-DEF53B978182}"/>
            </a:ext>
          </a:extLst>
        </xdr:cNvPr>
        <xdr:cNvSpPr/>
      </xdr:nvSpPr>
      <xdr:spPr>
        <a:xfrm>
          <a:off x="3494105" y="11257065"/>
          <a:ext cx="42545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3C9C1C31-54A8-497F-B122-D586E64D5782}"/>
            </a:ext>
          </a:extLst>
        </xdr:cNvPr>
        <xdr:cNvSpPr/>
      </xdr:nvSpPr>
      <xdr:spPr>
        <a:xfrm>
          <a:off x="3469368" y="7747454"/>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94012DA1-CDAC-493F-BB35-1265A85D6C35}"/>
            </a:ext>
          </a:extLst>
        </xdr:cNvPr>
        <xdr:cNvSpPr/>
      </xdr:nvSpPr>
      <xdr:spPr>
        <a:xfrm>
          <a:off x="3502025" y="170211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49D4C42F-439D-472E-80BD-73F39AA9E47B}"/>
            </a:ext>
          </a:extLst>
        </xdr:cNvPr>
        <xdr:cNvSpPr/>
      </xdr:nvSpPr>
      <xdr:spPr>
        <a:xfrm>
          <a:off x="3502025" y="1388427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2D6E46C4-80DB-4C67-AFE0-85BCBBD8B109}"/>
            </a:ext>
          </a:extLst>
        </xdr:cNvPr>
        <xdr:cNvSpPr/>
      </xdr:nvSpPr>
      <xdr:spPr>
        <a:xfrm>
          <a:off x="3502025" y="6946582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3F48585B-EF8F-48EA-A29A-8398DC964071}"/>
            </a:ext>
          </a:extLst>
        </xdr:cNvPr>
        <xdr:cNvSpPr/>
      </xdr:nvSpPr>
      <xdr:spPr>
        <a:xfrm>
          <a:off x="3502025" y="66319400"/>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9956C98A-C157-40F3-9E30-D33C2840C60E}"/>
            </a:ext>
          </a:extLst>
        </xdr:cNvPr>
        <xdr:cNvSpPr/>
      </xdr:nvSpPr>
      <xdr:spPr>
        <a:xfrm>
          <a:off x="3502025" y="5766435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5C1AF749-4857-4888-9E8F-2A8B366F94B4}"/>
            </a:ext>
          </a:extLst>
        </xdr:cNvPr>
        <xdr:cNvSpPr/>
      </xdr:nvSpPr>
      <xdr:spPr>
        <a:xfrm>
          <a:off x="3502025" y="5451792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80BE52BB-E1E9-48C6-8582-2D0297FC3D10}"/>
            </a:ext>
          </a:extLst>
        </xdr:cNvPr>
        <xdr:cNvSpPr/>
      </xdr:nvSpPr>
      <xdr:spPr>
        <a:xfrm>
          <a:off x="448540" y="70469291"/>
          <a:ext cx="8905875"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069BD16A-EDAC-4FC4-8F8D-CB2317BD3357}"/>
            </a:ext>
          </a:extLst>
        </xdr:cNvPr>
        <xdr:cNvSpPr/>
      </xdr:nvSpPr>
      <xdr:spPr>
        <a:xfrm>
          <a:off x="3502025" y="19970750"/>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79C157EC-62FB-4810-8954-F3DD960DA856}"/>
            </a:ext>
          </a:extLst>
        </xdr:cNvPr>
        <xdr:cNvSpPr/>
      </xdr:nvSpPr>
      <xdr:spPr>
        <a:xfrm>
          <a:off x="3502025" y="5166360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EC122091-8B48-4663-AC83-8BBA0BD6A2AD}"/>
            </a:ext>
          </a:extLst>
        </xdr:cNvPr>
        <xdr:cNvSpPr/>
      </xdr:nvSpPr>
      <xdr:spPr>
        <a:xfrm>
          <a:off x="3502025" y="48526700"/>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A64E8826-7A2D-467E-9281-FA972D6C6AAD}"/>
            </a:ext>
          </a:extLst>
        </xdr:cNvPr>
        <xdr:cNvSpPr/>
      </xdr:nvSpPr>
      <xdr:spPr>
        <a:xfrm>
          <a:off x="3502025" y="636555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4E486822-8EC8-4D18-B07B-09EA92368A51}"/>
            </a:ext>
          </a:extLst>
        </xdr:cNvPr>
        <xdr:cNvSpPr/>
      </xdr:nvSpPr>
      <xdr:spPr>
        <a:xfrm>
          <a:off x="3502025" y="6051867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4F5A86DC-96AE-443F-B099-2D8B35D1C974}"/>
            </a:ext>
          </a:extLst>
        </xdr:cNvPr>
        <xdr:cNvSpPr/>
      </xdr:nvSpPr>
      <xdr:spPr>
        <a:xfrm>
          <a:off x="3502025" y="3949065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ABDD9383-1396-4C82-AECE-85C93D3433D1}"/>
            </a:ext>
          </a:extLst>
        </xdr:cNvPr>
        <xdr:cNvSpPr/>
      </xdr:nvSpPr>
      <xdr:spPr>
        <a:xfrm>
          <a:off x="3502025" y="42440225"/>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A527ABFB-27E4-404B-8C86-F395720953BB}"/>
            </a:ext>
          </a:extLst>
        </xdr:cNvPr>
        <xdr:cNvSpPr/>
      </xdr:nvSpPr>
      <xdr:spPr>
        <a:xfrm>
          <a:off x="7167245" y="53881655"/>
          <a:ext cx="5778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72C11632-86BD-499A-8CE1-8A4BF2DE59E4}"/>
            </a:ext>
          </a:extLst>
        </xdr:cNvPr>
        <xdr:cNvSpPr/>
      </xdr:nvSpPr>
      <xdr:spPr>
        <a:xfrm>
          <a:off x="3502025" y="26623434"/>
          <a:ext cx="42545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AFDCAE2E-96D8-4ACA-A4EC-D4E898333AE8}"/>
            </a:ext>
          </a:extLst>
        </xdr:cNvPr>
        <xdr:cNvSpPr/>
      </xdr:nvSpPr>
      <xdr:spPr>
        <a:xfrm>
          <a:off x="3411007" y="32674984"/>
          <a:ext cx="53763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67F2A639-9D74-4873-A27D-CE0B960C8134}"/>
            </a:ext>
          </a:extLst>
        </xdr:cNvPr>
        <xdr:cNvSpPr/>
      </xdr:nvSpPr>
      <xdr:spPr>
        <a:xfrm>
          <a:off x="70770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88569B09-3259-4FFC-B3C5-DC46E240D412}"/>
            </a:ext>
          </a:extLst>
        </xdr:cNvPr>
        <xdr:cNvSpPr/>
      </xdr:nvSpPr>
      <xdr:spPr>
        <a:xfrm>
          <a:off x="3506259" y="30267275"/>
          <a:ext cx="42545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610983DE-1B60-479A-9253-D26A1F2E9916}"/>
            </a:ext>
          </a:extLst>
        </xdr:cNvPr>
        <xdr:cNvSpPr/>
      </xdr:nvSpPr>
      <xdr:spPr>
        <a:xfrm>
          <a:off x="3502025" y="456723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00D78DAF-2AC0-4BA9-BEB5-457E41497803}"/>
            </a:ext>
          </a:extLst>
        </xdr:cNvPr>
        <xdr:cNvSpPr/>
      </xdr:nvSpPr>
      <xdr:spPr>
        <a:xfrm>
          <a:off x="3479800" y="23228300"/>
          <a:ext cx="4191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5D791CDF-08BF-404F-BDE8-02675C003A06}"/>
            </a:ext>
          </a:extLst>
        </xdr:cNvPr>
        <xdr:cNvSpPr/>
      </xdr:nvSpPr>
      <xdr:spPr>
        <a:xfrm>
          <a:off x="213879" y="99950"/>
          <a:ext cx="138303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4D0F75C2-FC23-421A-95DB-581AE66D9B21}"/>
            </a:ext>
          </a:extLst>
        </xdr:cNvPr>
        <xdr:cNvSpPr/>
      </xdr:nvSpPr>
      <xdr:spPr>
        <a:xfrm>
          <a:off x="421163" y="2555504"/>
          <a:ext cx="281304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CBD66EA9-3FCD-4422-AEE7-9336A00E4BDB}"/>
            </a:ext>
          </a:extLst>
        </xdr:cNvPr>
        <xdr:cNvSpPr/>
      </xdr:nvSpPr>
      <xdr:spPr>
        <a:xfrm>
          <a:off x="442274" y="5346204"/>
          <a:ext cx="5114924"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327B7D1B-AEED-415B-8F42-A2EF4CE54451}"/>
            </a:ext>
          </a:extLst>
        </xdr:cNvPr>
        <xdr:cNvSpPr/>
      </xdr:nvSpPr>
      <xdr:spPr>
        <a:xfrm>
          <a:off x="3494105" y="11257065"/>
          <a:ext cx="42545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EBC7AC9D-47F1-416B-8544-CF2E0EFD67B1}"/>
            </a:ext>
          </a:extLst>
        </xdr:cNvPr>
        <xdr:cNvSpPr/>
      </xdr:nvSpPr>
      <xdr:spPr>
        <a:xfrm>
          <a:off x="3469368" y="7747454"/>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28072848-B478-4A56-AF3B-9B7FB69703FC}"/>
            </a:ext>
          </a:extLst>
        </xdr:cNvPr>
        <xdr:cNvSpPr/>
      </xdr:nvSpPr>
      <xdr:spPr>
        <a:xfrm>
          <a:off x="3502025" y="170211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282CD920-0C3B-4FBD-A960-429EF9137A5A}"/>
            </a:ext>
          </a:extLst>
        </xdr:cNvPr>
        <xdr:cNvSpPr/>
      </xdr:nvSpPr>
      <xdr:spPr>
        <a:xfrm>
          <a:off x="3502025" y="1388427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E8D9CD2E-D62B-4CCF-B28D-5835CDEDDBAF}"/>
            </a:ext>
          </a:extLst>
        </xdr:cNvPr>
        <xdr:cNvSpPr/>
      </xdr:nvSpPr>
      <xdr:spPr>
        <a:xfrm>
          <a:off x="3502025" y="6946582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4B5609C8-2D76-41A3-806A-E95C748A9F47}"/>
            </a:ext>
          </a:extLst>
        </xdr:cNvPr>
        <xdr:cNvSpPr/>
      </xdr:nvSpPr>
      <xdr:spPr>
        <a:xfrm>
          <a:off x="3502025" y="66319400"/>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C940A6CB-7BA9-4DC8-A499-16F10F78F2CA}"/>
            </a:ext>
          </a:extLst>
        </xdr:cNvPr>
        <xdr:cNvSpPr/>
      </xdr:nvSpPr>
      <xdr:spPr>
        <a:xfrm>
          <a:off x="3502025" y="5766435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11579534-39E4-415C-B864-65F50E47A8EE}"/>
            </a:ext>
          </a:extLst>
        </xdr:cNvPr>
        <xdr:cNvSpPr/>
      </xdr:nvSpPr>
      <xdr:spPr>
        <a:xfrm>
          <a:off x="3502025" y="5451792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EFF9CF22-909F-42A7-839B-F6EDE69F1A73}"/>
            </a:ext>
          </a:extLst>
        </xdr:cNvPr>
        <xdr:cNvSpPr/>
      </xdr:nvSpPr>
      <xdr:spPr>
        <a:xfrm>
          <a:off x="448540" y="70469291"/>
          <a:ext cx="8905875"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497967F6-6F62-476C-B994-973F6C22ECBE}"/>
            </a:ext>
          </a:extLst>
        </xdr:cNvPr>
        <xdr:cNvSpPr/>
      </xdr:nvSpPr>
      <xdr:spPr>
        <a:xfrm>
          <a:off x="3502025" y="19970750"/>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53CBE984-6BF2-45F5-BE44-6B66DFEA69ED}"/>
            </a:ext>
          </a:extLst>
        </xdr:cNvPr>
        <xdr:cNvSpPr/>
      </xdr:nvSpPr>
      <xdr:spPr>
        <a:xfrm>
          <a:off x="3502025" y="5166360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39BC76AB-82FA-4C92-80F4-DB869F86AABC}"/>
            </a:ext>
          </a:extLst>
        </xdr:cNvPr>
        <xdr:cNvSpPr/>
      </xdr:nvSpPr>
      <xdr:spPr>
        <a:xfrm>
          <a:off x="3502025" y="48526700"/>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72DC5B69-7B08-4A2F-BEC9-8A6F26EC83B1}"/>
            </a:ext>
          </a:extLst>
        </xdr:cNvPr>
        <xdr:cNvSpPr/>
      </xdr:nvSpPr>
      <xdr:spPr>
        <a:xfrm>
          <a:off x="3502025" y="636555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BB337A06-7DCE-4901-9C5F-503454A66230}"/>
            </a:ext>
          </a:extLst>
        </xdr:cNvPr>
        <xdr:cNvSpPr/>
      </xdr:nvSpPr>
      <xdr:spPr>
        <a:xfrm>
          <a:off x="3502025" y="6051867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C2114B4E-5AD9-4C46-A7E6-FDEAAE3956F5}"/>
            </a:ext>
          </a:extLst>
        </xdr:cNvPr>
        <xdr:cNvSpPr/>
      </xdr:nvSpPr>
      <xdr:spPr>
        <a:xfrm>
          <a:off x="3502025" y="3949065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ABF4C827-A0F9-4833-8DA6-98BE7CF29C4E}"/>
            </a:ext>
          </a:extLst>
        </xdr:cNvPr>
        <xdr:cNvSpPr/>
      </xdr:nvSpPr>
      <xdr:spPr>
        <a:xfrm>
          <a:off x="3502025" y="42440225"/>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4322874B-0201-48E9-A322-4EFDB8321FCF}"/>
            </a:ext>
          </a:extLst>
        </xdr:cNvPr>
        <xdr:cNvSpPr/>
      </xdr:nvSpPr>
      <xdr:spPr>
        <a:xfrm>
          <a:off x="7167245" y="53881655"/>
          <a:ext cx="5778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8B595AF3-C3F3-4BF6-AE31-B43C6022CCD5}"/>
            </a:ext>
          </a:extLst>
        </xdr:cNvPr>
        <xdr:cNvSpPr/>
      </xdr:nvSpPr>
      <xdr:spPr>
        <a:xfrm>
          <a:off x="3502025" y="26623434"/>
          <a:ext cx="42545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EF11CE5A-CFEF-4964-B91A-CEFBC456C0B8}"/>
            </a:ext>
          </a:extLst>
        </xdr:cNvPr>
        <xdr:cNvSpPr/>
      </xdr:nvSpPr>
      <xdr:spPr>
        <a:xfrm>
          <a:off x="3411007" y="32674984"/>
          <a:ext cx="53763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6BE913C1-31B2-46A3-9DB0-5F1DBFF17AE5}"/>
            </a:ext>
          </a:extLst>
        </xdr:cNvPr>
        <xdr:cNvSpPr/>
      </xdr:nvSpPr>
      <xdr:spPr>
        <a:xfrm>
          <a:off x="70770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0E2FA537-B34B-430C-9EB8-FD6315E3AD3A}"/>
            </a:ext>
          </a:extLst>
        </xdr:cNvPr>
        <xdr:cNvSpPr/>
      </xdr:nvSpPr>
      <xdr:spPr>
        <a:xfrm>
          <a:off x="3506259" y="30267275"/>
          <a:ext cx="42545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ED2C4BB8-198F-402A-B5F0-7A550159465E}"/>
            </a:ext>
          </a:extLst>
        </xdr:cNvPr>
        <xdr:cNvSpPr/>
      </xdr:nvSpPr>
      <xdr:spPr>
        <a:xfrm>
          <a:off x="3502025" y="456723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6793289B-F051-433F-A972-3E24B8C14B15}"/>
            </a:ext>
          </a:extLst>
        </xdr:cNvPr>
        <xdr:cNvSpPr/>
      </xdr:nvSpPr>
      <xdr:spPr>
        <a:xfrm>
          <a:off x="3479800" y="23228300"/>
          <a:ext cx="4191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90B3D622-D981-4AE5-94ED-D51B2C0D109E}"/>
            </a:ext>
          </a:extLst>
        </xdr:cNvPr>
        <xdr:cNvSpPr/>
      </xdr:nvSpPr>
      <xdr:spPr>
        <a:xfrm>
          <a:off x="213879" y="99950"/>
          <a:ext cx="138303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8E67B9C-3B8E-49BD-87D6-A9B6787C8733}"/>
            </a:ext>
          </a:extLst>
        </xdr:cNvPr>
        <xdr:cNvSpPr/>
      </xdr:nvSpPr>
      <xdr:spPr>
        <a:xfrm>
          <a:off x="421163" y="2555504"/>
          <a:ext cx="281304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C202D4D5-A53C-497F-A6DC-6450E8701712}"/>
            </a:ext>
          </a:extLst>
        </xdr:cNvPr>
        <xdr:cNvSpPr/>
      </xdr:nvSpPr>
      <xdr:spPr>
        <a:xfrm>
          <a:off x="442274" y="5346204"/>
          <a:ext cx="5114924"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10187E55-28DA-43B7-B929-D953BBF57471}"/>
            </a:ext>
          </a:extLst>
        </xdr:cNvPr>
        <xdr:cNvSpPr/>
      </xdr:nvSpPr>
      <xdr:spPr>
        <a:xfrm>
          <a:off x="3494105" y="11257065"/>
          <a:ext cx="42545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C9A4BE69-62B8-4096-B67A-60836B74E756}"/>
            </a:ext>
          </a:extLst>
        </xdr:cNvPr>
        <xdr:cNvSpPr/>
      </xdr:nvSpPr>
      <xdr:spPr>
        <a:xfrm>
          <a:off x="3469368" y="7747454"/>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175CB93A-EAB9-4B21-B172-D69061703988}"/>
            </a:ext>
          </a:extLst>
        </xdr:cNvPr>
        <xdr:cNvSpPr/>
      </xdr:nvSpPr>
      <xdr:spPr>
        <a:xfrm>
          <a:off x="3502025" y="170211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CEEF8FC3-2755-426B-A57A-8DD420EA0B5C}"/>
            </a:ext>
          </a:extLst>
        </xdr:cNvPr>
        <xdr:cNvSpPr/>
      </xdr:nvSpPr>
      <xdr:spPr>
        <a:xfrm>
          <a:off x="3502025" y="1388427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70A84765-2566-4B70-B98A-6C35693627B3}"/>
            </a:ext>
          </a:extLst>
        </xdr:cNvPr>
        <xdr:cNvSpPr/>
      </xdr:nvSpPr>
      <xdr:spPr>
        <a:xfrm>
          <a:off x="3502025" y="6946582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97ADECE-90D1-4B7D-A8DA-1E9F1A009D30}"/>
            </a:ext>
          </a:extLst>
        </xdr:cNvPr>
        <xdr:cNvSpPr/>
      </xdr:nvSpPr>
      <xdr:spPr>
        <a:xfrm>
          <a:off x="3502025" y="66319400"/>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D2AE5AF8-6C0A-42DE-A54F-876572D2FA8F}"/>
            </a:ext>
          </a:extLst>
        </xdr:cNvPr>
        <xdr:cNvSpPr/>
      </xdr:nvSpPr>
      <xdr:spPr>
        <a:xfrm>
          <a:off x="3502025" y="5766435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442F5410-FBF3-4865-99E4-A5456B59103D}"/>
            </a:ext>
          </a:extLst>
        </xdr:cNvPr>
        <xdr:cNvSpPr/>
      </xdr:nvSpPr>
      <xdr:spPr>
        <a:xfrm>
          <a:off x="3502025" y="5451792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50D15FEB-FEE4-40C9-B07F-27FB60D86538}"/>
            </a:ext>
          </a:extLst>
        </xdr:cNvPr>
        <xdr:cNvSpPr/>
      </xdr:nvSpPr>
      <xdr:spPr>
        <a:xfrm>
          <a:off x="448540" y="70469291"/>
          <a:ext cx="8905875"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57DE3D46-6E32-40EF-887F-64361847DB1C}"/>
            </a:ext>
          </a:extLst>
        </xdr:cNvPr>
        <xdr:cNvSpPr/>
      </xdr:nvSpPr>
      <xdr:spPr>
        <a:xfrm>
          <a:off x="3502025" y="19970750"/>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FFBC9A5A-B195-48B0-9C77-DF2D50F6D04C}"/>
            </a:ext>
          </a:extLst>
        </xdr:cNvPr>
        <xdr:cNvSpPr/>
      </xdr:nvSpPr>
      <xdr:spPr>
        <a:xfrm>
          <a:off x="3502025" y="5166360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F2C9ABF7-E753-40F0-A88B-54A9E0593945}"/>
            </a:ext>
          </a:extLst>
        </xdr:cNvPr>
        <xdr:cNvSpPr/>
      </xdr:nvSpPr>
      <xdr:spPr>
        <a:xfrm>
          <a:off x="3502025" y="48526700"/>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81F2380F-A861-49A7-B74B-71A6EC515F49}"/>
            </a:ext>
          </a:extLst>
        </xdr:cNvPr>
        <xdr:cNvSpPr/>
      </xdr:nvSpPr>
      <xdr:spPr>
        <a:xfrm>
          <a:off x="3502025" y="636555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7C3200DA-3627-4496-8A3E-88D1E4232BDF}"/>
            </a:ext>
          </a:extLst>
        </xdr:cNvPr>
        <xdr:cNvSpPr/>
      </xdr:nvSpPr>
      <xdr:spPr>
        <a:xfrm>
          <a:off x="3502025" y="6051867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0470CEB1-09B8-41B2-BF15-CF75CEE4C148}"/>
            </a:ext>
          </a:extLst>
        </xdr:cNvPr>
        <xdr:cNvSpPr/>
      </xdr:nvSpPr>
      <xdr:spPr>
        <a:xfrm>
          <a:off x="3502025" y="3949065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F6FEB8A2-BC52-4425-B856-4D0C77B3362B}"/>
            </a:ext>
          </a:extLst>
        </xdr:cNvPr>
        <xdr:cNvSpPr/>
      </xdr:nvSpPr>
      <xdr:spPr>
        <a:xfrm>
          <a:off x="3502025" y="42440225"/>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9528519D-1F92-4B64-988F-7632C7672A32}"/>
            </a:ext>
          </a:extLst>
        </xdr:cNvPr>
        <xdr:cNvSpPr/>
      </xdr:nvSpPr>
      <xdr:spPr>
        <a:xfrm>
          <a:off x="7167245" y="53881655"/>
          <a:ext cx="5778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67A8218D-196E-424D-B550-265C2BED7F26}"/>
            </a:ext>
          </a:extLst>
        </xdr:cNvPr>
        <xdr:cNvSpPr/>
      </xdr:nvSpPr>
      <xdr:spPr>
        <a:xfrm>
          <a:off x="3502025" y="26623434"/>
          <a:ext cx="42545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234B917B-FE5E-48BA-BB0C-1A18C8C51BAB}"/>
            </a:ext>
          </a:extLst>
        </xdr:cNvPr>
        <xdr:cNvSpPr/>
      </xdr:nvSpPr>
      <xdr:spPr>
        <a:xfrm>
          <a:off x="3411007" y="32674984"/>
          <a:ext cx="53763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1A9B218E-283D-4DD8-A4DB-7802E676F644}"/>
            </a:ext>
          </a:extLst>
        </xdr:cNvPr>
        <xdr:cNvSpPr/>
      </xdr:nvSpPr>
      <xdr:spPr>
        <a:xfrm>
          <a:off x="70770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864CD05D-ED45-4D6E-B0C4-E4E9C6541F4D}"/>
            </a:ext>
          </a:extLst>
        </xdr:cNvPr>
        <xdr:cNvSpPr/>
      </xdr:nvSpPr>
      <xdr:spPr>
        <a:xfrm>
          <a:off x="3506259" y="30267275"/>
          <a:ext cx="42545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70690B5A-25DF-42AB-B9CD-BE746004924E}"/>
            </a:ext>
          </a:extLst>
        </xdr:cNvPr>
        <xdr:cNvSpPr/>
      </xdr:nvSpPr>
      <xdr:spPr>
        <a:xfrm>
          <a:off x="3502025" y="456723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C28A1828-543C-456E-A6F3-81B0FC0E0FFA}"/>
            </a:ext>
          </a:extLst>
        </xdr:cNvPr>
        <xdr:cNvSpPr/>
      </xdr:nvSpPr>
      <xdr:spPr>
        <a:xfrm>
          <a:off x="3479800" y="23228300"/>
          <a:ext cx="4191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C5D97E91-DE21-4E3D-87DB-FBF5C884C20D}"/>
            </a:ext>
          </a:extLst>
        </xdr:cNvPr>
        <xdr:cNvSpPr/>
      </xdr:nvSpPr>
      <xdr:spPr>
        <a:xfrm>
          <a:off x="213879" y="99950"/>
          <a:ext cx="138303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68331824-2636-4722-B73F-97C0C3511E7F}"/>
            </a:ext>
          </a:extLst>
        </xdr:cNvPr>
        <xdr:cNvSpPr/>
      </xdr:nvSpPr>
      <xdr:spPr>
        <a:xfrm>
          <a:off x="421163" y="2555504"/>
          <a:ext cx="281304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799193D2-E8B0-49FF-9DE5-C02FC177394B}"/>
            </a:ext>
          </a:extLst>
        </xdr:cNvPr>
        <xdr:cNvSpPr/>
      </xdr:nvSpPr>
      <xdr:spPr>
        <a:xfrm>
          <a:off x="442274" y="5346204"/>
          <a:ext cx="5114924"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A47B4BD3-E4B8-493C-AE7C-995B7C0BBBBD}"/>
            </a:ext>
          </a:extLst>
        </xdr:cNvPr>
        <xdr:cNvSpPr/>
      </xdr:nvSpPr>
      <xdr:spPr>
        <a:xfrm>
          <a:off x="3494105" y="11257065"/>
          <a:ext cx="42545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D477B14A-E9DE-4356-8F3E-364A758A58A4}"/>
            </a:ext>
          </a:extLst>
        </xdr:cNvPr>
        <xdr:cNvSpPr/>
      </xdr:nvSpPr>
      <xdr:spPr>
        <a:xfrm>
          <a:off x="3469368" y="7747454"/>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1E7574BB-0FE8-49F5-A18B-B28AAE5AF762}"/>
            </a:ext>
          </a:extLst>
        </xdr:cNvPr>
        <xdr:cNvSpPr/>
      </xdr:nvSpPr>
      <xdr:spPr>
        <a:xfrm>
          <a:off x="3502025" y="170211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B8C23B74-BE26-41F7-ADFA-A9EE3DFDC913}"/>
            </a:ext>
          </a:extLst>
        </xdr:cNvPr>
        <xdr:cNvSpPr/>
      </xdr:nvSpPr>
      <xdr:spPr>
        <a:xfrm>
          <a:off x="3502025" y="1388427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F2319DA7-7496-459F-8B77-0260FFCCCFBA}"/>
            </a:ext>
          </a:extLst>
        </xdr:cNvPr>
        <xdr:cNvSpPr/>
      </xdr:nvSpPr>
      <xdr:spPr>
        <a:xfrm>
          <a:off x="3502025" y="6946582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24E26572-B17E-4F83-BEA4-D74F73B904A0}"/>
            </a:ext>
          </a:extLst>
        </xdr:cNvPr>
        <xdr:cNvSpPr/>
      </xdr:nvSpPr>
      <xdr:spPr>
        <a:xfrm>
          <a:off x="3502025" y="66319400"/>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DFAA2778-AD57-4A3D-A753-AC00033761D0}"/>
            </a:ext>
          </a:extLst>
        </xdr:cNvPr>
        <xdr:cNvSpPr/>
      </xdr:nvSpPr>
      <xdr:spPr>
        <a:xfrm>
          <a:off x="3502025" y="5766435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FD07FAE3-607F-4D3C-B97A-0A3427990E2A}"/>
            </a:ext>
          </a:extLst>
        </xdr:cNvPr>
        <xdr:cNvSpPr/>
      </xdr:nvSpPr>
      <xdr:spPr>
        <a:xfrm>
          <a:off x="3502025" y="5451792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DB8DA6F6-162E-4DD3-B3C3-F0F7C71321FF}"/>
            </a:ext>
          </a:extLst>
        </xdr:cNvPr>
        <xdr:cNvSpPr/>
      </xdr:nvSpPr>
      <xdr:spPr>
        <a:xfrm>
          <a:off x="448540" y="70469291"/>
          <a:ext cx="8905875"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8304E613-C831-4241-AA99-0F91A61AA001}"/>
            </a:ext>
          </a:extLst>
        </xdr:cNvPr>
        <xdr:cNvSpPr/>
      </xdr:nvSpPr>
      <xdr:spPr>
        <a:xfrm>
          <a:off x="3502025" y="19970750"/>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17162C64-E436-4024-98B8-F4DF698EA3E1}"/>
            </a:ext>
          </a:extLst>
        </xdr:cNvPr>
        <xdr:cNvSpPr/>
      </xdr:nvSpPr>
      <xdr:spPr>
        <a:xfrm>
          <a:off x="3502025" y="5166360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EFC56D02-153C-4FD2-A4C2-BA773691BA21}"/>
            </a:ext>
          </a:extLst>
        </xdr:cNvPr>
        <xdr:cNvSpPr/>
      </xdr:nvSpPr>
      <xdr:spPr>
        <a:xfrm>
          <a:off x="3502025" y="48526700"/>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09C32C1B-C229-4C6D-8279-60E9F618E1D3}"/>
            </a:ext>
          </a:extLst>
        </xdr:cNvPr>
        <xdr:cNvSpPr/>
      </xdr:nvSpPr>
      <xdr:spPr>
        <a:xfrm>
          <a:off x="3502025" y="636555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7437993F-6732-4C87-B012-7D52653DF295}"/>
            </a:ext>
          </a:extLst>
        </xdr:cNvPr>
        <xdr:cNvSpPr/>
      </xdr:nvSpPr>
      <xdr:spPr>
        <a:xfrm>
          <a:off x="3502025" y="6051867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2CD54984-542B-4A4B-A9B0-2FC8CD860788}"/>
            </a:ext>
          </a:extLst>
        </xdr:cNvPr>
        <xdr:cNvSpPr/>
      </xdr:nvSpPr>
      <xdr:spPr>
        <a:xfrm>
          <a:off x="3502025" y="3949065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4BFAEEC0-1790-47EF-ACB9-692453C0F022}"/>
            </a:ext>
          </a:extLst>
        </xdr:cNvPr>
        <xdr:cNvSpPr/>
      </xdr:nvSpPr>
      <xdr:spPr>
        <a:xfrm>
          <a:off x="3502025" y="42440225"/>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273FEF08-A9C8-4B0F-83FE-3C6CECA4DE99}"/>
            </a:ext>
          </a:extLst>
        </xdr:cNvPr>
        <xdr:cNvSpPr/>
      </xdr:nvSpPr>
      <xdr:spPr>
        <a:xfrm>
          <a:off x="7167245" y="53881655"/>
          <a:ext cx="5778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CE167727-F565-4CD1-961C-E7170914C0FE}"/>
            </a:ext>
          </a:extLst>
        </xdr:cNvPr>
        <xdr:cNvSpPr/>
      </xdr:nvSpPr>
      <xdr:spPr>
        <a:xfrm>
          <a:off x="3502025" y="26623434"/>
          <a:ext cx="42545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5309FA27-BD04-48BE-92C6-C9102E41AD00}"/>
            </a:ext>
          </a:extLst>
        </xdr:cNvPr>
        <xdr:cNvSpPr/>
      </xdr:nvSpPr>
      <xdr:spPr>
        <a:xfrm>
          <a:off x="3411007" y="32674984"/>
          <a:ext cx="53763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85DC7450-E836-4A28-9348-285E292E2407}"/>
            </a:ext>
          </a:extLst>
        </xdr:cNvPr>
        <xdr:cNvSpPr/>
      </xdr:nvSpPr>
      <xdr:spPr>
        <a:xfrm>
          <a:off x="70770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EE538952-F65B-4AF1-A39E-6DDC3677633E}"/>
            </a:ext>
          </a:extLst>
        </xdr:cNvPr>
        <xdr:cNvSpPr/>
      </xdr:nvSpPr>
      <xdr:spPr>
        <a:xfrm>
          <a:off x="3506259" y="30267275"/>
          <a:ext cx="42545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69197075-5DA9-4933-A431-CA3BE02C467B}"/>
            </a:ext>
          </a:extLst>
        </xdr:cNvPr>
        <xdr:cNvSpPr/>
      </xdr:nvSpPr>
      <xdr:spPr>
        <a:xfrm>
          <a:off x="3502025" y="456723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FBC7993F-E247-4DCE-A648-F63FF34972E1}"/>
            </a:ext>
          </a:extLst>
        </xdr:cNvPr>
        <xdr:cNvSpPr/>
      </xdr:nvSpPr>
      <xdr:spPr>
        <a:xfrm>
          <a:off x="3479800" y="23228300"/>
          <a:ext cx="4191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77328B46-3A4E-4F06-BC5B-19132D695C41}"/>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F0580087-C094-45E2-97AE-3512BEA5FAE9}"/>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A57B70B0-A53E-408E-B201-060D514F4E9A}"/>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B2C0D0E0-F0A5-44FC-A3FB-5F3668279623}"/>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71C60DFE-9DD8-4260-B72F-FD9A319E9594}"/>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4310327-6404-4EDB-BBE5-9A62A505A2DA}"/>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DD1DD78B-7571-47DE-A7FF-AEEEA79AEC4C}"/>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C87DAE4A-AD5E-48CA-99C9-DC9D2958A7D6}"/>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30A3F289-9EA7-469C-9287-12DF270F7844}"/>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1833278F-9263-4E5B-9FD5-2DC054981525}"/>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ABE4D2C3-8BD3-4861-8ED3-8AFC1213A5F8}"/>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B6078B45-2F0A-466D-B71F-ED3E87D2653F}"/>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8C07860B-A69D-4CE8-ACFA-139BB6528072}"/>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0B53BED2-FB11-4990-A714-0C5AE6C7FEAC}"/>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B83B9778-8415-4A5D-80D5-955621AA4FF4}"/>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B7086E11-1108-4CAE-A080-A13327D1789D}"/>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B6188B1A-27DC-429A-87B9-5BBDB17DEBFA}"/>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49627BA3-19CF-493D-9E33-5AC9F684BB4B}"/>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645B7CEF-A665-46E9-9BA1-1FAACA2DB4D4}"/>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895628EE-ED8B-4EEB-893D-94D4D4660F8A}"/>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965EA82E-1E37-425F-B50D-0A23ED89E0E8}"/>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62E618CF-4A0D-44D9-BDA7-B5A7651D0CC2}"/>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3F57D633-5B6C-4FE2-9AAB-93ACE28AAC9C}"/>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CE42CF82-C759-4FB5-92F9-469F13914AC9}"/>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B7A3399B-4A67-4B37-B5D0-859EB963419D}"/>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61614429-E62F-4DEE-9EEE-851E0BC2047D}"/>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E0C55CBB-B3F1-45E8-9720-538A0B5A825F}"/>
            </a:ext>
          </a:extLst>
        </xdr:cNvPr>
        <xdr:cNvSpPr/>
      </xdr:nvSpPr>
      <xdr:spPr>
        <a:xfrm>
          <a:off x="213879" y="99950"/>
          <a:ext cx="138303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AA0D357E-8534-4D65-99A7-B20A631E5D1A}"/>
            </a:ext>
          </a:extLst>
        </xdr:cNvPr>
        <xdr:cNvSpPr/>
      </xdr:nvSpPr>
      <xdr:spPr>
        <a:xfrm>
          <a:off x="421163" y="2555504"/>
          <a:ext cx="281304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4532431E-F87A-402A-977A-251C093DC97E}"/>
            </a:ext>
          </a:extLst>
        </xdr:cNvPr>
        <xdr:cNvSpPr/>
      </xdr:nvSpPr>
      <xdr:spPr>
        <a:xfrm>
          <a:off x="442274" y="5346204"/>
          <a:ext cx="5114924"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E96B90A5-0D61-42C3-A188-5A0DEEAA7A3E}"/>
            </a:ext>
          </a:extLst>
        </xdr:cNvPr>
        <xdr:cNvSpPr/>
      </xdr:nvSpPr>
      <xdr:spPr>
        <a:xfrm>
          <a:off x="3494105" y="11257065"/>
          <a:ext cx="42545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F2F1C67B-0F3E-40C9-9A0C-85649C929BD0}"/>
            </a:ext>
          </a:extLst>
        </xdr:cNvPr>
        <xdr:cNvSpPr/>
      </xdr:nvSpPr>
      <xdr:spPr>
        <a:xfrm>
          <a:off x="3469368" y="7747454"/>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441D74C0-643F-4D16-8FBE-AE5B831197A3}"/>
            </a:ext>
          </a:extLst>
        </xdr:cNvPr>
        <xdr:cNvSpPr/>
      </xdr:nvSpPr>
      <xdr:spPr>
        <a:xfrm>
          <a:off x="3502025" y="170211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AB718315-1047-418A-9EEF-7C11D11C718F}"/>
            </a:ext>
          </a:extLst>
        </xdr:cNvPr>
        <xdr:cNvSpPr/>
      </xdr:nvSpPr>
      <xdr:spPr>
        <a:xfrm>
          <a:off x="3502025" y="1388427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A6143237-D306-4798-B31D-D82174F27892}"/>
            </a:ext>
          </a:extLst>
        </xdr:cNvPr>
        <xdr:cNvSpPr/>
      </xdr:nvSpPr>
      <xdr:spPr>
        <a:xfrm>
          <a:off x="3502025" y="6946582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2BDD5F4E-2C92-48F6-AAC9-8D708EE761A0}"/>
            </a:ext>
          </a:extLst>
        </xdr:cNvPr>
        <xdr:cNvSpPr/>
      </xdr:nvSpPr>
      <xdr:spPr>
        <a:xfrm>
          <a:off x="3502025" y="66319400"/>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9CBF07BC-281B-4BC3-9B4C-248D0D243DFE}"/>
            </a:ext>
          </a:extLst>
        </xdr:cNvPr>
        <xdr:cNvSpPr/>
      </xdr:nvSpPr>
      <xdr:spPr>
        <a:xfrm>
          <a:off x="3502025" y="5766435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7E8102FC-5BC0-44D6-9615-B7B99028D5BE}"/>
            </a:ext>
          </a:extLst>
        </xdr:cNvPr>
        <xdr:cNvSpPr/>
      </xdr:nvSpPr>
      <xdr:spPr>
        <a:xfrm>
          <a:off x="3502025" y="5451792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84430810-1209-4A67-BA62-F4D4B7FEE79D}"/>
            </a:ext>
          </a:extLst>
        </xdr:cNvPr>
        <xdr:cNvSpPr/>
      </xdr:nvSpPr>
      <xdr:spPr>
        <a:xfrm>
          <a:off x="448540" y="70469291"/>
          <a:ext cx="8905875"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BE2601BC-4A29-4A1D-B921-0F47FCD96AD5}"/>
            </a:ext>
          </a:extLst>
        </xdr:cNvPr>
        <xdr:cNvSpPr/>
      </xdr:nvSpPr>
      <xdr:spPr>
        <a:xfrm>
          <a:off x="3502025" y="19970750"/>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ACB95B40-543B-418D-BB80-EAE65C4E94CD}"/>
            </a:ext>
          </a:extLst>
        </xdr:cNvPr>
        <xdr:cNvSpPr/>
      </xdr:nvSpPr>
      <xdr:spPr>
        <a:xfrm>
          <a:off x="3502025" y="5166360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1C04169B-95DF-466F-A059-3F7B7E2FFF29}"/>
            </a:ext>
          </a:extLst>
        </xdr:cNvPr>
        <xdr:cNvSpPr/>
      </xdr:nvSpPr>
      <xdr:spPr>
        <a:xfrm>
          <a:off x="3502025" y="48526700"/>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4E7448F6-9F06-405F-8986-3662C7CB720D}"/>
            </a:ext>
          </a:extLst>
        </xdr:cNvPr>
        <xdr:cNvSpPr/>
      </xdr:nvSpPr>
      <xdr:spPr>
        <a:xfrm>
          <a:off x="3502025" y="636555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545DE484-513A-4414-88DF-A3B83816002D}"/>
            </a:ext>
          </a:extLst>
        </xdr:cNvPr>
        <xdr:cNvSpPr/>
      </xdr:nvSpPr>
      <xdr:spPr>
        <a:xfrm>
          <a:off x="3502025" y="6051867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4369F456-23E1-41DA-9D47-64A6E0534296}"/>
            </a:ext>
          </a:extLst>
        </xdr:cNvPr>
        <xdr:cNvSpPr/>
      </xdr:nvSpPr>
      <xdr:spPr>
        <a:xfrm>
          <a:off x="3502025" y="3949065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1C0F3577-992E-48DA-A086-B2E16D2C044B}"/>
            </a:ext>
          </a:extLst>
        </xdr:cNvPr>
        <xdr:cNvSpPr/>
      </xdr:nvSpPr>
      <xdr:spPr>
        <a:xfrm>
          <a:off x="3502025" y="42440225"/>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F5553501-821C-459F-B21A-00D95D82FD1C}"/>
            </a:ext>
          </a:extLst>
        </xdr:cNvPr>
        <xdr:cNvSpPr/>
      </xdr:nvSpPr>
      <xdr:spPr>
        <a:xfrm>
          <a:off x="7167245" y="53881655"/>
          <a:ext cx="5778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40B46D1C-6AD4-405D-8930-3832472AC8C7}"/>
            </a:ext>
          </a:extLst>
        </xdr:cNvPr>
        <xdr:cNvSpPr/>
      </xdr:nvSpPr>
      <xdr:spPr>
        <a:xfrm>
          <a:off x="3502025" y="26623434"/>
          <a:ext cx="42545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745AF90-CF1D-427F-AE6D-E341EE332F1A}"/>
            </a:ext>
          </a:extLst>
        </xdr:cNvPr>
        <xdr:cNvSpPr/>
      </xdr:nvSpPr>
      <xdr:spPr>
        <a:xfrm>
          <a:off x="3411007" y="32674984"/>
          <a:ext cx="53763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1FDF2869-1D51-4186-85AF-5B7B1C3F37DA}"/>
            </a:ext>
          </a:extLst>
        </xdr:cNvPr>
        <xdr:cNvSpPr/>
      </xdr:nvSpPr>
      <xdr:spPr>
        <a:xfrm>
          <a:off x="70770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6A51FB9F-AD10-41E3-8E88-5D1436B580E6}"/>
            </a:ext>
          </a:extLst>
        </xdr:cNvPr>
        <xdr:cNvSpPr/>
      </xdr:nvSpPr>
      <xdr:spPr>
        <a:xfrm>
          <a:off x="3506259" y="30267275"/>
          <a:ext cx="42545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5A91B295-A491-4D72-B4A5-2362AEF3FFD2}"/>
            </a:ext>
          </a:extLst>
        </xdr:cNvPr>
        <xdr:cNvSpPr/>
      </xdr:nvSpPr>
      <xdr:spPr>
        <a:xfrm>
          <a:off x="3502025" y="456723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C22F3F97-FB5B-41A9-8F22-74A0A99D6EA2}"/>
            </a:ext>
          </a:extLst>
        </xdr:cNvPr>
        <xdr:cNvSpPr/>
      </xdr:nvSpPr>
      <xdr:spPr>
        <a:xfrm>
          <a:off x="3479800" y="23228300"/>
          <a:ext cx="4191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3FACD303-2A99-452E-89C8-1CE68D416C9F}"/>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D1707744-4AA1-442D-ABEC-DA332F0F6BA4}"/>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333810A2-1DEF-4F52-B63F-51A508DCDE81}"/>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39E36AA2-D43E-4D20-8778-0C8D0EF54F2D}"/>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FDDD2570-E9B4-4BEA-8659-5DE1591EF1A8}"/>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B986A5BF-9592-4929-9B25-E5A680BFC778}"/>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B1A57555-C5CF-4599-9FEB-3CDD106979B4}"/>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53A54AAD-BC8B-402F-95BB-32298661C0FC}"/>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C2FC4A6C-351C-4618-87FA-700A700B59CA}"/>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3E058E2-4DDE-40A4-9917-6D3A61EB8D51}"/>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CB1A7804-B656-40B3-BA47-B3B268FA6E47}"/>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53BFA86C-A4EB-4158-9426-A4E8074D1FD9}"/>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97F59B6A-E524-4B9F-85CC-9AE4334A89D4}"/>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181608D8-C011-41C1-82BB-35E23E967488}"/>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EC343BEF-5BC3-4414-A423-31D0CB7AA275}"/>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272CBD66-1B91-444B-B81B-80251868CCC9}"/>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6AE88BF7-7268-4159-ACE0-956E45F3F8EF}"/>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36532D6D-F96F-41A1-9BE7-EDC4D3EAC157}"/>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7E51A3F8-F38B-43AC-AB58-F9FBE08DD7BC}"/>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511D74A7-80A3-4F49-B9E7-8D5D7C5AACF1}"/>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BD38B9EB-C374-47DF-85B6-70133E94736A}"/>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EFBEB849-447D-4026-9B41-94D1CF6B5369}"/>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5408743E-5286-4799-AAC2-4E5648496B39}"/>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6BE97B93-8C3B-441B-A9D1-454122C1BF3C}"/>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C8C8E0AB-4473-400D-8071-EA94A38DBDBE}"/>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7161BCBB-5E89-479E-AB84-B9BA751A2EF8}"/>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2089BD44-5756-4735-8DF1-E0FF9566FC43}"/>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FCD2980F-1FB0-48E0-A790-812D37B89EA4}"/>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79FED2EB-E960-4535-8AE2-6EE4DA6F6B46}"/>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CEDAA7A1-249F-43E9-98A5-B5510823C8B1}"/>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C9288D69-80F0-47DC-8CDC-6A1A0E53669B}"/>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33CD5540-6072-414F-A321-083843991D08}"/>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96F370A1-71E7-4E11-A341-96034075D046}"/>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8E96DF5F-F96E-4D36-87F5-EA5BBB6AEB2B}"/>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1CC5E245-744E-4B19-AB76-00E800DF7611}"/>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85C0DE76-CC4F-4CF3-A605-C37707125ABF}"/>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9562A8EE-8405-42A0-971E-2602370AFCC2}"/>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AAC74C6C-EDA3-451A-A950-CFFDF7FA2993}"/>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4582027F-89F6-4BC5-8143-13E28691478B}"/>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5AB0A38E-CAF1-4F12-996B-6E1983C90BFB}"/>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A73B03B0-3A45-4F1A-A0D2-86C157DEF9E6}"/>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3B528863-6406-400F-AD24-52F564080E77}"/>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A0EDD759-DD36-42BB-9DD9-822314FC8ED6}"/>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4D87B513-87D0-4D73-9E24-3CBD7FC2C731}"/>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CA7DD59D-2987-4488-AEBC-EDC24D6965B8}"/>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06D80BB3-E245-4CB5-A80B-677BE4660C66}"/>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F3474727-6021-4CBD-8B82-00DC9CC13D1C}"/>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CCC49449-3644-49EA-9A45-4CD011C4178B}"/>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F6560EC5-2A95-49F4-90B5-4DD4ECF1BA29}"/>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7014382B-4946-4269-AB4B-930074CA2FC2}"/>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7EBF395A-EA65-48C0-9C0E-93E37D700568}"/>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DD12A702-6844-4A25-B679-9236E885BB14}"/>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36666A2D-6F7B-49D0-AE74-7E2E826D64A7}"/>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C250B6FD-7F56-4E65-9766-77B55EF3CCE8}"/>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86B02EF5-1651-44BB-A663-FDE37C4C0E83}"/>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D544928F-B015-4A4C-A6EF-925F5C30FA3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D4DC5663-884C-41DA-807C-9C92E095DB95}"/>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3388EF4B-6B07-4A15-8F85-49ABEFC1712A}"/>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BEE6BE41-8F43-4506-BA0A-511CC002D35C}"/>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EF9D2595-1936-4A48-BABF-F3B0774E5D23}"/>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5B495297-A454-4235-B4B3-2AFF475E00CA}"/>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1344E5F9-8245-413E-99A2-074D34AAAA3F}"/>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6D0AEE4A-513F-45B6-B58A-6D037F8D43A9}"/>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165BD1EB-0556-402A-95B0-8F3C3708629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9D34B683-FA34-423C-B1AF-8A4926FC478C}"/>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451307F8-7DC2-4A38-8DCF-C2F2768E163F}"/>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BA5E1AF1-ED2C-4B48-875F-0F6C919B4A53}"/>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269B8FE0-2FEA-4D6B-9FC0-886C7E266894}"/>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591712AA-56B3-4D1A-BF3F-E7C92F01C8B4}"/>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78E291C3-78C5-4F12-B43E-C6054D02D5CE}"/>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F6FDF6D7-5BA2-44EE-90EF-65AA1BF20DD3}"/>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A6FFBE58-48BF-41F9-A5C2-1DC42A24EE4D}"/>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1A872DAD-2CFA-4D94-85FF-77D4D9866A94}"/>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DB4C48B0-9B41-476E-BCCC-E074741ABEEA}"/>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F4CA852F-61BD-4924-8C94-41B63B219FD2}"/>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E68FF509-3F52-4514-B370-5A8F381FEE98}"/>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185E0CA3-6405-4C7F-8D64-DD878AC0E27E}"/>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88257A28-E3FA-4DA3-81B8-8113262BE9DB}"/>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DA911DB6-2E4E-4E94-A3D9-2275653A82C7}"/>
            </a:ext>
          </a:extLst>
        </xdr:cNvPr>
        <xdr:cNvSpPr/>
      </xdr:nvSpPr>
      <xdr:spPr>
        <a:xfrm>
          <a:off x="194829" y="99950"/>
          <a:ext cx="126111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73B8C272-2803-4BFA-A99A-F6BF26E3099E}"/>
            </a:ext>
          </a:extLst>
        </xdr:cNvPr>
        <xdr:cNvSpPr/>
      </xdr:nvSpPr>
      <xdr:spPr>
        <a:xfrm>
          <a:off x="383063" y="2555504"/>
          <a:ext cx="254634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5872DA97-37B4-463D-A689-9418BD7F9D6B}"/>
            </a:ext>
          </a:extLst>
        </xdr:cNvPr>
        <xdr:cNvSpPr/>
      </xdr:nvSpPr>
      <xdr:spPr>
        <a:xfrm>
          <a:off x="404174" y="5346204"/>
          <a:ext cx="4676774"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E53C77ED-207D-4187-AD9D-CAD088FC1E72}"/>
            </a:ext>
          </a:extLst>
        </xdr:cNvPr>
        <xdr:cNvSpPr/>
      </xdr:nvSpPr>
      <xdr:spPr>
        <a:xfrm>
          <a:off x="3170255" y="11257065"/>
          <a:ext cx="38735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8A86BC56-A3A1-4000-BD36-84F19126582A}"/>
            </a:ext>
          </a:extLst>
        </xdr:cNvPr>
        <xdr:cNvSpPr/>
      </xdr:nvSpPr>
      <xdr:spPr>
        <a:xfrm>
          <a:off x="3145518" y="7747454"/>
          <a:ext cx="3873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2CC66C1A-3F11-4B8B-AB81-3B038E680958}"/>
            </a:ext>
          </a:extLst>
        </xdr:cNvPr>
        <xdr:cNvSpPr/>
      </xdr:nvSpPr>
      <xdr:spPr>
        <a:xfrm>
          <a:off x="3178175" y="17021175"/>
          <a:ext cx="3873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6B000F4B-89F6-43AF-8F26-47E0500F02E6}"/>
            </a:ext>
          </a:extLst>
        </xdr:cNvPr>
        <xdr:cNvSpPr/>
      </xdr:nvSpPr>
      <xdr:spPr>
        <a:xfrm>
          <a:off x="3178175" y="13884275"/>
          <a:ext cx="3873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CFA6A70E-08BC-4CE1-B64E-C4E1600C8773}"/>
            </a:ext>
          </a:extLst>
        </xdr:cNvPr>
        <xdr:cNvSpPr/>
      </xdr:nvSpPr>
      <xdr:spPr>
        <a:xfrm>
          <a:off x="3178175" y="69465825"/>
          <a:ext cx="3873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3C908ED8-AE23-44EA-B231-4D28100298AC}"/>
            </a:ext>
          </a:extLst>
        </xdr:cNvPr>
        <xdr:cNvSpPr/>
      </xdr:nvSpPr>
      <xdr:spPr>
        <a:xfrm>
          <a:off x="3178175" y="66319400"/>
          <a:ext cx="3873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6B76F856-BCC1-4D20-B966-27DFB75C5AB2}"/>
            </a:ext>
          </a:extLst>
        </xdr:cNvPr>
        <xdr:cNvSpPr/>
      </xdr:nvSpPr>
      <xdr:spPr>
        <a:xfrm>
          <a:off x="3178175" y="57664350"/>
          <a:ext cx="3873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E1E3137B-836C-478F-9E0B-16D642B60C5A}"/>
            </a:ext>
          </a:extLst>
        </xdr:cNvPr>
        <xdr:cNvSpPr/>
      </xdr:nvSpPr>
      <xdr:spPr>
        <a:xfrm>
          <a:off x="3178175" y="54517925"/>
          <a:ext cx="3873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CA2302C1-0231-4D3E-B4A5-9301042D82BC}"/>
            </a:ext>
          </a:extLst>
        </xdr:cNvPr>
        <xdr:cNvSpPr/>
      </xdr:nvSpPr>
      <xdr:spPr>
        <a:xfrm>
          <a:off x="410440" y="70469291"/>
          <a:ext cx="8162925"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9F41A9F7-A0B9-41E0-9FF7-B0FBE2731F2D}"/>
            </a:ext>
          </a:extLst>
        </xdr:cNvPr>
        <xdr:cNvSpPr/>
      </xdr:nvSpPr>
      <xdr:spPr>
        <a:xfrm>
          <a:off x="3178175" y="19970750"/>
          <a:ext cx="3873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6F47C71B-1E97-4A86-A612-B233E5FC6DD7}"/>
            </a:ext>
          </a:extLst>
        </xdr:cNvPr>
        <xdr:cNvSpPr/>
      </xdr:nvSpPr>
      <xdr:spPr>
        <a:xfrm>
          <a:off x="3178175" y="51663600"/>
          <a:ext cx="3873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77264210-04DD-4E20-92A1-16859FA75232}"/>
            </a:ext>
          </a:extLst>
        </xdr:cNvPr>
        <xdr:cNvSpPr/>
      </xdr:nvSpPr>
      <xdr:spPr>
        <a:xfrm>
          <a:off x="3178175" y="48526700"/>
          <a:ext cx="3873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4D0DE3A9-AA96-40A0-85E7-40F3C04434D8}"/>
            </a:ext>
          </a:extLst>
        </xdr:cNvPr>
        <xdr:cNvSpPr/>
      </xdr:nvSpPr>
      <xdr:spPr>
        <a:xfrm>
          <a:off x="3178175" y="63655575"/>
          <a:ext cx="3873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4E0EF8CE-BF44-4139-8F45-C3C437EC30F1}"/>
            </a:ext>
          </a:extLst>
        </xdr:cNvPr>
        <xdr:cNvSpPr/>
      </xdr:nvSpPr>
      <xdr:spPr>
        <a:xfrm>
          <a:off x="3178175" y="60518675"/>
          <a:ext cx="3873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701799BC-F7E2-4F99-842A-4DDCA715E148}"/>
            </a:ext>
          </a:extLst>
        </xdr:cNvPr>
        <xdr:cNvSpPr/>
      </xdr:nvSpPr>
      <xdr:spPr>
        <a:xfrm>
          <a:off x="3178175" y="39490650"/>
          <a:ext cx="3873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CD94610A-6C04-4038-AF6E-FA3DF95B27D5}"/>
            </a:ext>
          </a:extLst>
        </xdr:cNvPr>
        <xdr:cNvSpPr/>
      </xdr:nvSpPr>
      <xdr:spPr>
        <a:xfrm>
          <a:off x="3178175" y="42440225"/>
          <a:ext cx="3873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5AC95F63-4C3C-4605-B584-E4C6A89716D9}"/>
            </a:ext>
          </a:extLst>
        </xdr:cNvPr>
        <xdr:cNvSpPr/>
      </xdr:nvSpPr>
      <xdr:spPr>
        <a:xfrm>
          <a:off x="6557645" y="53881655"/>
          <a:ext cx="5588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1731158B-F5ED-4D0E-BAC7-DDA9487BF88E}"/>
            </a:ext>
          </a:extLst>
        </xdr:cNvPr>
        <xdr:cNvSpPr/>
      </xdr:nvSpPr>
      <xdr:spPr>
        <a:xfrm>
          <a:off x="3178175" y="26623434"/>
          <a:ext cx="38735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B50B5DF9-AF3D-4E92-AF33-FB15992B5581}"/>
            </a:ext>
          </a:extLst>
        </xdr:cNvPr>
        <xdr:cNvSpPr/>
      </xdr:nvSpPr>
      <xdr:spPr>
        <a:xfrm>
          <a:off x="3087157" y="32674984"/>
          <a:ext cx="49953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FD0E2847-B562-45E4-A2CD-4ED759B9F15F}"/>
            </a:ext>
          </a:extLst>
        </xdr:cNvPr>
        <xdr:cNvSpPr/>
      </xdr:nvSpPr>
      <xdr:spPr>
        <a:xfrm>
          <a:off x="64674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F60C0ADF-0C8C-40AF-A97D-3D8FEE3B8D46}"/>
            </a:ext>
          </a:extLst>
        </xdr:cNvPr>
        <xdr:cNvSpPr/>
      </xdr:nvSpPr>
      <xdr:spPr>
        <a:xfrm>
          <a:off x="3182409" y="30267275"/>
          <a:ext cx="38735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DA30ED22-7B35-42A9-80EE-9B4A8B20ADDC}"/>
            </a:ext>
          </a:extLst>
        </xdr:cNvPr>
        <xdr:cNvSpPr/>
      </xdr:nvSpPr>
      <xdr:spPr>
        <a:xfrm>
          <a:off x="3178175" y="45672375"/>
          <a:ext cx="3873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7A7F231F-DFD6-4698-A737-7E4AAA113256}"/>
            </a:ext>
          </a:extLst>
        </xdr:cNvPr>
        <xdr:cNvSpPr/>
      </xdr:nvSpPr>
      <xdr:spPr>
        <a:xfrm>
          <a:off x="3155950" y="23228300"/>
          <a:ext cx="3810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F65011B2-C8AC-4EDC-86E1-5CCAD8D4D78F}"/>
            </a:ext>
          </a:extLst>
        </xdr:cNvPr>
        <xdr:cNvSpPr/>
      </xdr:nvSpPr>
      <xdr:spPr>
        <a:xfrm>
          <a:off x="213879" y="99950"/>
          <a:ext cx="138303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7CCE27AB-ABDF-452B-9819-70A99C8059D5}"/>
            </a:ext>
          </a:extLst>
        </xdr:cNvPr>
        <xdr:cNvSpPr/>
      </xdr:nvSpPr>
      <xdr:spPr>
        <a:xfrm>
          <a:off x="421163" y="2555504"/>
          <a:ext cx="281304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2D13A4CE-2CA0-473B-9E90-8F67A7279632}"/>
            </a:ext>
          </a:extLst>
        </xdr:cNvPr>
        <xdr:cNvSpPr/>
      </xdr:nvSpPr>
      <xdr:spPr>
        <a:xfrm>
          <a:off x="442274" y="5346204"/>
          <a:ext cx="5114924"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440E52D2-0046-4CA5-981E-BBDFD6BE3E56}"/>
            </a:ext>
          </a:extLst>
        </xdr:cNvPr>
        <xdr:cNvSpPr/>
      </xdr:nvSpPr>
      <xdr:spPr>
        <a:xfrm>
          <a:off x="3494105" y="11257065"/>
          <a:ext cx="42545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B8069AE1-485A-4EDC-B772-8DA919E399E2}"/>
            </a:ext>
          </a:extLst>
        </xdr:cNvPr>
        <xdr:cNvSpPr/>
      </xdr:nvSpPr>
      <xdr:spPr>
        <a:xfrm>
          <a:off x="3469368" y="7747454"/>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8E9DF70A-F194-4C41-8FCB-7FD614AB9F0D}"/>
            </a:ext>
          </a:extLst>
        </xdr:cNvPr>
        <xdr:cNvSpPr/>
      </xdr:nvSpPr>
      <xdr:spPr>
        <a:xfrm>
          <a:off x="3502025" y="170211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9C0CB6F0-AC4C-41B1-98A8-935DA0F5E397}"/>
            </a:ext>
          </a:extLst>
        </xdr:cNvPr>
        <xdr:cNvSpPr/>
      </xdr:nvSpPr>
      <xdr:spPr>
        <a:xfrm>
          <a:off x="3502025" y="1388427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1A7AD0A4-C0C9-413F-8A9F-19B2485C6996}"/>
            </a:ext>
          </a:extLst>
        </xdr:cNvPr>
        <xdr:cNvSpPr/>
      </xdr:nvSpPr>
      <xdr:spPr>
        <a:xfrm>
          <a:off x="3502025" y="6946582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34949915-AE53-41A3-A4BD-1D0408305231}"/>
            </a:ext>
          </a:extLst>
        </xdr:cNvPr>
        <xdr:cNvSpPr/>
      </xdr:nvSpPr>
      <xdr:spPr>
        <a:xfrm>
          <a:off x="3502025" y="66319400"/>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A10D5132-5803-4A88-ACD7-4C85D2032422}"/>
            </a:ext>
          </a:extLst>
        </xdr:cNvPr>
        <xdr:cNvSpPr/>
      </xdr:nvSpPr>
      <xdr:spPr>
        <a:xfrm>
          <a:off x="3502025" y="5766435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E860103C-D937-4FA7-95B9-E4BB29629370}"/>
            </a:ext>
          </a:extLst>
        </xdr:cNvPr>
        <xdr:cNvSpPr/>
      </xdr:nvSpPr>
      <xdr:spPr>
        <a:xfrm>
          <a:off x="3502025" y="5451792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DEA58FC1-D0AD-430C-9102-65FBF143D861}"/>
            </a:ext>
          </a:extLst>
        </xdr:cNvPr>
        <xdr:cNvSpPr/>
      </xdr:nvSpPr>
      <xdr:spPr>
        <a:xfrm>
          <a:off x="448540" y="70469291"/>
          <a:ext cx="8905875"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98AE99D0-B139-4E4C-BCBC-6BEB60CE2470}"/>
            </a:ext>
          </a:extLst>
        </xdr:cNvPr>
        <xdr:cNvSpPr/>
      </xdr:nvSpPr>
      <xdr:spPr>
        <a:xfrm>
          <a:off x="3502025" y="19970750"/>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57D9F560-5803-4549-B4B4-5CEF94656B13}"/>
            </a:ext>
          </a:extLst>
        </xdr:cNvPr>
        <xdr:cNvSpPr/>
      </xdr:nvSpPr>
      <xdr:spPr>
        <a:xfrm>
          <a:off x="3502025" y="5166360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87F650D0-ADC7-484C-8DA6-9E8AC17BFFFF}"/>
            </a:ext>
          </a:extLst>
        </xdr:cNvPr>
        <xdr:cNvSpPr/>
      </xdr:nvSpPr>
      <xdr:spPr>
        <a:xfrm>
          <a:off x="3502025" y="48526700"/>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C115C6CD-F80B-4E30-A24E-EB8A2367D44C}"/>
            </a:ext>
          </a:extLst>
        </xdr:cNvPr>
        <xdr:cNvSpPr/>
      </xdr:nvSpPr>
      <xdr:spPr>
        <a:xfrm>
          <a:off x="3502025" y="636555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0DBAF037-C87A-445A-890C-4A6F3CDB7BFF}"/>
            </a:ext>
          </a:extLst>
        </xdr:cNvPr>
        <xdr:cNvSpPr/>
      </xdr:nvSpPr>
      <xdr:spPr>
        <a:xfrm>
          <a:off x="3502025" y="6051867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1AAFCD24-815D-4665-A53F-A49DA917DDA5}"/>
            </a:ext>
          </a:extLst>
        </xdr:cNvPr>
        <xdr:cNvSpPr/>
      </xdr:nvSpPr>
      <xdr:spPr>
        <a:xfrm>
          <a:off x="3502025" y="3949065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854E6BF6-0D37-4CA7-AD44-211CF13F23E3}"/>
            </a:ext>
          </a:extLst>
        </xdr:cNvPr>
        <xdr:cNvSpPr/>
      </xdr:nvSpPr>
      <xdr:spPr>
        <a:xfrm>
          <a:off x="3502025" y="42440225"/>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D618F2D5-DE4D-479F-A3E9-7EFE10D8506E}"/>
            </a:ext>
          </a:extLst>
        </xdr:cNvPr>
        <xdr:cNvSpPr/>
      </xdr:nvSpPr>
      <xdr:spPr>
        <a:xfrm>
          <a:off x="7167245" y="53881655"/>
          <a:ext cx="5778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0344FF88-744B-444F-9F6F-B83122B98258}"/>
            </a:ext>
          </a:extLst>
        </xdr:cNvPr>
        <xdr:cNvSpPr/>
      </xdr:nvSpPr>
      <xdr:spPr>
        <a:xfrm>
          <a:off x="3502025" y="26623434"/>
          <a:ext cx="42545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27BFE387-354D-4E29-93B7-82167C1AB0E8}"/>
            </a:ext>
          </a:extLst>
        </xdr:cNvPr>
        <xdr:cNvSpPr/>
      </xdr:nvSpPr>
      <xdr:spPr>
        <a:xfrm>
          <a:off x="3411007" y="32674984"/>
          <a:ext cx="53763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36428C88-A13F-42B2-894A-C0B2A30FEF58}"/>
            </a:ext>
          </a:extLst>
        </xdr:cNvPr>
        <xdr:cNvSpPr/>
      </xdr:nvSpPr>
      <xdr:spPr>
        <a:xfrm>
          <a:off x="70770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5C1510C4-4320-4146-B950-076C01E1193F}"/>
            </a:ext>
          </a:extLst>
        </xdr:cNvPr>
        <xdr:cNvSpPr/>
      </xdr:nvSpPr>
      <xdr:spPr>
        <a:xfrm>
          <a:off x="3506259" y="30267275"/>
          <a:ext cx="42545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FEA13F21-9D24-44DD-AAA9-F29875F3EDE6}"/>
            </a:ext>
          </a:extLst>
        </xdr:cNvPr>
        <xdr:cNvSpPr/>
      </xdr:nvSpPr>
      <xdr:spPr>
        <a:xfrm>
          <a:off x="3502025" y="456723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B7F9B9C2-8709-4570-8AEC-8E4FDAC904D3}"/>
            </a:ext>
          </a:extLst>
        </xdr:cNvPr>
        <xdr:cNvSpPr/>
      </xdr:nvSpPr>
      <xdr:spPr>
        <a:xfrm>
          <a:off x="3479800" y="23228300"/>
          <a:ext cx="4191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09010\Desktop\03&#27178;&#25163;&#24066;\&#35519;&#26619;&#34920;&#65288;&#27178;&#25163;&#24066;&#12539;&#30149;&#38498;&#20107;&#26989;&#6528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09010\Desktop\03&#27178;&#25163;&#24066;\&#35519;&#26619;&#34920;&#65288;&#27178;&#25163;&#24066;&#12539;&#19979;&#27700;&#36947;&#20107;&#26989;&#12539;&#36786;&#26989;&#38598;&#33853;&#25490;&#27700;&#6528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09010\Desktop\03&#27178;&#25163;&#24066;\&#35519;&#26619;&#34920;&#65288;&#27178;&#25163;&#24066;&#12539;&#19979;&#27700;&#36947;&#20107;&#26989;&#12539;&#29305;&#23450;&#22320;&#22495;&#29983;&#27963;&#25490;&#27700;&#6528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09010\Desktop\03&#27178;&#25163;&#24066;\&#35519;&#26619;&#34920;&#65288;&#27178;&#25163;&#24066;&#12539;&#19979;&#27700;&#36947;&#20107;&#26989;&#12539;&#23567;&#35215;&#27169;&#38598;&#21512;&#25490;&#27700;&#65289;.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09010\Desktop\03&#27178;&#25163;&#24066;\&#35519;&#26619;&#34920;&#65288;&#27178;&#25163;&#24066;&#12539;&#19979;&#27700;&#36947;&#20107;&#26989;&#12539;&#20844;&#20849;&#19979;&#27700;&#36947;&#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09010\Desktop\03&#27178;&#25163;&#24066;\&#35519;&#26619;&#34920;&#65288;&#27178;&#25163;&#24066;&#12539;&#27700;&#36947;&#20107;&#26989;&#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09010\Desktop\03&#27178;&#25163;&#24066;\&#35519;&#26619;&#34920;&#65288;&#27178;&#25163;&#24066;&#12539;&#35251;&#20809;&#26045;&#35373;&#20107;&#26989;&#12288;&#20241;&#39178;&#23487;&#27850;&#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09010\Desktop\03&#27178;&#25163;&#24066;\&#35519;&#26619;&#34920;&#65288;&#27178;&#25163;&#24066;&#12539;&#31777;&#26131;&#27700;&#36947;&#20107;&#26989;&#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09010\Desktop\03&#27178;&#25163;&#24066;\&#35519;&#26619;&#34920;&#65288;&#27178;&#25163;&#24066;&#12539;&#20171;&#35703;&#12539;&#32769;&#20154;&#30701;&#26399;&#20837;&#25152;&#26045;&#35373;&#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09010\Desktop\03&#27178;&#25163;&#24066;\&#35519;&#26619;&#34920;&#65288;&#27178;&#25163;&#24066;&#12539;&#20171;&#35703;&#12539;&#25351;&#23450;&#36890;&#25152;&#20171;&#35703;&#20107;&#26989;&#6528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09010\Desktop\03&#27178;&#25163;&#24066;\&#35519;&#26619;&#34920;&#65288;&#27178;&#25163;&#24066;&#12539;&#20171;&#35703;&#12539;&#25351;&#23450;&#20171;&#35703;&#32769;&#20154;&#31119;&#31049;&#26045;&#35373;&#6528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09010\Desktop\03&#27178;&#25163;&#24066;\&#35519;&#26619;&#34920;&#65288;&#27178;&#25163;&#24066;&#12539;&#20171;&#35703;&#12539;&#20171;&#35703;&#32769;&#20154;&#20445;&#20581;&#26045;&#35373;&#6528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09010\Desktop\03&#27178;&#25163;&#24066;\&#35519;&#26619;&#34920;&#65288;&#27178;&#25163;&#24066;&#12539;&#19979;&#27700;&#36947;&#20107;&#26989;&#12539;&#26519;&#26989;&#38598;&#33853;&#25490;&#27700;&#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横手市</v>
          </cell>
        </row>
        <row r="18">
          <cell r="F18" t="str">
            <v>病院事業</v>
          </cell>
          <cell r="W18" t="str">
            <v>―</v>
          </cell>
          <cell r="BD18" t="str">
            <v>●</v>
          </cell>
        </row>
        <row r="20">
          <cell r="F20" t="str">
            <v>ー</v>
          </cell>
        </row>
        <row r="49">
          <cell r="AA49" t="str">
            <v xml:space="preserve"> </v>
          </cell>
        </row>
        <row r="50">
          <cell r="X50" t="str">
            <v xml:space="preserve"> </v>
          </cell>
          <cell r="AD50" t="str">
            <v xml:space="preserve"> </v>
          </cell>
        </row>
        <row r="51">
          <cell r="AA51" t="str">
            <v xml:space="preserve"> </v>
          </cell>
          <cell r="AD51" t="str">
            <v xml:space="preserve"> </v>
          </cell>
        </row>
        <row r="52">
          <cell r="AA52" t="str">
            <v xml:space="preserve"> </v>
          </cell>
          <cell r="AD52" t="str">
            <v xml:space="preserve"> </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56">
          <cell r="R56" t="str">
            <v>●</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 xml:space="preserve"> </v>
          </cell>
        </row>
        <row r="316">
          <cell r="Y316" t="str">
            <v xml:space="preserve"> </v>
          </cell>
        </row>
        <row r="317">
          <cell r="Y317" t="str">
            <v xml:space="preserve"> </v>
          </cell>
        </row>
        <row r="319">
          <cell r="Y319" t="str">
            <v xml:space="preserve"> </v>
          </cell>
        </row>
        <row r="320">
          <cell r="Y320" t="str">
            <v xml:space="preserve"> </v>
          </cell>
        </row>
        <row r="321">
          <cell r="Y321" t="str">
            <v xml:space="preserve"> </v>
          </cell>
        </row>
        <row r="322">
          <cell r="Y322" t="str">
            <v xml:space="preserve"> </v>
          </cell>
        </row>
        <row r="323">
          <cell r="Y323" t="str">
            <v xml:space="preserve"> </v>
          </cell>
        </row>
        <row r="328">
          <cell r="N328" t="str">
            <v xml:space="preserve"> </v>
          </cell>
        </row>
        <row r="329">
          <cell r="N329" t="str">
            <v xml:space="preserve"> </v>
          </cell>
        </row>
        <row r="330">
          <cell r="N330" t="str">
            <v xml:space="preserve"> </v>
          </cell>
        </row>
        <row r="336">
          <cell r="E336" t="str">
            <v xml:space="preserve"> </v>
          </cell>
        </row>
        <row r="337">
          <cell r="E337" t="str">
            <v xml:space="preserve"> </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row r="634">
          <cell r="B634" t="str">
            <v>　病院事業管理者が公営企業としての経営責任の明確化を図り、行政から基本的に独立した企画感覚による経営を行っている。
　今年度は、公立病院強化プラン作成年度となっており、経営形態の見直し等についても検討するものとする。
　また、現時点で機能の定量的な基準がないため医療機関の自主的な判断に委ねられることから、人口構造及び疾病構造が変化していく中、体制を整えて行く必要がある。当面（計画期間中）は、現状を維持し、他の医療圏との関係性を保ちながら、将来の医療需要に見極めた対応をしていきます。
　</v>
          </cell>
        </row>
      </sheetData>
      <sheetData sheetId="1" refreshError="1"/>
      <sheetData sheetId="2" refreshError="1"/>
      <sheetData sheetId="3" refreshError="1"/>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横手市</v>
          </cell>
        </row>
        <row r="18">
          <cell r="F18" t="str">
            <v>下水道事業</v>
          </cell>
          <cell r="W18" t="str">
            <v>農業集落排水施設</v>
          </cell>
          <cell r="BD18" t="str">
            <v>×</v>
          </cell>
        </row>
        <row r="20">
          <cell r="F20" t="str">
            <v>ー</v>
          </cell>
        </row>
        <row r="49">
          <cell r="AA49" t="str">
            <v xml:space="preserve"> </v>
          </cell>
        </row>
        <row r="50">
          <cell r="X50" t="str">
            <v xml:space="preserve"> </v>
          </cell>
          <cell r="AD50" t="str">
            <v xml:space="preserve"> </v>
          </cell>
        </row>
        <row r="51">
          <cell r="R51" t="str">
            <v>●</v>
          </cell>
          <cell r="AA51" t="str">
            <v>●</v>
          </cell>
          <cell r="AD51" t="str">
            <v xml:space="preserve"> </v>
          </cell>
        </row>
        <row r="52">
          <cell r="AA52" t="str">
            <v xml:space="preserve"> </v>
          </cell>
          <cell r="AD52" t="str">
            <v xml:space="preserve"> </v>
          </cell>
        </row>
        <row r="53">
          <cell r="R53" t="str">
            <v>●</v>
          </cell>
          <cell r="X53" t="str">
            <v>●</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75">
          <cell r="B275" t="str">
            <v>汚水処理施設の統廃合（農業集落排水の３処理場を一つに統合する。）</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v>
          </cell>
        </row>
        <row r="316">
          <cell r="Y316" t="str">
            <v>●</v>
          </cell>
        </row>
        <row r="320">
          <cell r="Y320" t="str">
            <v xml:space="preserve"> </v>
          </cell>
        </row>
        <row r="321">
          <cell r="Y321" t="str">
            <v xml:space="preserve"> </v>
          </cell>
        </row>
        <row r="322">
          <cell r="Y322" t="str">
            <v xml:space="preserve"> </v>
          </cell>
        </row>
        <row r="323">
          <cell r="Y323" t="str">
            <v>●</v>
          </cell>
        </row>
        <row r="328">
          <cell r="N328" t="str">
            <v xml:space="preserve"> </v>
          </cell>
        </row>
        <row r="329">
          <cell r="N329" t="str">
            <v xml:space="preserve"> </v>
          </cell>
        </row>
        <row r="330">
          <cell r="N330" t="str">
            <v xml:space="preserve"> </v>
          </cell>
        </row>
        <row r="335">
          <cell r="B335" t="str">
            <v>令和</v>
          </cell>
          <cell r="E335">
            <v>5</v>
          </cell>
        </row>
        <row r="336">
          <cell r="E336">
            <v>3</v>
          </cell>
        </row>
        <row r="337">
          <cell r="E337">
            <v>31</v>
          </cell>
        </row>
        <row r="344">
          <cell r="E344">
            <v>5</v>
          </cell>
        </row>
        <row r="346">
          <cell r="B346" t="str">
            <v>維持管理費　年▲5</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34">
          <cell r="B434" t="str">
            <v>上下水道料金等関連業務について、事業提案型プロポーザル方式により委託者を選定し、委託契約を締結した。（期間５年）</v>
          </cell>
        </row>
        <row r="440">
          <cell r="B440" t="str">
            <v>窓口業務、検針調定業務、収納業務、還付業務、滞納整理業務、電算処理業務（料金システムを含む）、メーター交換業務、その他付帯業務　</v>
          </cell>
        </row>
        <row r="446">
          <cell r="B446" t="str">
            <v>平成</v>
          </cell>
          <cell r="E446">
            <v>22</v>
          </cell>
        </row>
        <row r="447">
          <cell r="E447">
            <v>11</v>
          </cell>
        </row>
        <row r="448">
          <cell r="E448">
            <v>30</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sheetData>
      <sheetData sheetId="1" refreshError="1"/>
      <sheetData sheetId="2" refreshError="1"/>
      <sheetData sheetId="3" refreshError="1"/>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横手市</v>
          </cell>
        </row>
        <row r="18">
          <cell r="F18" t="str">
            <v>下水道事業</v>
          </cell>
          <cell r="W18" t="str">
            <v>特定地域排水処理施設</v>
          </cell>
          <cell r="BD18" t="str">
            <v>×</v>
          </cell>
        </row>
        <row r="20">
          <cell r="F20" t="str">
            <v>ー</v>
          </cell>
        </row>
        <row r="49">
          <cell r="AA49" t="str">
            <v xml:space="preserve"> </v>
          </cell>
        </row>
        <row r="50">
          <cell r="X50" t="str">
            <v xml:space="preserve"> </v>
          </cell>
          <cell r="AD50" t="str">
            <v xml:space="preserve"> </v>
          </cell>
        </row>
        <row r="51">
          <cell r="AD51" t="str">
            <v xml:space="preserve"> </v>
          </cell>
        </row>
        <row r="52">
          <cell r="AA52" t="str">
            <v xml:space="preserve"> </v>
          </cell>
          <cell r="AD52" t="str">
            <v xml:space="preserve"> </v>
          </cell>
        </row>
        <row r="53">
          <cell r="R53" t="str">
            <v>●</v>
          </cell>
          <cell r="X53" t="str">
            <v>●</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20">
          <cell r="Y320" t="str">
            <v xml:space="preserve"> </v>
          </cell>
        </row>
        <row r="321">
          <cell r="Y321" t="str">
            <v xml:space="preserve"> </v>
          </cell>
        </row>
        <row r="322">
          <cell r="Y322" t="str">
            <v xml:space="preserve"> </v>
          </cell>
        </row>
        <row r="328">
          <cell r="N328" t="str">
            <v xml:space="preserve"> </v>
          </cell>
        </row>
        <row r="329">
          <cell r="N329" t="str">
            <v xml:space="preserve"> </v>
          </cell>
        </row>
        <row r="330">
          <cell r="N330" t="str">
            <v xml:space="preserve"> </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34">
          <cell r="B434" t="str">
            <v>上下水道料金等関連業務について、事業提案型プロポーザル方式により委託者を選定し、委託契約を締結した。（期間５年）</v>
          </cell>
        </row>
        <row r="440">
          <cell r="B440" t="str">
            <v>窓口業務、検針調定業務、収納業務、還付業務、滞納整理業務、電算処理業務（料金システムを含む）、その他付帯業務　</v>
          </cell>
        </row>
        <row r="446">
          <cell r="B446" t="str">
            <v>平成</v>
          </cell>
          <cell r="E446">
            <v>22</v>
          </cell>
        </row>
        <row r="447">
          <cell r="E447">
            <v>11</v>
          </cell>
        </row>
        <row r="448">
          <cell r="E448">
            <v>30</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sheetData>
      <sheetData sheetId="1" refreshError="1"/>
      <sheetData sheetId="2" refreshError="1"/>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横手市</v>
          </cell>
        </row>
        <row r="18">
          <cell r="F18" t="str">
            <v>下水道事業</v>
          </cell>
          <cell r="W18" t="str">
            <v>小規模集合排水施設</v>
          </cell>
          <cell r="BD18" t="str">
            <v>×</v>
          </cell>
        </row>
        <row r="20">
          <cell r="F20" t="str">
            <v>ー</v>
          </cell>
        </row>
        <row r="49">
          <cell r="AA49" t="str">
            <v xml:space="preserve"> </v>
          </cell>
        </row>
        <row r="50">
          <cell r="X50" t="str">
            <v xml:space="preserve"> </v>
          </cell>
          <cell r="AD50" t="str">
            <v xml:space="preserve"> </v>
          </cell>
        </row>
        <row r="51">
          <cell r="AD51" t="str">
            <v xml:space="preserve"> </v>
          </cell>
        </row>
        <row r="52">
          <cell r="AA52" t="str">
            <v xml:space="preserve"> </v>
          </cell>
          <cell r="AD52" t="str">
            <v xml:space="preserve"> </v>
          </cell>
        </row>
        <row r="53">
          <cell r="R53" t="str">
            <v>●</v>
          </cell>
          <cell r="X53" t="str">
            <v>●</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20">
          <cell r="Y320" t="str">
            <v xml:space="preserve"> </v>
          </cell>
        </row>
        <row r="321">
          <cell r="Y321" t="str">
            <v xml:space="preserve"> </v>
          </cell>
        </row>
        <row r="322">
          <cell r="Y322" t="str">
            <v xml:space="preserve"> </v>
          </cell>
        </row>
        <row r="328">
          <cell r="N328" t="str">
            <v xml:space="preserve"> </v>
          </cell>
        </row>
        <row r="329">
          <cell r="N329" t="str">
            <v xml:space="preserve"> </v>
          </cell>
        </row>
        <row r="330">
          <cell r="N330" t="str">
            <v xml:space="preserve"> </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34">
          <cell r="B434" t="str">
            <v>上下水道料金等関連業務について、事業提案型プロポーザル方式により委託者を選定し、委託契約を締結した。（期間５年）</v>
          </cell>
        </row>
        <row r="440">
          <cell r="B440" t="str">
            <v>窓口業務、検針調定業務、収納業務、還付業務、滞納整理業務、電算処理業務（料金システムを含む）、メーター交換業務、その他付帯業務　</v>
          </cell>
        </row>
        <row r="446">
          <cell r="B446" t="str">
            <v>平成</v>
          </cell>
          <cell r="E446">
            <v>22</v>
          </cell>
        </row>
        <row r="447">
          <cell r="E447">
            <v>11</v>
          </cell>
        </row>
        <row r="448">
          <cell r="E448">
            <v>30</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sheetData>
      <sheetData sheetId="1" refreshError="1"/>
      <sheetData sheetId="2" refreshError="1"/>
      <sheetData sheetId="3" refreshError="1"/>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横手市</v>
          </cell>
        </row>
        <row r="18">
          <cell r="F18" t="str">
            <v>下水道事業</v>
          </cell>
          <cell r="W18" t="str">
            <v>公共下水道</v>
          </cell>
          <cell r="BD18" t="str">
            <v>×</v>
          </cell>
        </row>
        <row r="20">
          <cell r="F20" t="str">
            <v>ー</v>
          </cell>
        </row>
        <row r="49">
          <cell r="AA49" t="str">
            <v xml:space="preserve"> </v>
          </cell>
        </row>
        <row r="50">
          <cell r="X50" t="str">
            <v xml:space="preserve"> </v>
          </cell>
          <cell r="AD50" t="str">
            <v xml:space="preserve"> </v>
          </cell>
        </row>
        <row r="51">
          <cell r="R51" t="str">
            <v>●</v>
          </cell>
          <cell r="AA51" t="str">
            <v>●</v>
          </cell>
          <cell r="AD51" t="str">
            <v xml:space="preserve"> </v>
          </cell>
        </row>
        <row r="52">
          <cell r="AA52" t="str">
            <v xml:space="preserve"> </v>
          </cell>
          <cell r="AD52" t="str">
            <v xml:space="preserve"> </v>
          </cell>
        </row>
        <row r="53">
          <cell r="R53" t="str">
            <v>●</v>
          </cell>
          <cell r="X53" t="str">
            <v>●</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75">
          <cell r="B275" t="str">
            <v>汚水処理施設の統廃合（単独公共下水道を流域関連公共下水道に接続する。）</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v>
          </cell>
        </row>
        <row r="316">
          <cell r="Y316" t="str">
            <v xml:space="preserve"> </v>
          </cell>
        </row>
        <row r="317">
          <cell r="Y317" t="str">
            <v>●</v>
          </cell>
        </row>
        <row r="319">
          <cell r="Y319" t="str">
            <v>●</v>
          </cell>
        </row>
        <row r="320">
          <cell r="Y320" t="str">
            <v xml:space="preserve"> </v>
          </cell>
        </row>
        <row r="321">
          <cell r="Y321" t="str">
            <v xml:space="preserve"> </v>
          </cell>
        </row>
        <row r="322">
          <cell r="Y322" t="str">
            <v xml:space="preserve"> </v>
          </cell>
        </row>
        <row r="323">
          <cell r="Y323" t="str">
            <v xml:space="preserve"> </v>
          </cell>
        </row>
        <row r="328">
          <cell r="N328" t="str">
            <v xml:space="preserve"> </v>
          </cell>
        </row>
        <row r="329">
          <cell r="N329" t="str">
            <v xml:space="preserve"> </v>
          </cell>
        </row>
        <row r="330">
          <cell r="N330" t="str">
            <v xml:space="preserve"> </v>
          </cell>
        </row>
        <row r="335">
          <cell r="B335" t="str">
            <v>令和</v>
          </cell>
          <cell r="E335">
            <v>5</v>
          </cell>
        </row>
        <row r="336">
          <cell r="E336">
            <v>3</v>
          </cell>
        </row>
        <row r="337">
          <cell r="E337">
            <v>31</v>
          </cell>
        </row>
        <row r="344">
          <cell r="E344">
            <v>1</v>
          </cell>
        </row>
        <row r="346">
          <cell r="B346" t="str">
            <v>建設改良費　年▲1</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34">
          <cell r="B434" t="str">
            <v>上下水道料金等関連業務について、事業提案型プロポーザル方式により委託者を選定し、委託契約を締結した。（期間５年）</v>
          </cell>
        </row>
        <row r="440">
          <cell r="B440" t="str">
            <v>窓口業務、検針調定業務、収納業務、還付業務、滞納整理業務、電算処理業務（料金システムを含む）、メーター交換業務、その他付帯業務　</v>
          </cell>
        </row>
        <row r="446">
          <cell r="B446" t="str">
            <v>平成</v>
          </cell>
          <cell r="E446">
            <v>22</v>
          </cell>
        </row>
        <row r="447">
          <cell r="E447">
            <v>11</v>
          </cell>
        </row>
        <row r="448">
          <cell r="E448">
            <v>30</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横手市</v>
          </cell>
        </row>
        <row r="18">
          <cell r="F18" t="str">
            <v>水道事業</v>
          </cell>
          <cell r="W18" t="str">
            <v>―</v>
          </cell>
          <cell r="BD18" t="str">
            <v>×</v>
          </cell>
        </row>
        <row r="20">
          <cell r="F20" t="str">
            <v>ー</v>
          </cell>
        </row>
        <row r="49">
          <cell r="AA49" t="str">
            <v xml:space="preserve"> </v>
          </cell>
        </row>
        <row r="50">
          <cell r="X50" t="str">
            <v xml:space="preserve"> </v>
          </cell>
          <cell r="AD50" t="str">
            <v xml:space="preserve"> </v>
          </cell>
        </row>
        <row r="51">
          <cell r="R51" t="str">
            <v>●</v>
          </cell>
          <cell r="AA51" t="str">
            <v>●</v>
          </cell>
          <cell r="AD51" t="str">
            <v xml:space="preserve"> </v>
          </cell>
        </row>
        <row r="52">
          <cell r="AA52" t="str">
            <v xml:space="preserve"> </v>
          </cell>
          <cell r="AD52" t="str">
            <v xml:space="preserve"> </v>
          </cell>
        </row>
        <row r="53">
          <cell r="R53" t="str">
            <v>●</v>
          </cell>
          <cell r="X53" t="str">
            <v>●</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75">
          <cell r="B275" t="str">
            <v xml:space="preserve">市内他水源から離れている地域の給水について水源を維持していくことが困難になってきており、その課題に対処するため他自治体（他県）から県境を越えて受水することとし、協議を重ねた結果、令和４年３月に地方自治法第244条の3第2項の規定に基づく公の施設の利用に関する協議について議会の議決を得たところである。       </v>
          </cell>
        </row>
        <row r="283">
          <cell r="J283" t="str">
            <v xml:space="preserve"> </v>
          </cell>
        </row>
        <row r="290">
          <cell r="J290" t="str">
            <v>●</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 xml:space="preserve"> </v>
          </cell>
        </row>
        <row r="316">
          <cell r="Y316" t="str">
            <v xml:space="preserve"> </v>
          </cell>
        </row>
        <row r="317">
          <cell r="Y317" t="str">
            <v xml:space="preserve"> </v>
          </cell>
        </row>
        <row r="319">
          <cell r="Y319" t="str">
            <v xml:space="preserve"> </v>
          </cell>
        </row>
        <row r="320">
          <cell r="Y320" t="str">
            <v xml:space="preserve"> </v>
          </cell>
        </row>
        <row r="321">
          <cell r="Y321" t="str">
            <v xml:space="preserve"> </v>
          </cell>
        </row>
        <row r="322">
          <cell r="Y322" t="str">
            <v xml:space="preserve"> </v>
          </cell>
        </row>
        <row r="323">
          <cell r="Y323" t="str">
            <v xml:space="preserve"> </v>
          </cell>
        </row>
        <row r="328">
          <cell r="N328" t="str">
            <v xml:space="preserve"> </v>
          </cell>
        </row>
        <row r="329">
          <cell r="N329" t="str">
            <v xml:space="preserve"> </v>
          </cell>
        </row>
        <row r="330">
          <cell r="N330" t="str">
            <v xml:space="preserve"> </v>
          </cell>
        </row>
        <row r="335">
          <cell r="B335" t="str">
            <v>令和</v>
          </cell>
          <cell r="E335">
            <v>6</v>
          </cell>
        </row>
        <row r="336">
          <cell r="E336">
            <v>4</v>
          </cell>
        </row>
        <row r="337">
          <cell r="E337">
            <v>1</v>
          </cell>
        </row>
        <row r="344">
          <cell r="E344">
            <v>18</v>
          </cell>
        </row>
        <row r="346">
          <cell r="B346" t="str">
            <v>①建設改良費　年▲17
②維持管理費　年▲  1
　　　　　　計　  　  ▲18</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34">
          <cell r="B434" t="str">
            <v>上下水道料金等関連業務について、事業提案型プロポーザル方式により委託者を選定し、委託契約を締結した。（期間５年）</v>
          </cell>
        </row>
        <row r="440">
          <cell r="B440" t="str">
            <v>窓口業務、開閉栓業務、検針調定業務、収納業務、還付業務、滞納整理業務、給水停止業務、電算処理業務（料金システムを含む）、メーター交換業務、その他付帯業務　</v>
          </cell>
        </row>
        <row r="446">
          <cell r="B446" t="str">
            <v>平成</v>
          </cell>
          <cell r="E446">
            <v>22</v>
          </cell>
        </row>
        <row r="447">
          <cell r="E447">
            <v>11</v>
          </cell>
        </row>
        <row r="448">
          <cell r="E448">
            <v>30</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sheetData>
      <sheetData sheetId="1" refreshError="1"/>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横手市</v>
          </cell>
        </row>
        <row r="18">
          <cell r="F18" t="str">
            <v>観光施設事業</v>
          </cell>
          <cell r="W18" t="str">
            <v>休養宿泊</v>
          </cell>
          <cell r="BD18" t="str">
            <v>●</v>
          </cell>
        </row>
        <row r="20">
          <cell r="F20" t="str">
            <v>ー</v>
          </cell>
        </row>
        <row r="49">
          <cell r="AA49" t="str">
            <v xml:space="preserve"> </v>
          </cell>
        </row>
        <row r="50">
          <cell r="R50" t="str">
            <v>●</v>
          </cell>
          <cell r="X50" t="str">
            <v xml:space="preserve"> </v>
          </cell>
          <cell r="AD50" t="str">
            <v>●</v>
          </cell>
        </row>
        <row r="51">
          <cell r="AA51" t="str">
            <v xml:space="preserve"> </v>
          </cell>
          <cell r="AD51" t="str">
            <v xml:space="preserve"> </v>
          </cell>
        </row>
        <row r="52">
          <cell r="R52" t="str">
            <v>●</v>
          </cell>
          <cell r="AA52" t="str">
            <v xml:space="preserve"> </v>
          </cell>
          <cell r="AD52" t="str">
            <v>●</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180">
          <cell r="B180" t="str">
            <v>平成29年度に市営温泉6施設の譲渡について公募形式で譲渡先を募り、平成30年度に6施設のうち3施設を民間企業に譲渡。</v>
          </cell>
        </row>
        <row r="186">
          <cell r="B186" t="str">
            <v>しかしながら、平成30年度に以前三セクが運営していた温泉施設を民間企業に譲渡した３施設が、令和２年度以降に全て市へ返還され、現在の市営温泉施設３施設とあわせた６施設を、コロナ禍と人口減少社会において民間譲渡および指定管理できるかが課題。</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 xml:space="preserve"> </v>
          </cell>
        </row>
        <row r="316">
          <cell r="Y316" t="str">
            <v xml:space="preserve"> </v>
          </cell>
        </row>
        <row r="317">
          <cell r="Y317" t="str">
            <v xml:space="preserve"> </v>
          </cell>
        </row>
        <row r="319">
          <cell r="Y319" t="str">
            <v xml:space="preserve"> </v>
          </cell>
        </row>
        <row r="320">
          <cell r="Y320" t="str">
            <v xml:space="preserve"> </v>
          </cell>
        </row>
        <row r="321">
          <cell r="Y321" t="str">
            <v xml:space="preserve"> </v>
          </cell>
        </row>
        <row r="322">
          <cell r="Y322" t="str">
            <v xml:space="preserve"> </v>
          </cell>
        </row>
        <row r="323">
          <cell r="Y323" t="str">
            <v xml:space="preserve"> </v>
          </cell>
        </row>
        <row r="328">
          <cell r="N328" t="str">
            <v xml:space="preserve"> </v>
          </cell>
        </row>
        <row r="329">
          <cell r="N329" t="str">
            <v xml:space="preserve"> </v>
          </cell>
        </row>
        <row r="330">
          <cell r="N330" t="str">
            <v xml:space="preserve"> </v>
          </cell>
        </row>
        <row r="336">
          <cell r="E336" t="str">
            <v xml:space="preserve"> </v>
          </cell>
        </row>
        <row r="337">
          <cell r="E337" t="str">
            <v xml:space="preserve"> </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17">
          <cell r="B417" t="str">
            <v>平成29年度に市営温泉6施設の譲渡について公募形式で譲渡先を募り、平成30年度に6施設のうち3施設を民間企業に譲渡。</v>
          </cell>
        </row>
        <row r="423">
          <cell r="B423" t="str">
            <v>しかしながら、平成30年度に以前三セクが運営していた温泉施設を民間企業に譲渡した３施設が、令和２年度以降に全て市へ返還され、現在の市営温泉施設３施設とあわせた６施設を、コロナ禍と人口減少社会において民間譲渡および指定管理できるかが課題。</v>
          </cell>
        </row>
        <row r="447">
          <cell r="E447" t="str">
            <v xml:space="preserve"> </v>
          </cell>
        </row>
        <row r="448">
          <cell r="E448" t="str">
            <v xml:space="preserve"> </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sheetData>
      <sheetData sheetId="1" refreshError="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横手市</v>
          </cell>
        </row>
        <row r="18">
          <cell r="F18" t="str">
            <v>簡易水道事業</v>
          </cell>
          <cell r="W18" t="str">
            <v>―</v>
          </cell>
          <cell r="BD18" t="str">
            <v>×</v>
          </cell>
        </row>
        <row r="20">
          <cell r="F20" t="str">
            <v>ー</v>
          </cell>
        </row>
        <row r="49">
          <cell r="R49" t="str">
            <v>●</v>
          </cell>
          <cell r="X49" t="str">
            <v>●</v>
          </cell>
          <cell r="AA49" t="str">
            <v xml:space="preserve"> </v>
          </cell>
        </row>
        <row r="50">
          <cell r="X50" t="str">
            <v xml:space="preserve"> </v>
          </cell>
          <cell r="AD50" t="str">
            <v xml:space="preserve"> </v>
          </cell>
        </row>
        <row r="51">
          <cell r="AA51" t="str">
            <v xml:space="preserve"> </v>
          </cell>
          <cell r="AD51" t="str">
            <v xml:space="preserve"> </v>
          </cell>
        </row>
        <row r="52">
          <cell r="AA52" t="str">
            <v xml:space="preserve"> </v>
          </cell>
          <cell r="AD52" t="str">
            <v xml:space="preserve"> </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67">
          <cell r="B67" t="str">
            <v>20の法適簡易水道事業を廃止し、上水道事業に統合（認可）した。
今後は施設の統廃合により維持管理すべき施設数を削減し、維持管理の効率化を図る。</v>
          </cell>
        </row>
        <row r="73">
          <cell r="G73" t="str">
            <v>●</v>
          </cell>
          <cell r="S73" t="str">
            <v>平成</v>
          </cell>
          <cell r="V73">
            <v>29</v>
          </cell>
        </row>
        <row r="74">
          <cell r="G74" t="str">
            <v xml:space="preserve"> </v>
          </cell>
          <cell r="V74">
            <v>4</v>
          </cell>
        </row>
        <row r="75">
          <cell r="V75">
            <v>1</v>
          </cell>
        </row>
        <row r="79">
          <cell r="O79" t="str">
            <v xml:space="preserve"> </v>
          </cell>
          <cell r="AG79" t="str">
            <v>●</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 xml:space="preserve"> </v>
          </cell>
        </row>
        <row r="316">
          <cell r="Y316" t="str">
            <v xml:space="preserve"> </v>
          </cell>
        </row>
        <row r="317">
          <cell r="Y317" t="str">
            <v xml:space="preserve"> </v>
          </cell>
        </row>
        <row r="319">
          <cell r="Y319" t="str">
            <v xml:space="preserve"> </v>
          </cell>
        </row>
        <row r="320">
          <cell r="Y320" t="str">
            <v xml:space="preserve"> </v>
          </cell>
        </row>
        <row r="321">
          <cell r="Y321" t="str">
            <v xml:space="preserve"> </v>
          </cell>
        </row>
        <row r="322">
          <cell r="Y322" t="str">
            <v xml:space="preserve"> </v>
          </cell>
        </row>
        <row r="323">
          <cell r="Y323" t="str">
            <v xml:space="preserve"> </v>
          </cell>
        </row>
        <row r="328">
          <cell r="N328" t="str">
            <v xml:space="preserve"> </v>
          </cell>
        </row>
        <row r="329">
          <cell r="N329" t="str">
            <v xml:space="preserve"> </v>
          </cell>
        </row>
        <row r="330">
          <cell r="N330" t="str">
            <v xml:space="preserve"> </v>
          </cell>
        </row>
        <row r="336">
          <cell r="E336" t="str">
            <v xml:space="preserve"> </v>
          </cell>
        </row>
        <row r="337">
          <cell r="E337" t="str">
            <v xml:space="preserve"> </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sheetData>
      <sheetData sheetId="1" refreshError="1"/>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横手市</v>
          </cell>
        </row>
        <row r="18">
          <cell r="F18" t="str">
            <v>介護サービス事業</v>
          </cell>
          <cell r="W18" t="str">
            <v>老人短期入所施設</v>
          </cell>
          <cell r="BD18" t="str">
            <v>●</v>
          </cell>
        </row>
        <row r="20">
          <cell r="F20" t="str">
            <v>ー</v>
          </cell>
        </row>
        <row r="49">
          <cell r="AA49" t="str">
            <v xml:space="preserve"> </v>
          </cell>
        </row>
        <row r="50">
          <cell r="X50" t="str">
            <v xml:space="preserve"> </v>
          </cell>
          <cell r="AD50" t="str">
            <v xml:space="preserve"> </v>
          </cell>
        </row>
        <row r="51">
          <cell r="AA51" t="str">
            <v xml:space="preserve"> </v>
          </cell>
          <cell r="AD51" t="str">
            <v xml:space="preserve"> </v>
          </cell>
        </row>
        <row r="52">
          <cell r="AA52" t="str">
            <v xml:space="preserve"> </v>
          </cell>
          <cell r="AD52" t="str">
            <v xml:space="preserve"> </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56">
          <cell r="R56" t="str">
            <v>●</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 xml:space="preserve"> </v>
          </cell>
        </row>
        <row r="316">
          <cell r="Y316" t="str">
            <v xml:space="preserve"> </v>
          </cell>
        </row>
        <row r="317">
          <cell r="Y317" t="str">
            <v xml:space="preserve"> </v>
          </cell>
        </row>
        <row r="319">
          <cell r="Y319" t="str">
            <v xml:space="preserve"> </v>
          </cell>
        </row>
        <row r="320">
          <cell r="Y320" t="str">
            <v xml:space="preserve"> </v>
          </cell>
        </row>
        <row r="321">
          <cell r="Y321" t="str">
            <v xml:space="preserve"> </v>
          </cell>
        </row>
        <row r="322">
          <cell r="Y322" t="str">
            <v xml:space="preserve"> </v>
          </cell>
        </row>
        <row r="323">
          <cell r="Y323" t="str">
            <v xml:space="preserve"> </v>
          </cell>
        </row>
        <row r="328">
          <cell r="N328" t="str">
            <v xml:space="preserve"> </v>
          </cell>
        </row>
        <row r="329">
          <cell r="N329" t="str">
            <v xml:space="preserve"> </v>
          </cell>
        </row>
        <row r="330">
          <cell r="N330" t="str">
            <v xml:space="preserve"> </v>
          </cell>
        </row>
        <row r="336">
          <cell r="E336" t="str">
            <v xml:space="preserve"> </v>
          </cell>
        </row>
        <row r="337">
          <cell r="E337" t="str">
            <v xml:space="preserve"> </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row r="634">
          <cell r="B634" t="str">
            <v>多様化する住民のニーズ及び、民間事業所では受け入れ難いケースを、迅速かつ公平な立場でサービス提供を行う事ができるのも、市直営施設の強みと考えている。そのため、現行の経営体制や手法を今後も継続していく予定。
しかし、慢性的な介護職の不足等を鑑みれば、指定管理制度の導入や業務の一部を民間委託するなどの抜本的改革も、今後は必要になってくると思われる。</v>
          </cell>
        </row>
      </sheetData>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横手市</v>
          </cell>
        </row>
        <row r="18">
          <cell r="F18" t="str">
            <v>介護サービス事業</v>
          </cell>
          <cell r="W18" t="str">
            <v>老人デイサービスセンター</v>
          </cell>
          <cell r="BD18" t="str">
            <v>●</v>
          </cell>
        </row>
        <row r="20">
          <cell r="F20" t="str">
            <v>ー</v>
          </cell>
        </row>
        <row r="49">
          <cell r="AA49" t="str">
            <v xml:space="preserve"> </v>
          </cell>
        </row>
        <row r="50">
          <cell r="X50" t="str">
            <v xml:space="preserve"> </v>
          </cell>
          <cell r="AD50" t="str">
            <v xml:space="preserve"> </v>
          </cell>
        </row>
        <row r="51">
          <cell r="AA51" t="str">
            <v xml:space="preserve"> </v>
          </cell>
          <cell r="AD51" t="str">
            <v xml:space="preserve"> </v>
          </cell>
        </row>
        <row r="52">
          <cell r="AA52" t="str">
            <v xml:space="preserve"> </v>
          </cell>
          <cell r="AD52" t="str">
            <v xml:space="preserve"> </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56">
          <cell r="R56" t="str">
            <v>●</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 xml:space="preserve"> </v>
          </cell>
        </row>
        <row r="316">
          <cell r="Y316" t="str">
            <v xml:space="preserve"> </v>
          </cell>
        </row>
        <row r="317">
          <cell r="Y317" t="str">
            <v xml:space="preserve"> </v>
          </cell>
        </row>
        <row r="319">
          <cell r="Y319" t="str">
            <v xml:space="preserve"> </v>
          </cell>
        </row>
        <row r="320">
          <cell r="Y320" t="str">
            <v xml:space="preserve"> </v>
          </cell>
        </row>
        <row r="321">
          <cell r="Y321" t="str">
            <v xml:space="preserve"> </v>
          </cell>
        </row>
        <row r="322">
          <cell r="Y322" t="str">
            <v xml:space="preserve"> </v>
          </cell>
        </row>
        <row r="323">
          <cell r="Y323" t="str">
            <v xml:space="preserve"> </v>
          </cell>
        </row>
        <row r="328">
          <cell r="N328" t="str">
            <v xml:space="preserve"> </v>
          </cell>
        </row>
        <row r="329">
          <cell r="N329" t="str">
            <v xml:space="preserve"> </v>
          </cell>
        </row>
        <row r="330">
          <cell r="N330" t="str">
            <v xml:space="preserve"> </v>
          </cell>
        </row>
        <row r="336">
          <cell r="E336" t="str">
            <v xml:space="preserve"> </v>
          </cell>
        </row>
        <row r="337">
          <cell r="E337" t="str">
            <v xml:space="preserve"> </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row r="634">
          <cell r="B634" t="str">
            <v>現行の経営体制・手法で、健全な事業運営が実施できている為である。ただし、民間事業の経営手法やコスト比較など調査・研究を行い、事務及び事業の効率化と簡素に努めながら事業を実施する。また、指定管理制度の導入や施設及び事業の譲渡、一部業務の民間委託も検討していく。</v>
          </cell>
        </row>
      </sheetData>
      <sheetData sheetId="1" refreshError="1"/>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横手市</v>
          </cell>
        </row>
        <row r="18">
          <cell r="F18" t="str">
            <v>介護サービス事業</v>
          </cell>
          <cell r="W18" t="str">
            <v>指定介護老人福祉施設</v>
          </cell>
          <cell r="BD18" t="str">
            <v>●</v>
          </cell>
        </row>
        <row r="20">
          <cell r="F20" t="str">
            <v>ー</v>
          </cell>
        </row>
        <row r="49">
          <cell r="AA49" t="str">
            <v xml:space="preserve"> </v>
          </cell>
        </row>
        <row r="50">
          <cell r="X50" t="str">
            <v xml:space="preserve"> </v>
          </cell>
          <cell r="AD50" t="str">
            <v xml:space="preserve"> </v>
          </cell>
        </row>
        <row r="51">
          <cell r="AA51" t="str">
            <v xml:space="preserve"> </v>
          </cell>
          <cell r="AD51" t="str">
            <v xml:space="preserve"> </v>
          </cell>
        </row>
        <row r="52">
          <cell r="AA52" t="str">
            <v xml:space="preserve"> </v>
          </cell>
          <cell r="AD52" t="str">
            <v xml:space="preserve"> </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56">
          <cell r="R56" t="str">
            <v>●</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 xml:space="preserve"> </v>
          </cell>
        </row>
        <row r="316">
          <cell r="Y316" t="str">
            <v xml:space="preserve"> </v>
          </cell>
        </row>
        <row r="317">
          <cell r="Y317" t="str">
            <v xml:space="preserve"> </v>
          </cell>
        </row>
        <row r="319">
          <cell r="Y319" t="str">
            <v xml:space="preserve"> </v>
          </cell>
        </row>
        <row r="320">
          <cell r="Y320" t="str">
            <v xml:space="preserve"> </v>
          </cell>
        </row>
        <row r="321">
          <cell r="Y321" t="str">
            <v xml:space="preserve"> </v>
          </cell>
        </row>
        <row r="322">
          <cell r="Y322" t="str">
            <v xml:space="preserve"> </v>
          </cell>
        </row>
        <row r="323">
          <cell r="Y323" t="str">
            <v xml:space="preserve"> </v>
          </cell>
        </row>
        <row r="328">
          <cell r="N328" t="str">
            <v xml:space="preserve"> </v>
          </cell>
        </row>
        <row r="329">
          <cell r="N329" t="str">
            <v xml:space="preserve"> </v>
          </cell>
        </row>
        <row r="330">
          <cell r="N330" t="str">
            <v xml:space="preserve"> </v>
          </cell>
        </row>
        <row r="336">
          <cell r="E336" t="str">
            <v xml:space="preserve"> </v>
          </cell>
        </row>
        <row r="337">
          <cell r="E337" t="str">
            <v xml:space="preserve"> </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row r="634">
          <cell r="B634" t="str">
            <v>多様化する住民のニーズ及び、民間事業所では受け入れ難いケースを、迅速かつ公平な立場でサービス提供を行う事ができるのも、市直営施設の強みと考えている。そのため、現行の経営体制や手法を今後も継続していく予定。
しかし、慢性的な介護職の不足等を鑑みれば、指定管理制度の導入や業務の一部を民間委託するなどの抜本的改革も、今後は必要になってくると思われる。</v>
          </cell>
        </row>
      </sheetData>
      <sheetData sheetId="1" refreshError="1"/>
      <sheetData sheetId="2" refreshError="1"/>
      <sheetData sheetId="3" refreshError="1"/>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横手市</v>
          </cell>
        </row>
        <row r="18">
          <cell r="F18" t="str">
            <v>介護サービス事業</v>
          </cell>
          <cell r="W18" t="str">
            <v>介護老人保健施設</v>
          </cell>
          <cell r="BD18" t="str">
            <v>●</v>
          </cell>
        </row>
        <row r="20">
          <cell r="F20" t="str">
            <v>―</v>
          </cell>
        </row>
        <row r="49">
          <cell r="AA49" t="str">
            <v xml:space="preserve"> </v>
          </cell>
        </row>
        <row r="50">
          <cell r="X50" t="str">
            <v xml:space="preserve"> </v>
          </cell>
          <cell r="AD50" t="str">
            <v xml:space="preserve"> </v>
          </cell>
        </row>
        <row r="51">
          <cell r="AA51" t="str">
            <v xml:space="preserve"> </v>
          </cell>
          <cell r="AD51" t="str">
            <v xml:space="preserve"> </v>
          </cell>
        </row>
        <row r="52">
          <cell r="AA52" t="str">
            <v xml:space="preserve"> </v>
          </cell>
          <cell r="AD52" t="str">
            <v xml:space="preserve"> </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56">
          <cell r="R56" t="str">
            <v>●</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 xml:space="preserve"> </v>
          </cell>
        </row>
        <row r="316">
          <cell r="Y316" t="str">
            <v xml:space="preserve"> </v>
          </cell>
        </row>
        <row r="317">
          <cell r="Y317" t="str">
            <v xml:space="preserve"> </v>
          </cell>
        </row>
        <row r="319">
          <cell r="Y319" t="str">
            <v xml:space="preserve"> </v>
          </cell>
        </row>
        <row r="320">
          <cell r="Y320" t="str">
            <v xml:space="preserve"> </v>
          </cell>
        </row>
        <row r="321">
          <cell r="Y321" t="str">
            <v xml:space="preserve"> </v>
          </cell>
        </row>
        <row r="322">
          <cell r="Y322" t="str">
            <v xml:space="preserve"> </v>
          </cell>
        </row>
        <row r="323">
          <cell r="Y323" t="str">
            <v xml:space="preserve"> </v>
          </cell>
        </row>
        <row r="328">
          <cell r="N328" t="str">
            <v xml:space="preserve"> </v>
          </cell>
        </row>
        <row r="329">
          <cell r="N329" t="str">
            <v xml:space="preserve"> </v>
          </cell>
        </row>
        <row r="330">
          <cell r="N330" t="str">
            <v xml:space="preserve"> </v>
          </cell>
        </row>
        <row r="336">
          <cell r="E336" t="str">
            <v xml:space="preserve"> </v>
          </cell>
        </row>
        <row r="337">
          <cell r="E337" t="str">
            <v xml:space="preserve"> </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row r="634">
          <cell r="B634" t="str">
            <v xml:space="preserve">現行の経営体制・手法で、健全な事業運営ができている。ただし、民間事業の経営手法やコスト比較など調査・研究を行い、事務及び事業の効率化と簡素化に努めながら事業を実施する。
また、指定管理制度の導入や施設及び事業の譲渡、一部業務の民間委託も検討していく。 </v>
          </cell>
        </row>
      </sheetData>
      <sheetData sheetId="1" refreshError="1"/>
      <sheetData sheetId="2" refreshError="1"/>
      <sheetData sheetId="3" refreshError="1"/>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横手市</v>
          </cell>
        </row>
        <row r="18">
          <cell r="F18" t="str">
            <v>下水道事業</v>
          </cell>
          <cell r="W18" t="str">
            <v>林業集落排水施設</v>
          </cell>
          <cell r="BD18" t="str">
            <v>×</v>
          </cell>
        </row>
        <row r="20">
          <cell r="F20" t="str">
            <v>ー</v>
          </cell>
        </row>
        <row r="49">
          <cell r="AA49" t="str">
            <v xml:space="preserve"> </v>
          </cell>
        </row>
        <row r="50">
          <cell r="X50" t="str">
            <v xml:space="preserve"> </v>
          </cell>
          <cell r="AD50" t="str">
            <v xml:space="preserve"> </v>
          </cell>
        </row>
        <row r="51">
          <cell r="AD51" t="str">
            <v xml:space="preserve"> </v>
          </cell>
        </row>
        <row r="52">
          <cell r="AA52" t="str">
            <v xml:space="preserve"> </v>
          </cell>
          <cell r="AD52" t="str">
            <v xml:space="preserve"> </v>
          </cell>
        </row>
        <row r="53">
          <cell r="R53" t="str">
            <v>●</v>
          </cell>
          <cell r="X53" t="str">
            <v>●</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20">
          <cell r="Y320" t="str">
            <v xml:space="preserve"> </v>
          </cell>
        </row>
        <row r="321">
          <cell r="Y321" t="str">
            <v xml:space="preserve"> </v>
          </cell>
        </row>
        <row r="322">
          <cell r="Y322" t="str">
            <v xml:space="preserve"> </v>
          </cell>
        </row>
        <row r="328">
          <cell r="N328" t="str">
            <v xml:space="preserve"> </v>
          </cell>
        </row>
        <row r="329">
          <cell r="N329" t="str">
            <v xml:space="preserve"> </v>
          </cell>
        </row>
        <row r="330">
          <cell r="N330" t="str">
            <v xml:space="preserve"> </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34">
          <cell r="B434" t="str">
            <v>上下水道料金等関連業務について、事業提案型プロポーザル方式により委託者を選定し、委託契約を締結した。（期間５年）</v>
          </cell>
        </row>
        <row r="440">
          <cell r="B440" t="str">
            <v>窓口業務、検針調定業務、収納業務、還付業務、滞納整理業務、電算処理業務（料金システムを含む）、メーター交換業務、その他付帯業務　</v>
          </cell>
        </row>
        <row r="446">
          <cell r="B446" t="str">
            <v>平成</v>
          </cell>
          <cell r="E446">
            <v>22</v>
          </cell>
        </row>
        <row r="447">
          <cell r="E447">
            <v>11</v>
          </cell>
        </row>
        <row r="448">
          <cell r="E448">
            <v>30</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B2827-AE5E-42B8-ADB5-2FB253FA14DB}">
  <dimension ref="A1:CN384"/>
  <sheetViews>
    <sheetView workbookViewId="0">
      <selection sqref="A1:XFD1048576"/>
    </sheetView>
  </sheetViews>
  <sheetFormatPr defaultColWidth="2.875" defaultRowHeight="12.6" customHeight="1"/>
  <cols>
    <col min="1" max="25" width="2.625" customWidth="1"/>
    <col min="26" max="26" width="2.125" customWidth="1"/>
    <col min="27" max="27" width="2.625" hidden="1" customWidth="1"/>
    <col min="28" max="28" width="4.625" customWidth="1"/>
    <col min="29" max="34" width="2.625" customWidth="1"/>
    <col min="35" max="35" width="0.125" customWidth="1"/>
    <col min="36" max="37" width="4.625" customWidth="1"/>
    <col min="38" max="71" width="2.6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IF(COUNTIF([1]回答表!K16,"*")&gt;0,[1]回答表!K16,"")</f>
        <v>横手市</v>
      </c>
      <c r="D11" s="8"/>
      <c r="E11" s="8"/>
      <c r="F11" s="8"/>
      <c r="G11" s="8"/>
      <c r="H11" s="8"/>
      <c r="I11" s="8"/>
      <c r="J11" s="8"/>
      <c r="K11" s="8"/>
      <c r="L11" s="8"/>
      <c r="M11" s="8"/>
      <c r="N11" s="8"/>
      <c r="O11" s="8"/>
      <c r="P11" s="8"/>
      <c r="Q11" s="8"/>
      <c r="R11" s="8"/>
      <c r="S11" s="8"/>
      <c r="T11" s="8"/>
      <c r="U11" s="22" t="str">
        <f>IF(COUNTIF([1]回答表!F18,"*")&gt;0,[1]回答表!F18,"")</f>
        <v>病院事業</v>
      </c>
      <c r="V11" s="23"/>
      <c r="W11" s="23"/>
      <c r="X11" s="23"/>
      <c r="Y11" s="23"/>
      <c r="Z11" s="23"/>
      <c r="AA11" s="23"/>
      <c r="AB11" s="23"/>
      <c r="AC11" s="23"/>
      <c r="AD11" s="23"/>
      <c r="AE11" s="23"/>
      <c r="AF11" s="10"/>
      <c r="AG11" s="10"/>
      <c r="AH11" s="10"/>
      <c r="AI11" s="10"/>
      <c r="AJ11" s="10"/>
      <c r="AK11" s="10"/>
      <c r="AL11" s="10"/>
      <c r="AM11" s="10"/>
      <c r="AN11" s="11"/>
      <c r="AO11" s="24" t="str">
        <f>IF(COUNTIF([1]回答表!W18,"*")&gt;0,[1]回答表!W18,"")</f>
        <v>―</v>
      </c>
      <c r="AP11" s="10"/>
      <c r="AQ11" s="10"/>
      <c r="AR11" s="10"/>
      <c r="AS11" s="10"/>
      <c r="AT11" s="10"/>
      <c r="AU11" s="10"/>
      <c r="AV11" s="10"/>
      <c r="AW11" s="10"/>
      <c r="AX11" s="10"/>
      <c r="AY11" s="10"/>
      <c r="AZ11" s="10"/>
      <c r="BA11" s="10"/>
      <c r="BB11" s="10"/>
      <c r="BC11" s="10"/>
      <c r="BD11" s="10"/>
      <c r="BE11" s="10"/>
      <c r="BF11" s="11"/>
      <c r="BG11" s="21" t="str">
        <f>IF(COUNTIF([1]回答表!F20,"*")&gt;0,[1]回答表!F20,"")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IF([1]回答表!R49="●","●","")</f>
        <v/>
      </c>
      <c r="E24" s="80"/>
      <c r="F24" s="80"/>
      <c r="G24" s="80"/>
      <c r="H24" s="80"/>
      <c r="I24" s="80"/>
      <c r="J24" s="81"/>
      <c r="K24" s="79" t="str">
        <f>IF([1]回答表!R50="●","●","")</f>
        <v/>
      </c>
      <c r="L24" s="80"/>
      <c r="M24" s="80"/>
      <c r="N24" s="80"/>
      <c r="O24" s="80"/>
      <c r="P24" s="80"/>
      <c r="Q24" s="81"/>
      <c r="R24" s="79" t="str">
        <f>IF([1]回答表!R51="●","●","")</f>
        <v/>
      </c>
      <c r="S24" s="80"/>
      <c r="T24" s="80"/>
      <c r="U24" s="80"/>
      <c r="V24" s="80"/>
      <c r="W24" s="80"/>
      <c r="X24" s="81"/>
      <c r="Y24" s="79" t="str">
        <f>IF([1]回答表!R52="●","●","")</f>
        <v/>
      </c>
      <c r="Z24" s="80"/>
      <c r="AA24" s="80"/>
      <c r="AB24" s="80"/>
      <c r="AC24" s="80"/>
      <c r="AD24" s="80"/>
      <c r="AE24" s="81"/>
      <c r="AF24" s="79" t="str">
        <f>IF([1]回答表!R53="●","●","")</f>
        <v/>
      </c>
      <c r="AG24" s="80"/>
      <c r="AH24" s="80"/>
      <c r="AI24" s="80"/>
      <c r="AJ24" s="80"/>
      <c r="AK24" s="80"/>
      <c r="AL24" s="81"/>
      <c r="AM24" s="79" t="str">
        <f>IF([1]回答表!R54="●","●","")</f>
        <v/>
      </c>
      <c r="AN24" s="80"/>
      <c r="AO24" s="80"/>
      <c r="AP24" s="80"/>
      <c r="AQ24" s="80"/>
      <c r="AR24" s="80"/>
      <c r="AS24" s="81"/>
      <c r="AT24" s="79" t="str">
        <f>IF([1]回答表!R55="●","●","")</f>
        <v/>
      </c>
      <c r="AU24" s="80"/>
      <c r="AV24" s="80"/>
      <c r="AW24" s="80"/>
      <c r="AX24" s="80"/>
      <c r="AY24" s="80"/>
      <c r="AZ24" s="81"/>
      <c r="BA24" s="68"/>
      <c r="BB24" s="82" t="str">
        <f>IF([1]回答表!R56="●","●","")</f>
        <v>●</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IF([1]回答表!X49="●","●","")</f>
        <v/>
      </c>
      <c r="O36" s="131"/>
      <c r="P36" s="131"/>
      <c r="Q36" s="132"/>
      <c r="R36" s="119"/>
      <c r="S36" s="119"/>
      <c r="T36" s="119"/>
      <c r="U36" s="133" t="str">
        <f>IF([1]回答表!X49="●",[1]回答表!B67,IF([1]回答表!AA49="●",[1]回答表!B95,""))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IF([1]回答表!X49="●",[1]回答表!S73,IF([1]回答表!AA49="●",[1]回答表!S101,""))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IF([1]回答表!X49="●",[1]回答表!G73,IF([1]回答表!AA49="●",[1]回答表!G101,""))</f>
        <v/>
      </c>
      <c r="AN38" s="83"/>
      <c r="AO38" s="83"/>
      <c r="AP38" s="83"/>
      <c r="AQ38" s="83"/>
      <c r="AR38" s="83"/>
      <c r="AS38" s="83"/>
      <c r="AT38" s="153"/>
      <c r="AU38" s="82" t="str">
        <f>IF([1]回答表!X49="●",[1]回答表!G74,IF([1]回答表!AA49="●",[1]回答表!G102,""))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IF([1]回答表!X49="●",[1]回答表!V73,IF([1]回答表!AA49="●",[1]回答表!V101,""))</f>
        <v/>
      </c>
      <c r="BG39" s="16"/>
      <c r="BH39" s="16"/>
      <c r="BI39" s="17"/>
      <c r="BJ39" s="150" t="str">
        <f>IF([1]回答表!X49="●",[1]回答表!V74,IF([1]回答表!AA49="●",[1]回答表!V102,""))</f>
        <v/>
      </c>
      <c r="BK39" s="16"/>
      <c r="BL39" s="16"/>
      <c r="BM39" s="17"/>
      <c r="BN39" s="150" t="str">
        <f>IF([1]回答表!X49="●",[1]回答表!V75,IF([1]回答表!AA49="●",[1]回答表!V103,""))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IF([1]回答表!X49="●",[1]回答表!O79,IF([1]回答表!AA49="●",[1]回答表!O107,""))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IF([1]回答表!X49="●",[1]回答表!O80,IF([1]回答表!AA49="●",[1]回答表!O108,""))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IF([1]回答表!AA49="●","●","")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IF([1]回答表!X49="●",[1]回答表!O81,IF([1]回答表!AA49="●",[1]回答表!O109,""))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IF([1]回答表!X49="●",[1]回答表!O82,IF([1]回答表!AA49="●",[1]回答表!O110,""))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IF([1]回答表!X49="●",[1]回答表!AG79,IF([1]回答表!AA49="●",[1]回答表!AG107,""))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IF([1]回答表!X49="●",[1]回答表!AG80,IF([1]回答表!AA49="●",[1]回答表!AG108,""))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IF([1]回答表!X49="●",[1]回答表!E85,IF([1]回答表!AA49="●",[1]回答表!E113,""))</f>
        <v/>
      </c>
      <c r="V50" s="182"/>
      <c r="W50" s="182"/>
      <c r="X50" s="182"/>
      <c r="Y50" s="182"/>
      <c r="Z50" s="182"/>
      <c r="AA50" s="182"/>
      <c r="AB50" s="182"/>
      <c r="AC50" s="182"/>
      <c r="AD50" s="182"/>
      <c r="AE50" s="183" t="s">
        <v>33</v>
      </c>
      <c r="AF50" s="183"/>
      <c r="AG50" s="183"/>
      <c r="AH50" s="183"/>
      <c r="AI50" s="183"/>
      <c r="AJ50" s="184"/>
      <c r="AK50" s="136"/>
      <c r="AL50" s="136"/>
      <c r="AM50" s="133" t="str">
        <f>IF([1]回答表!X49="●",[1]回答表!B87,IF([1]回答表!AA49="●",[1]回答表!B115,""))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IF([1]回答表!AD49="●","●","")</f>
        <v/>
      </c>
      <c r="O57" s="131"/>
      <c r="P57" s="131"/>
      <c r="Q57" s="132"/>
      <c r="R57" s="119"/>
      <c r="S57" s="119"/>
      <c r="T57" s="119"/>
      <c r="U57" s="133" t="str">
        <f>IF([1]回答表!AD49="●",[1]回答表!B123,"")</f>
        <v/>
      </c>
      <c r="V57" s="134"/>
      <c r="W57" s="134"/>
      <c r="X57" s="134"/>
      <c r="Y57" s="134"/>
      <c r="Z57" s="134"/>
      <c r="AA57" s="134"/>
      <c r="AB57" s="134"/>
      <c r="AC57" s="134"/>
      <c r="AD57" s="134"/>
      <c r="AE57" s="134"/>
      <c r="AF57" s="134"/>
      <c r="AG57" s="134"/>
      <c r="AH57" s="134"/>
      <c r="AI57" s="134"/>
      <c r="AJ57" s="135"/>
      <c r="AK57" s="189"/>
      <c r="AL57" s="189"/>
      <c r="AM57" s="133" t="str">
        <f>IF([1]回答表!AD49="●",[1]回答表!B128,"")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IF([1]回答表!X50="●","●","")</f>
        <v/>
      </c>
      <c r="O68" s="131"/>
      <c r="P68" s="131"/>
      <c r="Q68" s="132"/>
      <c r="R68" s="119"/>
      <c r="S68" s="119"/>
      <c r="T68" s="119"/>
      <c r="U68" s="133" t="str">
        <f>IF([1]回答表!X50="●",[1]回答表!B138,IF([1]回答表!AA50="●",[1]回答表!B159,""))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IF([1]回答表!X50="●",[1]回答表!S144,IF([1]回答表!AA50="●",[1]回答表!S165,""))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IF([1]回答表!X50="●",[1]回答表!J144,IF([1]回答表!AA50="●",[1]回答表!J165,""))</f>
        <v/>
      </c>
      <c r="AN71" s="83"/>
      <c r="AO71" s="83"/>
      <c r="AP71" s="83"/>
      <c r="AQ71" s="83"/>
      <c r="AR71" s="83"/>
      <c r="AS71" s="83"/>
      <c r="AT71" s="153"/>
      <c r="AU71" s="82" t="str">
        <f>IF([1]回答表!X50="●",[1]回答表!J145,IF([1]回答表!AA50="●",[1]回答表!J166,""))</f>
        <v/>
      </c>
      <c r="AV71" s="83"/>
      <c r="AW71" s="83"/>
      <c r="AX71" s="83"/>
      <c r="AY71" s="83"/>
      <c r="AZ71" s="83"/>
      <c r="BA71" s="83"/>
      <c r="BB71" s="153"/>
      <c r="BC71" s="120"/>
      <c r="BD71" s="109"/>
      <c r="BE71" s="109"/>
      <c r="BF71" s="150" t="str">
        <f>IF([1]回答表!X50="●",[1]回答表!V144,IF([1]回答表!AA50="●",[1]回答表!V165,""))</f>
        <v/>
      </c>
      <c r="BG71" s="151"/>
      <c r="BH71" s="151"/>
      <c r="BI71" s="151"/>
      <c r="BJ71" s="150" t="str">
        <f>IF([1]回答表!X50="●",[1]回答表!V145,IF([1]回答表!AA50="●",[1]回答表!V166,""))</f>
        <v/>
      </c>
      <c r="BK71" s="151"/>
      <c r="BL71" s="151"/>
      <c r="BM71" s="151"/>
      <c r="BN71" s="150" t="str">
        <f>IF([1]回答表!X50="●",[1]回答表!V146,IF([1]回答表!AA50="●",[1]回答表!V167,""))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IF([1]回答表!AA50="●","●","")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IF([1]回答表!X50="●",[1]回答表!E149,IF([1]回答表!AA50="●",[1]回答表!E170,""))</f>
        <v/>
      </c>
      <c r="V80" s="182"/>
      <c r="W80" s="182"/>
      <c r="X80" s="182"/>
      <c r="Y80" s="182"/>
      <c r="Z80" s="182"/>
      <c r="AA80" s="182"/>
      <c r="AB80" s="182"/>
      <c r="AC80" s="182"/>
      <c r="AD80" s="182"/>
      <c r="AE80" s="183" t="s">
        <v>33</v>
      </c>
      <c r="AF80" s="183"/>
      <c r="AG80" s="183"/>
      <c r="AH80" s="183"/>
      <c r="AI80" s="183"/>
      <c r="AJ80" s="184"/>
      <c r="AK80" s="136"/>
      <c r="AL80" s="136"/>
      <c r="AM80" s="133" t="str">
        <f>IF([1]回答表!X50="●",[1]回答表!B151,IF([1]回答表!AA50="●",[1]回答表!B172,""))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IF([1]回答表!AD50="●","●","")</f>
        <v/>
      </c>
      <c r="O87" s="131"/>
      <c r="P87" s="131"/>
      <c r="Q87" s="132"/>
      <c r="R87" s="119"/>
      <c r="S87" s="119"/>
      <c r="T87" s="119"/>
      <c r="U87" s="133" t="str">
        <f>IF([1]回答表!AD50="●",[1]回答表!B180,"")</f>
        <v/>
      </c>
      <c r="V87" s="134"/>
      <c r="W87" s="134"/>
      <c r="X87" s="134"/>
      <c r="Y87" s="134"/>
      <c r="Z87" s="134"/>
      <c r="AA87" s="134"/>
      <c r="AB87" s="134"/>
      <c r="AC87" s="134"/>
      <c r="AD87" s="134"/>
      <c r="AE87" s="134"/>
      <c r="AF87" s="134"/>
      <c r="AG87" s="134"/>
      <c r="AH87" s="134"/>
      <c r="AI87" s="134"/>
      <c r="AJ87" s="135"/>
      <c r="AK87" s="189"/>
      <c r="AL87" s="189"/>
      <c r="AM87" s="133" t="str">
        <f>IF([1]回答表!AD50="●",[1]回答表!B186,"")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IF([1]回答表!F18="水道事業",IF([1]回答表!X51="●","●",""),"")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IF([1]回答表!F18="水道事業",IF([1]回答表!X51="●",[1]回答表!B197,IF([1]回答表!AA51="●",[1]回答表!B275,"")),"")</f>
        <v/>
      </c>
      <c r="AN99" s="134"/>
      <c r="AO99" s="134"/>
      <c r="AP99" s="134"/>
      <c r="AQ99" s="134"/>
      <c r="AR99" s="134"/>
      <c r="AS99" s="134"/>
      <c r="AT99" s="134"/>
      <c r="AU99" s="134"/>
      <c r="AV99" s="134"/>
      <c r="AW99" s="134"/>
      <c r="AX99" s="134"/>
      <c r="AY99" s="134"/>
      <c r="AZ99" s="134"/>
      <c r="BA99" s="134"/>
      <c r="BB99" s="134"/>
      <c r="BC99" s="135"/>
      <c r="BD99" s="109"/>
      <c r="BE99" s="109"/>
      <c r="BF99" s="138" t="str">
        <f>IF([1]回答表!F18="水道事業",IF([1]回答表!X51="●",[1]回答表!B256,IF([1]回答表!AA51="●",[1]回答表!B335,"")),"")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IF([1]回答表!F18="水道事業",IF([1]回答表!X51="●",[1]回答表!J205,IF([1]回答表!AA51="●",[1]回答表!J283,"")),"")</f>
        <v/>
      </c>
      <c r="V101" s="83"/>
      <c r="W101" s="83"/>
      <c r="X101" s="83"/>
      <c r="Y101" s="83"/>
      <c r="Z101" s="83"/>
      <c r="AA101" s="83"/>
      <c r="AB101" s="153"/>
      <c r="AC101" s="82" t="str">
        <f>IF([1]回答表!F18="水道事業",IF([1]回答表!X51="●",[1]回答表!J210,IF([1]回答表!AA51="●",[1]回答表!J290,"")),"")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IF([1]回答表!F18="水道事業",IF([1]回答表!X51="●",[1]回答表!E256,IF([1]回答表!AA51="●",[1]回答表!E335,"")),"")</f>
        <v/>
      </c>
      <c r="BG102" s="151"/>
      <c r="BH102" s="151"/>
      <c r="BI102" s="151"/>
      <c r="BJ102" s="150" t="str">
        <f>IF([1]回答表!F18="水道事業",IF([1]回答表!X51="●",[1]回答表!E257,IF([1]回答表!AA51="●",[1]回答表!E336,"")),"")</f>
        <v/>
      </c>
      <c r="BK102" s="151"/>
      <c r="BL102" s="151"/>
      <c r="BM102" s="151"/>
      <c r="BN102" s="150" t="str">
        <f>IF([1]回答表!F18="水道事業",IF([1]回答表!X51="●",[1]回答表!E258,IF([1]回答表!AA51="●",[1]回答表!E337,"")),"")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IF([1]回答表!F18="水道事業",IF([1]回答表!AA51="●","●",""),"")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IF([1]回答表!F18="水道事業",IF([1]回答表!X51="●",[1]回答表!J213,IF([1]回答表!AA51="●",[1]回答表!J293,"")),"")</f>
        <v/>
      </c>
      <c r="V106" s="83"/>
      <c r="W106" s="83"/>
      <c r="X106" s="83"/>
      <c r="Y106" s="83"/>
      <c r="Z106" s="83"/>
      <c r="AA106" s="83"/>
      <c r="AB106" s="153"/>
      <c r="AC106" s="82" t="str">
        <f>IF([1]回答表!F18="水道事業",IF([1]回答表!X51="●",[1]回答表!J217,IF([1]回答表!AA51="●",[1]回答表!J297,"")),"")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IF([1]回答表!F18="水道事業",IF([1]回答表!X51="●",[1]回答表!E265,IF([1]回答表!AA51="●",[1]回答表!E344,"")),"")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IF([1]回答表!F18="水道事業",IF([1]回答表!X51="●",[1]回答表!B267,IF([1]回答表!AA51="●",[1]回答表!B346,"")),"")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IF([1]回答表!F18="水道事業",IF([1]回答表!AD51="●","●",""),"")</f>
        <v/>
      </c>
      <c r="O118" s="131"/>
      <c r="P118" s="131"/>
      <c r="Q118" s="132"/>
      <c r="R118" s="119"/>
      <c r="S118" s="119"/>
      <c r="T118" s="119"/>
      <c r="U118" s="133" t="str">
        <f>IF([1]回答表!F18="水道事業",IF([1]回答表!AD51="●",[1]回答表!B354,""),"")</f>
        <v/>
      </c>
      <c r="V118" s="134"/>
      <c r="W118" s="134"/>
      <c r="X118" s="134"/>
      <c r="Y118" s="134"/>
      <c r="Z118" s="134"/>
      <c r="AA118" s="134"/>
      <c r="AB118" s="134"/>
      <c r="AC118" s="134"/>
      <c r="AD118" s="134"/>
      <c r="AE118" s="134"/>
      <c r="AF118" s="134"/>
      <c r="AG118" s="134"/>
      <c r="AH118" s="134"/>
      <c r="AI118" s="134"/>
      <c r="AJ118" s="135"/>
      <c r="AK118" s="189"/>
      <c r="AL118" s="189"/>
      <c r="AM118" s="133" t="str">
        <f>IF([1]回答表!F18="水道事業",IF([1]回答表!AD51="●",[1]回答表!B360,""),"")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IF([1]回答表!F18="簡易水道事業",IF([1]回答表!X51="●",[1]回答表!B197,IF([1]回答表!AA51="●",[1]回答表!B275,"")),"")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IF([1]回答表!F18="簡易水道事業",IF([1]回答表!X51="●",[1]回答表!B256,IF([1]回答表!AA51="●",[1]回答表!B335,"")),"")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IF([1]回答表!F18="簡易水道事業",IF([1]回答表!X51="●","●",""),"")</f>
        <v/>
      </c>
      <c r="O132" s="131"/>
      <c r="P132" s="131"/>
      <c r="Q132" s="132"/>
      <c r="R132" s="119"/>
      <c r="S132" s="119"/>
      <c r="T132" s="119"/>
      <c r="U132" s="82" t="str">
        <f>IF([1]回答表!F18="簡易水道事業",IF([1]回答表!X51="●",[1]回答表!S224,IF([1]回答表!AA51="●",[1]回答表!S304,"")),"")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IF([1]回答表!F18="簡易水道事業",IF([1]回答表!X51="●",[1]回答表!E256,IF([1]回答表!AA51="●",[1]回答表!E335,"")),"")</f>
        <v/>
      </c>
      <c r="BG133" s="151"/>
      <c r="BH133" s="151"/>
      <c r="BI133" s="151"/>
      <c r="BJ133" s="150" t="str">
        <f>IF([1]回答表!F18="簡易水道事業",IF([1]回答表!X51="●",[1]回答表!E257,IF([1]回答表!AA51="●",[1]回答表!E336,"")),"")</f>
        <v/>
      </c>
      <c r="BK133" s="151"/>
      <c r="BL133" s="151"/>
      <c r="BM133" s="151"/>
      <c r="BN133" s="150" t="str">
        <f>IF([1]回答表!F18="簡易水道事業",IF([1]回答表!X51="●",[1]回答表!E258,IF([1]回答表!AA51="●",[1]回答表!E337,"")),"")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IF([1]回答表!F18="簡易水道事業",IF([1]回答表!X51="●",[1]回答表!S225,IF([1]回答表!AA51="●",[1]回答表!S305,"")),"")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IF([1]回答表!F18="簡易水道事業",IF([1]回答表!AA51="●","●",""),"")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IF([1]回答表!F18="簡易水道事業",IF([1]回答表!X51="●",[1]回答表!S226,IF([1]回答表!AA51="●",[1]回答表!S306,"")),"")</f>
        <v/>
      </c>
      <c r="V142" s="83"/>
      <c r="W142" s="83"/>
      <c r="X142" s="83"/>
      <c r="Y142" s="83"/>
      <c r="Z142" s="83"/>
      <c r="AA142" s="83"/>
      <c r="AB142" s="83"/>
      <c r="AC142" s="83"/>
      <c r="AD142" s="83"/>
      <c r="AE142" s="83"/>
      <c r="AF142" s="83"/>
      <c r="AG142" s="83"/>
      <c r="AH142" s="83"/>
      <c r="AI142" s="83"/>
      <c r="AJ142" s="153"/>
      <c r="AK142" s="68"/>
      <c r="AL142" s="68"/>
      <c r="AM142" s="231" t="str">
        <f>IF([1]回答表!F18="簡易水道事業",IF([1]回答表!X51="●",[1]回答表!Y228,IF([1]回答表!AA51="●",[1]回答表!Y308,"")),"")</f>
        <v/>
      </c>
      <c r="AN142" s="231"/>
      <c r="AO142" s="231"/>
      <c r="AP142" s="231"/>
      <c r="AQ142" s="231"/>
      <c r="AR142" s="231"/>
      <c r="AS142" s="231" t="str">
        <f>IF([1]回答表!F18="簡易水道事業",IF([1]回答表!X51="●",[1]回答表!Y229,IF([1]回答表!AA51="●",[1]回答表!Y309,"")),"")</f>
        <v/>
      </c>
      <c r="AT142" s="231"/>
      <c r="AU142" s="231"/>
      <c r="AV142" s="231"/>
      <c r="AW142" s="231"/>
      <c r="AX142" s="231"/>
      <c r="AY142" s="231" t="str">
        <f>IF([1]回答表!F18="簡易水道事業",IF([1]回答表!X51="●",[1]回答表!Y230,IF([1]回答表!AA51="●",[1]回答表!Y310,"")),"")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IF([1]回答表!F18="簡易水道事業",IF([1]回答表!X51="●",[1]回答表!E265,IF([1]回答表!AA51="●",[1]回答表!E344,"")),"")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IF([1]回答表!F18="簡易水道事業",IF([1]回答表!X51="●",[1]回答表!B267,IF([1]回答表!AA51="●",[1]回答表!B346,"")),"")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IF([1]回答表!F18="簡易水道事業",IF([1]回答表!AD51="●","●",""),"")</f>
        <v/>
      </c>
      <c r="O154" s="131"/>
      <c r="P154" s="131"/>
      <c r="Q154" s="132"/>
      <c r="R154" s="119"/>
      <c r="S154" s="119"/>
      <c r="T154" s="119"/>
      <c r="U154" s="133" t="str">
        <f>IF([1]回答表!F18="簡易水道事業",IF([1]回答表!AD51="●",[1]回答表!B354,""),"")</f>
        <v/>
      </c>
      <c r="V154" s="134"/>
      <c r="W154" s="134"/>
      <c r="X154" s="134"/>
      <c r="Y154" s="134"/>
      <c r="Z154" s="134"/>
      <c r="AA154" s="134"/>
      <c r="AB154" s="134"/>
      <c r="AC154" s="134"/>
      <c r="AD154" s="134"/>
      <c r="AE154" s="134"/>
      <c r="AF154" s="134"/>
      <c r="AG154" s="134"/>
      <c r="AH154" s="134"/>
      <c r="AI154" s="134"/>
      <c r="AJ154" s="135"/>
      <c r="AK154" s="189"/>
      <c r="AL154" s="189"/>
      <c r="AM154" s="133" t="str">
        <f>IF([1]回答表!F18="簡易水道事業",IF([1]回答表!AD51="●",[1]回答表!B360,""),"")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IF([1]回答表!F18="下水道事業",IF([1]回答表!X51="●","●",""),"")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IF([1]回答表!F18="下水道事業",IF([1]回答表!X51="●",[1]回答表!B197,IF([1]回答表!AA51="●",[1]回答表!B275,"")),"")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IF([1]回答表!F18="下水道事業",IF([1]回答表!X51="●",[1]回答表!B256,IF([1]回答表!AA51="●",[1]回答表!B335,"")),"")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IF([1]回答表!F18="下水道事業",IF([1]回答表!X51="●",[1]回答表!N234,IF([1]回答表!AA51="●",[1]回答表!N314,"")),"")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IF([1]回答表!F18="下水道事業",IF([1]回答表!X51="●",[1]回答表!E256,IF([1]回答表!AA51="●",[1]回答表!E335,"")),"")</f>
        <v/>
      </c>
      <c r="BG169" s="151"/>
      <c r="BH169" s="151"/>
      <c r="BI169" s="151"/>
      <c r="BJ169" s="150" t="str">
        <f>IF([1]回答表!F18="下水道事業",IF([1]回答表!X51="●",[1]回答表!E257,IF([1]回答表!AA51="●",[1]回答表!E336,"")),"")</f>
        <v/>
      </c>
      <c r="BK169" s="151"/>
      <c r="BL169" s="151"/>
      <c r="BM169" s="151"/>
      <c r="BN169" s="150" t="str">
        <f>IF([1]回答表!F18="下水道事業",IF([1]回答表!X51="●",[1]回答表!E258,IF([1]回答表!AA51="●",[1]回答表!E337,"")),"")</f>
        <v/>
      </c>
      <c r="BO169" s="151"/>
      <c r="BP169" s="151"/>
      <c r="BQ169" s="152"/>
      <c r="BR169" s="112"/>
      <c r="BX169" s="234" t="str">
        <f>IF([1]回答表!AQ21="下水道事業",IF([1]回答表!BI54="○",[1]回答表!AM200,IF([1]回答表!BL54="○",[1]回答表!AM278,"")),"")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IF([1]回答表!F18="下水道事業",IF([1]回答表!X51="●",[1]回答表!Y236,IF([1]回答表!AA51="●",[1]回答表!Y316,"")),"")</f>
        <v/>
      </c>
      <c r="V174" s="83"/>
      <c r="W174" s="83"/>
      <c r="X174" s="83"/>
      <c r="Y174" s="83"/>
      <c r="Z174" s="83"/>
      <c r="AA174" s="83"/>
      <c r="AB174" s="153"/>
      <c r="AC174" s="82" t="str">
        <f>IF([1]回答表!F18="下水道事業",IF([1]回答表!X51="●",[1]回答表!Y237,IF([1]回答表!AA51="●",[1]回答表!Y317,"")),"")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IF([1]回答表!F18="下水道事業",IF([1]回答表!X51="●",[1]回答表!Y239,IF([1]回答表!AA51="●",[1]回答表!Y319,"")),"")</f>
        <v/>
      </c>
      <c r="V180" s="83"/>
      <c r="W180" s="83"/>
      <c r="X180" s="83"/>
      <c r="Y180" s="83"/>
      <c r="Z180" s="83"/>
      <c r="AA180" s="83"/>
      <c r="AB180" s="153"/>
      <c r="AC180" s="82" t="str">
        <f>IF([1]回答表!F18="下水道事業",IF([1]回答表!X51="●",[1]回答表!Y240,IF([1]回答表!AA51="●",[1]回答表!Y320,"")),"")</f>
        <v/>
      </c>
      <c r="AD180" s="83"/>
      <c r="AE180" s="83"/>
      <c r="AF180" s="83"/>
      <c r="AG180" s="83"/>
      <c r="AH180" s="83"/>
      <c r="AI180" s="83"/>
      <c r="AJ180" s="153"/>
      <c r="AK180" s="82" t="str">
        <f>IF([1]回答表!F18="下水道事業",IF([1]回答表!X51="●",[1]回答表!Y241,IF([1]回答表!AA51="●",[1]回答表!Y321,"")),"")</f>
        <v/>
      </c>
      <c r="AL180" s="83"/>
      <c r="AM180" s="83"/>
      <c r="AN180" s="83"/>
      <c r="AO180" s="83"/>
      <c r="AP180" s="83"/>
      <c r="AQ180" s="83"/>
      <c r="AR180" s="153"/>
      <c r="AS180" s="82" t="str">
        <f>IF([1]回答表!F18="下水道事業",IF([1]回答表!X51="●",[1]回答表!Y242,IF([1]回答表!AA51="●",[1]回答表!Y322,"")),"")</f>
        <v/>
      </c>
      <c r="AT180" s="83"/>
      <c r="AU180" s="83"/>
      <c r="AV180" s="83"/>
      <c r="AW180" s="83"/>
      <c r="AX180" s="83"/>
      <c r="AY180" s="83"/>
      <c r="AZ180" s="153"/>
      <c r="BA180" s="82" t="str">
        <f>IF([1]回答表!F18="下水道事業",IF([1]回答表!X51="●",[1]回答表!Y243,IF([1]回答表!AA51="●",[1]回答表!Y323,"")),"")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IF([1]回答表!F18="下水道事業",IF([1]回答表!AA51="●","●",""),"")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IF([1]回答表!F18="下水道事業",IF([1]回答表!X51="●",[1]回答表!N248,IF([1]回答表!AA51="●",[1]回答表!N328,"")),"")</f>
        <v/>
      </c>
      <c r="V186" s="83"/>
      <c r="W186" s="83"/>
      <c r="X186" s="83"/>
      <c r="Y186" s="83"/>
      <c r="Z186" s="83"/>
      <c r="AA186" s="83"/>
      <c r="AB186" s="153"/>
      <c r="AC186" s="82" t="str">
        <f>IF([1]回答表!F18="下水道事業",IF([1]回答表!X51="●",[1]回答表!N249,IF([1]回答表!AA51="●",[1]回答表!N329,"")),"")</f>
        <v/>
      </c>
      <c r="AD186" s="83"/>
      <c r="AE186" s="83"/>
      <c r="AF186" s="83"/>
      <c r="AG186" s="83"/>
      <c r="AH186" s="83"/>
      <c r="AI186" s="83"/>
      <c r="AJ186" s="153"/>
      <c r="AK186" s="82" t="str">
        <f>IF([1]回答表!F18="下水道事業",IF([1]回答表!X51="●",[1]回答表!N250,IF([1]回答表!AA51="●",[1]回答表!N330,"")),"")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IF([1]回答表!F18="下水道事業",IF([1]回答表!X51="●",[1]回答表!E265,IF([1]回答表!AA51="●",[1]回答表!E344,"")),"")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IF([1]回答表!F18="下水道事業",IF([1]回答表!X51="●",[1]回答表!B267,IF([1]回答表!AA51="●",[1]回答表!B346,"")),"")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IF([1]回答表!F18="下水道事業",IF([1]回答表!AD51="●","●",""),"")</f>
        <v/>
      </c>
      <c r="O198" s="131"/>
      <c r="P198" s="131"/>
      <c r="Q198" s="132"/>
      <c r="R198" s="119"/>
      <c r="S198" s="119"/>
      <c r="T198" s="119"/>
      <c r="U198" s="133" t="str">
        <f>IF([1]回答表!F18="下水道事業",IF([1]回答表!AD51="●",[1]回答表!B354,""),"")</f>
        <v/>
      </c>
      <c r="V198" s="134"/>
      <c r="W198" s="134"/>
      <c r="X198" s="134"/>
      <c r="Y198" s="134"/>
      <c r="Z198" s="134"/>
      <c r="AA198" s="134"/>
      <c r="AB198" s="134"/>
      <c r="AC198" s="134"/>
      <c r="AD198" s="134"/>
      <c r="AE198" s="134"/>
      <c r="AF198" s="134"/>
      <c r="AG198" s="134"/>
      <c r="AH198" s="134"/>
      <c r="AI198" s="134"/>
      <c r="AJ198" s="135"/>
      <c r="AK198" s="189"/>
      <c r="AL198" s="189"/>
      <c r="AM198" s="133" t="str">
        <f>IF([1]回答表!F18="下水道事業",IF([1]回答表!AD51="●",[1]回答表!B360,""),"")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IF([1]回答表!BD18="●",IF([1]回答表!X51="●","●",""),"")</f>
        <v/>
      </c>
      <c r="O210" s="131"/>
      <c r="P210" s="131"/>
      <c r="Q210" s="132"/>
      <c r="R210" s="119"/>
      <c r="S210" s="119"/>
      <c r="T210" s="119"/>
      <c r="U210" s="133" t="str">
        <f>IF([1]回答表!BD18="●",IF([1]回答表!X51="●",[1]回答表!B197,IF([1]回答表!AA51="●",[1]回答表!B275,"")),"")</f>
        <v/>
      </c>
      <c r="V210" s="134"/>
      <c r="W210" s="134"/>
      <c r="X210" s="134"/>
      <c r="Y210" s="134"/>
      <c r="Z210" s="134"/>
      <c r="AA210" s="134"/>
      <c r="AB210" s="134"/>
      <c r="AC210" s="134"/>
      <c r="AD210" s="134"/>
      <c r="AE210" s="134"/>
      <c r="AF210" s="134"/>
      <c r="AG210" s="134"/>
      <c r="AH210" s="134"/>
      <c r="AI210" s="134"/>
      <c r="AJ210" s="135"/>
      <c r="AK210" s="136"/>
      <c r="AL210" s="136"/>
      <c r="AM210" s="138" t="str">
        <f>IF([1]回答表!BD18="●",IF([1]回答表!X51="●",[1]回答表!B256,IF([1]回答表!AA51="●",[1]回答表!B335,"")),"")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IF([1]回答表!BD18="●",IF([1]回答表!X51="●",[1]回答表!E256,IF([1]回答表!AA51="●",[1]回答表!E335,"")),"")</f>
        <v/>
      </c>
      <c r="AN213" s="151"/>
      <c r="AO213" s="151"/>
      <c r="AP213" s="151"/>
      <c r="AQ213" s="150" t="str">
        <f>IF([1]回答表!BD18="●",IF([1]回答表!X51="●",[1]回答表!E257,IF([1]回答表!AA51="●",[1]回答表!E336,"")),"")</f>
        <v/>
      </c>
      <c r="AR213" s="151"/>
      <c r="AS213" s="151"/>
      <c r="AT213" s="151"/>
      <c r="AU213" s="150" t="str">
        <f>IF([1]回答表!BD18="●",IF([1]回答表!X51="●",[1]回答表!E258,IF([1]回答表!AA51="●",[1]回答表!E337,"")),"")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IF([1]回答表!BD18="●",IF([1]回答表!AA51="●","●",""),"")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IF([1]回答表!BD18="●",IF([1]回答表!X51="●",[1]回答表!E265,IF([1]回答表!AA51="●",[1]回答表!E344,"")),"")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IF([1]回答表!BD18="●",IF([1]回答表!X51="●",[1]回答表!B267,IF([1]回答表!AA51="●",[1]回答表!B346,"")),"")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IF([1]回答表!BD18="●",IF([1]回答表!AD51="●","●",""),"")</f>
        <v/>
      </c>
      <c r="O229" s="131"/>
      <c r="P229" s="131"/>
      <c r="Q229" s="132"/>
      <c r="R229" s="119"/>
      <c r="S229" s="119"/>
      <c r="T229" s="119"/>
      <c r="U229" s="133" t="str">
        <f>IF([1]回答表!BD18="●",IF([1]回答表!AD51="●",[1]回答表!B354,""),"")</f>
        <v/>
      </c>
      <c r="V229" s="134"/>
      <c r="W229" s="134"/>
      <c r="X229" s="134"/>
      <c r="Y229" s="134"/>
      <c r="Z229" s="134"/>
      <c r="AA229" s="134"/>
      <c r="AB229" s="134"/>
      <c r="AC229" s="134"/>
      <c r="AD229" s="134"/>
      <c r="AE229" s="134"/>
      <c r="AF229" s="134"/>
      <c r="AG229" s="134"/>
      <c r="AH229" s="134"/>
      <c r="AI229" s="134"/>
      <c r="AJ229" s="135"/>
      <c r="AK229" s="249"/>
      <c r="AL229" s="249"/>
      <c r="AM229" s="133" t="str">
        <f>IF([1]回答表!BD18="●",IF([1]回答表!AD51="●",[1]回答表!B360,""),"")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IF([1]回答表!X52="●","●","")</f>
        <v/>
      </c>
      <c r="O241" s="131"/>
      <c r="P241" s="131"/>
      <c r="Q241" s="132"/>
      <c r="R241" s="119"/>
      <c r="S241" s="119"/>
      <c r="T241" s="119"/>
      <c r="U241" s="133" t="str">
        <f>IF([1]回答表!X52="●",[1]回答表!B371,IF([1]回答表!AA52="●",[1]回答表!B396,""))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IF([1]回答表!X52="●",[1]回答表!U377,IF([1]回答表!AA52="●",[1]回答表!U402,""))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IF([1]回答表!X52="●",[1]回答表!G377,IF([1]回答表!AA52="●",[1]回答表!G402,""))</f>
        <v/>
      </c>
      <c r="AN244" s="83"/>
      <c r="AO244" s="83"/>
      <c r="AP244" s="83"/>
      <c r="AQ244" s="83"/>
      <c r="AR244" s="83"/>
      <c r="AS244" s="83"/>
      <c r="AT244" s="153"/>
      <c r="AU244" s="82" t="str">
        <f>IF([1]回答表!X52="●",[1]回答表!G378,IF([1]回答表!AA52="●",[1]回答表!G403,""))</f>
        <v/>
      </c>
      <c r="AV244" s="83"/>
      <c r="AW244" s="83"/>
      <c r="AX244" s="83"/>
      <c r="AY244" s="83"/>
      <c r="AZ244" s="83"/>
      <c r="BA244" s="83"/>
      <c r="BB244" s="153"/>
      <c r="BC244" s="120"/>
      <c r="BD244" s="109"/>
      <c r="BE244" s="109"/>
      <c r="BF244" s="150" t="str">
        <f>IF([1]回答表!X52="●",[1]回答表!X377,IF([1]回答表!AA52="●",[1]回答表!X402,""))</f>
        <v/>
      </c>
      <c r="BG244" s="151"/>
      <c r="BH244" s="151"/>
      <c r="BI244" s="151"/>
      <c r="BJ244" s="150" t="str">
        <f>IF([1]回答表!X52="●",[1]回答表!X378,IF([1]回答表!AA52="●",[1]回答表!X403,""))</f>
        <v/>
      </c>
      <c r="BK244" s="151"/>
      <c r="BL244" s="151"/>
      <c r="BM244" s="152"/>
      <c r="BN244" s="150" t="str">
        <f>IF([1]回答表!X52="●",[1]回答表!X379,IF([1]回答表!AA52="●",[1]回答表!X404,""))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IF([1]回答表!AA52="●","●","")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IF([1]回答表!X52="●",[1]回答表!E386,IF([1]回答表!AA52="●",[1]回答表!E407,""))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IF([1]回答表!X52="●",[1]回答表!B388,IF([1]回答表!AA52="●",[1]回答表!B409,""))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IF([1]回答表!AD52="●","●","")</f>
        <v/>
      </c>
      <c r="O260" s="131"/>
      <c r="P260" s="131"/>
      <c r="Q260" s="132"/>
      <c r="R260" s="119"/>
      <c r="S260" s="119"/>
      <c r="T260" s="119"/>
      <c r="U260" s="133" t="str">
        <f>IF([1]回答表!AD52="●",[1]回答表!B417,"")</f>
        <v/>
      </c>
      <c r="V260" s="134"/>
      <c r="W260" s="134"/>
      <c r="X260" s="134"/>
      <c r="Y260" s="134"/>
      <c r="Z260" s="134"/>
      <c r="AA260" s="134"/>
      <c r="AB260" s="134"/>
      <c r="AC260" s="134"/>
      <c r="AD260" s="134"/>
      <c r="AE260" s="134"/>
      <c r="AF260" s="134"/>
      <c r="AG260" s="134"/>
      <c r="AH260" s="134"/>
      <c r="AI260" s="134"/>
      <c r="AJ260" s="135"/>
      <c r="AK260" s="249"/>
      <c r="AL260" s="249"/>
      <c r="AM260" s="133" t="str">
        <f>IF([1]回答表!AD52="●",[1]回答表!B423,"")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IF([1]回答表!X53="●","●","")</f>
        <v/>
      </c>
      <c r="O272" s="131"/>
      <c r="P272" s="131"/>
      <c r="Q272" s="132"/>
      <c r="R272" s="119"/>
      <c r="S272" s="119"/>
      <c r="T272" s="119"/>
      <c r="U272" s="133" t="str">
        <f>IF([1]回答表!X53="●",[1]回答表!B434,IF([1]回答表!AA53="●",[1]回答表!B465,""))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IF([1]回答表!X53="●",[1]回答表!B440,"")</f>
        <v/>
      </c>
      <c r="AO272" s="262"/>
      <c r="AP272" s="262"/>
      <c r="AQ272" s="262"/>
      <c r="AR272" s="262"/>
      <c r="AS272" s="262"/>
      <c r="AT272" s="262"/>
      <c r="AU272" s="262"/>
      <c r="AV272" s="262"/>
      <c r="AW272" s="262"/>
      <c r="AX272" s="262"/>
      <c r="AY272" s="262"/>
      <c r="AZ272" s="262"/>
      <c r="BA272" s="262"/>
      <c r="BB272" s="263"/>
      <c r="BC272" s="120"/>
      <c r="BD272" s="109"/>
      <c r="BE272" s="109"/>
      <c r="BF272" s="138" t="str">
        <f>IF([1]回答表!X53="●",[1]回答表!B446,IF([1]回答表!AA53="●",[1]回答表!B471,""))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IF([1]回答表!X53="●",[1]回答表!E446,IF([1]回答表!AA53="●",[1]回答表!E471,""))</f>
        <v/>
      </c>
      <c r="BG275" s="151"/>
      <c r="BH275" s="151"/>
      <c r="BI275" s="151"/>
      <c r="BJ275" s="150" t="str">
        <f>IF([1]回答表!X53="●",[1]回答表!E447,IF([1]回答表!AA53="●",[1]回答表!E472,""))</f>
        <v/>
      </c>
      <c r="BK275" s="151"/>
      <c r="BL275" s="151"/>
      <c r="BM275" s="152"/>
      <c r="BN275" s="150" t="str">
        <f>IF([1]回答表!X53="●",[1]回答表!E448,IF([1]回答表!AA53="●",[1]回答表!E473,""))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IF([1]回答表!AA53="●","●","")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IF([1]回答表!X53="●",[1]回答表!E455,IF([1]回答表!AA53="●",[1]回答表!E476,""))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IF([1]回答表!X53="●",[1]回答表!B457,IF([1]回答表!AA53="●",[1]回答表!B478,""))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IF([1]回答表!AD53="●","●","")</f>
        <v/>
      </c>
      <c r="O291" s="131"/>
      <c r="P291" s="131"/>
      <c r="Q291" s="132"/>
      <c r="R291" s="119"/>
      <c r="S291" s="119"/>
      <c r="T291" s="119"/>
      <c r="U291" s="133" t="str">
        <f>IF([1]回答表!AD53="●",[1]回答表!B486,"")</f>
        <v/>
      </c>
      <c r="V291" s="134"/>
      <c r="W291" s="134"/>
      <c r="X291" s="134"/>
      <c r="Y291" s="134"/>
      <c r="Z291" s="134"/>
      <c r="AA291" s="134"/>
      <c r="AB291" s="134"/>
      <c r="AC291" s="134"/>
      <c r="AD291" s="134"/>
      <c r="AE291" s="134"/>
      <c r="AF291" s="134"/>
      <c r="AG291" s="134"/>
      <c r="AH291" s="134"/>
      <c r="AI291" s="134"/>
      <c r="AJ291" s="135"/>
      <c r="AK291" s="249"/>
      <c r="AL291" s="249"/>
      <c r="AM291" s="133" t="str">
        <f>IF([1]回答表!AD53="●",[1]回答表!B492,"")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IF([1]回答表!X54="●","●","")</f>
        <v/>
      </c>
      <c r="O303" s="131"/>
      <c r="P303" s="131"/>
      <c r="Q303" s="132"/>
      <c r="R303" s="119"/>
      <c r="S303" s="119"/>
      <c r="T303" s="119"/>
      <c r="U303" s="133" t="str">
        <f>IF([1]回答表!X54="●",[1]回答表!B503,IF([1]回答表!AA54="●",[1]回答表!B526,""))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IF([1]回答表!X54="●",[1]回答表!BC510,IF([1]回答表!AA54="●",[1]回答表!BC533,""))</f>
        <v/>
      </c>
      <c r="AR303" s="271"/>
      <c r="AS303" s="271"/>
      <c r="AT303" s="271"/>
      <c r="AU303" s="272" t="s">
        <v>74</v>
      </c>
      <c r="AV303" s="273"/>
      <c r="AW303" s="273"/>
      <c r="AX303" s="274"/>
      <c r="AY303" s="271" t="str">
        <f>IF([1]回答表!X54="●",[1]回答表!BC515,IF([1]回答表!AA54="●",[1]回答表!BC538,""))</f>
        <v/>
      </c>
      <c r="AZ303" s="271"/>
      <c r="BA303" s="271"/>
      <c r="BB303" s="271"/>
      <c r="BC303" s="120"/>
      <c r="BD303" s="109"/>
      <c r="BE303" s="109"/>
      <c r="BF303" s="138" t="str">
        <f>IF([1]回答表!X54="●",[1]回答表!S509,IF([1]回答表!AA54="●",[1]回答表!S532,""))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IF([1]回答表!X54="●",[1]回答表!BC511,IF([1]回答表!AA54="●",[1]回答表!BC534,""))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IF([1]回答表!X54="●",[1]回答表!V509,IF([1]回答表!AA54="●",[1]回答表!V532,""))</f>
        <v/>
      </c>
      <c r="BG306" s="151"/>
      <c r="BH306" s="151"/>
      <c r="BI306" s="151"/>
      <c r="BJ306" s="150" t="str">
        <f>IF([1]回答表!X54="●",[1]回答表!V510,IF([1]回答表!AA54="●",[1]回答表!V533,""))</f>
        <v/>
      </c>
      <c r="BK306" s="151"/>
      <c r="BL306" s="151"/>
      <c r="BM306" s="152"/>
      <c r="BN306" s="150" t="str">
        <f>IF([1]回答表!X54="●",[1]回答表!V511,IF([1]回答表!AA54="●",[1]回答表!V534,""))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IF([1]回答表!X54="●",[1]回答表!BC512,IF([1]回答表!AA54="●",[1]回答表!BC535,""))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IF([1]回答表!X54="●",[1]回答表!BC516,IF([1]回答表!AA54="●",[1]回答表!BC539,""))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IF([1]回答表!AA54="●","●","")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IF([1]回答表!X54="●",[1]回答表!BC513,IF([1]回答表!AA54="●",[1]回答表!BC536,""))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IF([1]回答表!X54="●",[1]回答表!BC514,IF([1]回答表!AA54="●",[1]回答表!BC537,""))</f>
        <v/>
      </c>
      <c r="AR311" s="271"/>
      <c r="AS311" s="271"/>
      <c r="AT311" s="271"/>
      <c r="AU311" s="222" t="s">
        <v>80</v>
      </c>
      <c r="AV311" s="223"/>
      <c r="AW311" s="223"/>
      <c r="AX311" s="224"/>
      <c r="AY311" s="281" t="str">
        <f>IF([1]回答表!X54="●",[1]回答表!BC517,IF([1]回答表!AA54="●",[1]回答表!BC540,""))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IF([1]回答表!X54="●",[1]回答表!E516,IF([1]回答表!AA54="●",[1]回答表!E538,""))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IF([1]回答表!X54="●",[1]回答表!B518,IF([1]回答表!AA54="●",[1]回答表!B540,""))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IF([1]回答表!AD54="●","●","")</f>
        <v/>
      </c>
      <c r="O322" s="131"/>
      <c r="P322" s="131"/>
      <c r="Q322" s="132"/>
      <c r="R322" s="119"/>
      <c r="S322" s="119"/>
      <c r="T322" s="119"/>
      <c r="U322" s="133" t="str">
        <f>IF([1]回答表!AD54="●",[1]回答表!B548,"")</f>
        <v/>
      </c>
      <c r="V322" s="134"/>
      <c r="W322" s="134"/>
      <c r="X322" s="134"/>
      <c r="Y322" s="134"/>
      <c r="Z322" s="134"/>
      <c r="AA322" s="134"/>
      <c r="AB322" s="134"/>
      <c r="AC322" s="134"/>
      <c r="AD322" s="134"/>
      <c r="AE322" s="134"/>
      <c r="AF322" s="134"/>
      <c r="AG322" s="134"/>
      <c r="AH322" s="134"/>
      <c r="AI322" s="134"/>
      <c r="AJ322" s="135"/>
      <c r="AK322" s="189"/>
      <c r="AL322" s="189"/>
      <c r="AM322" s="133" t="str">
        <f>IF([1]回答表!AD54="●",[1]回答表!B554,"")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IF([1]回答表!X55="●","●","")</f>
        <v/>
      </c>
      <c r="O333" s="131"/>
      <c r="P333" s="131"/>
      <c r="Q333" s="132"/>
      <c r="R333" s="119"/>
      <c r="S333" s="119"/>
      <c r="T333" s="119"/>
      <c r="U333" s="133" t="str">
        <f>IF([1]回答表!X55="●",[1]回答表!B565,IF([1]回答表!AA55="●",[1]回答表!B590,""))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IF([1]回答表!X55="●",[1]回答表!B575,IF([1]回答表!AA55="●",[1]回答表!B600,""))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IF([1]回答表!X55="●",[1]回答表!G571,IF([1]回答表!AA55="●",[1]回答表!G596,""))</f>
        <v/>
      </c>
      <c r="AN335" s="83"/>
      <c r="AO335" s="83"/>
      <c r="AP335" s="83"/>
      <c r="AQ335" s="83"/>
      <c r="AR335" s="83"/>
      <c r="AS335" s="83"/>
      <c r="AT335" s="153"/>
      <c r="AU335" s="82" t="str">
        <f>IF([1]回答表!X55="●",[1]回答表!G572,IF([1]回答表!AA55="●",[1]回答表!G597,""))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IF([1]回答表!X55="●",[1]回答表!E575,IF([1]回答表!AA55="●",[1]回答表!E600,""))</f>
        <v/>
      </c>
      <c r="BG336" s="151"/>
      <c r="BH336" s="151"/>
      <c r="BI336" s="151"/>
      <c r="BJ336" s="150" t="str">
        <f>IF([1]回答表!X55="●",[1]回答表!E576,IF([1]回答表!AA55="●",[1]回答表!E601,""))</f>
        <v/>
      </c>
      <c r="BK336" s="151"/>
      <c r="BL336" s="151"/>
      <c r="BM336" s="152"/>
      <c r="BN336" s="150" t="str">
        <f>IF([1]回答表!X55="●",[1]回答表!E577,IF([1]回答表!AA55="●",[1]回答表!E602,""))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IF([1]回答表!AA55="●","●","")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IF([1]回答表!X55="●",[1]回答表!E580,IF([1]回答表!AA55="●",[1]回答表!E605,""))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IF([1]回答表!X55="●",[1]回答表!B582,IF([1]回答表!AA55="●",[1]回答表!B607,""))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IF([1]回答表!AD55="●","●","")</f>
        <v/>
      </c>
      <c r="O352" s="131"/>
      <c r="P352" s="131"/>
      <c r="Q352" s="132"/>
      <c r="R352" s="119"/>
      <c r="S352" s="119"/>
      <c r="T352" s="119"/>
      <c r="U352" s="133" t="str">
        <f>IF([1]回答表!AD55="●",[1]回答表!B615,"")</f>
        <v/>
      </c>
      <c r="V352" s="134"/>
      <c r="W352" s="134"/>
      <c r="X352" s="134"/>
      <c r="Y352" s="134"/>
      <c r="Z352" s="134"/>
      <c r="AA352" s="134"/>
      <c r="AB352" s="134"/>
      <c r="AC352" s="134"/>
      <c r="AD352" s="134"/>
      <c r="AE352" s="134"/>
      <c r="AF352" s="134"/>
      <c r="AG352" s="134"/>
      <c r="AH352" s="134"/>
      <c r="AI352" s="134"/>
      <c r="AJ352" s="135"/>
      <c r="AK352" s="136"/>
      <c r="AL352" s="136"/>
      <c r="AM352" s="133" t="str">
        <f>IF([1]回答表!AD55="●",[1]回答表!B621,"")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IF([1]回答表!R56="●",[1]回答表!B634,"")</f>
        <v>　病院事業管理者が公営企業としての経営責任の明確化を図り、行政から基本的に独立した企画感覚による経営を行っている。
　今年度は、公立病院強化プラン作成年度となっており、経営形態の見直し等についても検討するものとする。
　また、現時点で機能の定量的な基準がないため医療機関の自主的な判断に委ねられることから、人口構造及び疾病構造が変化していく中、体制を整えて行く必要がある。当面（計画期間中）は、現状を維持し、他の医療圏との関係性を保ちながら、将来の医療需要に見極めた対応をしていきます。
　</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25" priority="2">
      <formula>$BB$25="○"</formula>
    </cfRule>
  </conditionalFormatting>
  <conditionalFormatting sqref="BD28:BD30">
    <cfRule type="expression" dxfId="24" priority="1">
      <formula>$BB$25="○"</formula>
    </cfRule>
  </conditionalFormatting>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7CAE7-E172-4430-9326-EBBFE24ED550}">
  <dimension ref="A1:CN384"/>
  <sheetViews>
    <sheetView workbookViewId="0">
      <selection sqref="A1:XFD1048576"/>
    </sheetView>
  </sheetViews>
  <sheetFormatPr defaultColWidth="2.875" defaultRowHeight="12.6" customHeight="1"/>
  <cols>
    <col min="1" max="25" width="2.625" customWidth="1"/>
    <col min="26" max="26" width="2.125" customWidth="1"/>
    <col min="27" max="27" width="2.625" hidden="1" customWidth="1"/>
    <col min="28" max="28" width="4.625" customWidth="1"/>
    <col min="29" max="34" width="2.625" customWidth="1"/>
    <col min="35" max="35" width="0.125" customWidth="1"/>
    <col min="36" max="37" width="4.625" customWidth="1"/>
    <col min="38" max="71" width="2.6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IF(COUNTIF([10]回答表!K16,"*")&gt;0,[10]回答表!K16,"")</f>
        <v>横手市</v>
      </c>
      <c r="D11" s="8"/>
      <c r="E11" s="8"/>
      <c r="F11" s="8"/>
      <c r="G11" s="8"/>
      <c r="H11" s="8"/>
      <c r="I11" s="8"/>
      <c r="J11" s="8"/>
      <c r="K11" s="8"/>
      <c r="L11" s="8"/>
      <c r="M11" s="8"/>
      <c r="N11" s="8"/>
      <c r="O11" s="8"/>
      <c r="P11" s="8"/>
      <c r="Q11" s="8"/>
      <c r="R11" s="8"/>
      <c r="S11" s="8"/>
      <c r="T11" s="8"/>
      <c r="U11" s="22" t="str">
        <f>IF(COUNTIF([10]回答表!F18,"*")&gt;0,[10]回答表!F18,"")</f>
        <v>下水道事業</v>
      </c>
      <c r="V11" s="23"/>
      <c r="W11" s="23"/>
      <c r="X11" s="23"/>
      <c r="Y11" s="23"/>
      <c r="Z11" s="23"/>
      <c r="AA11" s="23"/>
      <c r="AB11" s="23"/>
      <c r="AC11" s="23"/>
      <c r="AD11" s="23"/>
      <c r="AE11" s="23"/>
      <c r="AF11" s="10"/>
      <c r="AG11" s="10"/>
      <c r="AH11" s="10"/>
      <c r="AI11" s="10"/>
      <c r="AJ11" s="10"/>
      <c r="AK11" s="10"/>
      <c r="AL11" s="10"/>
      <c r="AM11" s="10"/>
      <c r="AN11" s="11"/>
      <c r="AO11" s="24" t="str">
        <f>IF(COUNTIF([10]回答表!W18,"*")&gt;0,[10]回答表!W18,"")</f>
        <v>農業集落排水施設</v>
      </c>
      <c r="AP11" s="10"/>
      <c r="AQ11" s="10"/>
      <c r="AR11" s="10"/>
      <c r="AS11" s="10"/>
      <c r="AT11" s="10"/>
      <c r="AU11" s="10"/>
      <c r="AV11" s="10"/>
      <c r="AW11" s="10"/>
      <c r="AX11" s="10"/>
      <c r="AY11" s="10"/>
      <c r="AZ11" s="10"/>
      <c r="BA11" s="10"/>
      <c r="BB11" s="10"/>
      <c r="BC11" s="10"/>
      <c r="BD11" s="10"/>
      <c r="BE11" s="10"/>
      <c r="BF11" s="11"/>
      <c r="BG11" s="21" t="str">
        <f>IF(COUNTIF([10]回答表!F20,"*")&gt;0,[10]回答表!F20,"")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IF([10]回答表!R49="●","●","")</f>
        <v/>
      </c>
      <c r="E24" s="80"/>
      <c r="F24" s="80"/>
      <c r="G24" s="80"/>
      <c r="H24" s="80"/>
      <c r="I24" s="80"/>
      <c r="J24" s="81"/>
      <c r="K24" s="79" t="str">
        <f>IF([10]回答表!R50="●","●","")</f>
        <v/>
      </c>
      <c r="L24" s="80"/>
      <c r="M24" s="80"/>
      <c r="N24" s="80"/>
      <c r="O24" s="80"/>
      <c r="P24" s="80"/>
      <c r="Q24" s="81"/>
      <c r="R24" s="79" t="str">
        <f>IF([10]回答表!R51="●","●","")</f>
        <v>●</v>
      </c>
      <c r="S24" s="80"/>
      <c r="T24" s="80"/>
      <c r="U24" s="80"/>
      <c r="V24" s="80"/>
      <c r="W24" s="80"/>
      <c r="X24" s="81"/>
      <c r="Y24" s="79" t="str">
        <f>IF([10]回答表!R52="●","●","")</f>
        <v/>
      </c>
      <c r="Z24" s="80"/>
      <c r="AA24" s="80"/>
      <c r="AB24" s="80"/>
      <c r="AC24" s="80"/>
      <c r="AD24" s="80"/>
      <c r="AE24" s="81"/>
      <c r="AF24" s="79" t="str">
        <f>IF([10]回答表!R53="●","●","")</f>
        <v>●</v>
      </c>
      <c r="AG24" s="80"/>
      <c r="AH24" s="80"/>
      <c r="AI24" s="80"/>
      <c r="AJ24" s="80"/>
      <c r="AK24" s="80"/>
      <c r="AL24" s="81"/>
      <c r="AM24" s="79" t="str">
        <f>IF([10]回答表!R54="●","●","")</f>
        <v/>
      </c>
      <c r="AN24" s="80"/>
      <c r="AO24" s="80"/>
      <c r="AP24" s="80"/>
      <c r="AQ24" s="80"/>
      <c r="AR24" s="80"/>
      <c r="AS24" s="81"/>
      <c r="AT24" s="79" t="str">
        <f>IF([10]回答表!R55="●","●","")</f>
        <v/>
      </c>
      <c r="AU24" s="80"/>
      <c r="AV24" s="80"/>
      <c r="AW24" s="80"/>
      <c r="AX24" s="80"/>
      <c r="AY24" s="80"/>
      <c r="AZ24" s="81"/>
      <c r="BA24" s="68"/>
      <c r="BB24" s="82" t="str">
        <f>IF([10]回答表!R56="●","●","")</f>
        <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IF([10]回答表!X49="●","●","")</f>
        <v/>
      </c>
      <c r="O36" s="131"/>
      <c r="P36" s="131"/>
      <c r="Q36" s="132"/>
      <c r="R36" s="119"/>
      <c r="S36" s="119"/>
      <c r="T36" s="119"/>
      <c r="U36" s="133" t="str">
        <f>IF([10]回答表!X49="●",[10]回答表!B67,IF([10]回答表!AA49="●",[10]回答表!B95,""))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IF([10]回答表!X49="●",[10]回答表!S73,IF([10]回答表!AA49="●",[10]回答表!S101,""))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IF([10]回答表!X49="●",[10]回答表!G73,IF([10]回答表!AA49="●",[10]回答表!G101,""))</f>
        <v/>
      </c>
      <c r="AN38" s="83"/>
      <c r="AO38" s="83"/>
      <c r="AP38" s="83"/>
      <c r="AQ38" s="83"/>
      <c r="AR38" s="83"/>
      <c r="AS38" s="83"/>
      <c r="AT38" s="153"/>
      <c r="AU38" s="82" t="str">
        <f>IF([10]回答表!X49="●",[10]回答表!G74,IF([10]回答表!AA49="●",[10]回答表!G102,""))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IF([10]回答表!X49="●",[10]回答表!V73,IF([10]回答表!AA49="●",[10]回答表!V101,""))</f>
        <v/>
      </c>
      <c r="BG39" s="16"/>
      <c r="BH39" s="16"/>
      <c r="BI39" s="17"/>
      <c r="BJ39" s="150" t="str">
        <f>IF([10]回答表!X49="●",[10]回答表!V74,IF([10]回答表!AA49="●",[10]回答表!V102,""))</f>
        <v/>
      </c>
      <c r="BK39" s="16"/>
      <c r="BL39" s="16"/>
      <c r="BM39" s="17"/>
      <c r="BN39" s="150" t="str">
        <f>IF([10]回答表!X49="●",[10]回答表!V75,IF([10]回答表!AA49="●",[10]回答表!V103,""))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IF([10]回答表!X49="●",[10]回答表!O79,IF([10]回答表!AA49="●",[10]回答表!O107,""))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IF([10]回答表!X49="●",[10]回答表!O80,IF([10]回答表!AA49="●",[10]回答表!O108,""))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IF([10]回答表!AA49="●","●","")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IF([10]回答表!X49="●",[10]回答表!O81,IF([10]回答表!AA49="●",[10]回答表!O109,""))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IF([10]回答表!X49="●",[10]回答表!O82,IF([10]回答表!AA49="●",[10]回答表!O110,""))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IF([10]回答表!X49="●",[10]回答表!AG79,IF([10]回答表!AA49="●",[10]回答表!AG107,""))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IF([10]回答表!X49="●",[10]回答表!AG80,IF([10]回答表!AA49="●",[10]回答表!AG108,""))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IF([10]回答表!X49="●",[10]回答表!E85,IF([10]回答表!AA49="●",[10]回答表!E113,""))</f>
        <v/>
      </c>
      <c r="V50" s="182"/>
      <c r="W50" s="182"/>
      <c r="X50" s="182"/>
      <c r="Y50" s="182"/>
      <c r="Z50" s="182"/>
      <c r="AA50" s="182"/>
      <c r="AB50" s="182"/>
      <c r="AC50" s="182"/>
      <c r="AD50" s="182"/>
      <c r="AE50" s="183" t="s">
        <v>33</v>
      </c>
      <c r="AF50" s="183"/>
      <c r="AG50" s="183"/>
      <c r="AH50" s="183"/>
      <c r="AI50" s="183"/>
      <c r="AJ50" s="184"/>
      <c r="AK50" s="136"/>
      <c r="AL50" s="136"/>
      <c r="AM50" s="133" t="str">
        <f>IF([10]回答表!X49="●",[10]回答表!B87,IF([10]回答表!AA49="●",[10]回答表!B115,""))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IF([10]回答表!AD49="●","●","")</f>
        <v/>
      </c>
      <c r="O57" s="131"/>
      <c r="P57" s="131"/>
      <c r="Q57" s="132"/>
      <c r="R57" s="119"/>
      <c r="S57" s="119"/>
      <c r="T57" s="119"/>
      <c r="U57" s="133" t="str">
        <f>IF([10]回答表!AD49="●",[10]回答表!B123,"")</f>
        <v/>
      </c>
      <c r="V57" s="134"/>
      <c r="W57" s="134"/>
      <c r="X57" s="134"/>
      <c r="Y57" s="134"/>
      <c r="Z57" s="134"/>
      <c r="AA57" s="134"/>
      <c r="AB57" s="134"/>
      <c r="AC57" s="134"/>
      <c r="AD57" s="134"/>
      <c r="AE57" s="134"/>
      <c r="AF57" s="134"/>
      <c r="AG57" s="134"/>
      <c r="AH57" s="134"/>
      <c r="AI57" s="134"/>
      <c r="AJ57" s="135"/>
      <c r="AK57" s="189"/>
      <c r="AL57" s="189"/>
      <c r="AM57" s="133" t="str">
        <f>IF([10]回答表!AD49="●",[10]回答表!B128,"")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IF([10]回答表!X50="●","●","")</f>
        <v/>
      </c>
      <c r="O68" s="131"/>
      <c r="P68" s="131"/>
      <c r="Q68" s="132"/>
      <c r="R68" s="119"/>
      <c r="S68" s="119"/>
      <c r="T68" s="119"/>
      <c r="U68" s="133" t="str">
        <f>IF([10]回答表!X50="●",[10]回答表!B138,IF([10]回答表!AA50="●",[10]回答表!B159,""))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IF([10]回答表!X50="●",[10]回答表!S144,IF([10]回答表!AA50="●",[10]回答表!S165,""))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IF([10]回答表!X50="●",[10]回答表!J144,IF([10]回答表!AA50="●",[10]回答表!J165,""))</f>
        <v/>
      </c>
      <c r="AN71" s="83"/>
      <c r="AO71" s="83"/>
      <c r="AP71" s="83"/>
      <c r="AQ71" s="83"/>
      <c r="AR71" s="83"/>
      <c r="AS71" s="83"/>
      <c r="AT71" s="153"/>
      <c r="AU71" s="82" t="str">
        <f>IF([10]回答表!X50="●",[10]回答表!J145,IF([10]回答表!AA50="●",[10]回答表!J166,""))</f>
        <v/>
      </c>
      <c r="AV71" s="83"/>
      <c r="AW71" s="83"/>
      <c r="AX71" s="83"/>
      <c r="AY71" s="83"/>
      <c r="AZ71" s="83"/>
      <c r="BA71" s="83"/>
      <c r="BB71" s="153"/>
      <c r="BC71" s="120"/>
      <c r="BD71" s="109"/>
      <c r="BE71" s="109"/>
      <c r="BF71" s="150" t="str">
        <f>IF([10]回答表!X50="●",[10]回答表!V144,IF([10]回答表!AA50="●",[10]回答表!V165,""))</f>
        <v/>
      </c>
      <c r="BG71" s="151"/>
      <c r="BH71" s="151"/>
      <c r="BI71" s="151"/>
      <c r="BJ71" s="150" t="str">
        <f>IF([10]回答表!X50="●",[10]回答表!V145,IF([10]回答表!AA50="●",[10]回答表!V166,""))</f>
        <v/>
      </c>
      <c r="BK71" s="151"/>
      <c r="BL71" s="151"/>
      <c r="BM71" s="151"/>
      <c r="BN71" s="150" t="str">
        <f>IF([10]回答表!X50="●",[10]回答表!V146,IF([10]回答表!AA50="●",[10]回答表!V167,""))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IF([10]回答表!AA50="●","●","")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IF([10]回答表!X50="●",[10]回答表!E149,IF([10]回答表!AA50="●",[10]回答表!E170,""))</f>
        <v/>
      </c>
      <c r="V80" s="182"/>
      <c r="W80" s="182"/>
      <c r="X80" s="182"/>
      <c r="Y80" s="182"/>
      <c r="Z80" s="182"/>
      <c r="AA80" s="182"/>
      <c r="AB80" s="182"/>
      <c r="AC80" s="182"/>
      <c r="AD80" s="182"/>
      <c r="AE80" s="183" t="s">
        <v>33</v>
      </c>
      <c r="AF80" s="183"/>
      <c r="AG80" s="183"/>
      <c r="AH80" s="183"/>
      <c r="AI80" s="183"/>
      <c r="AJ80" s="184"/>
      <c r="AK80" s="136"/>
      <c r="AL80" s="136"/>
      <c r="AM80" s="133" t="str">
        <f>IF([10]回答表!X50="●",[10]回答表!B151,IF([10]回答表!AA50="●",[10]回答表!B172,""))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IF([10]回答表!AD50="●","●","")</f>
        <v/>
      </c>
      <c r="O87" s="131"/>
      <c r="P87" s="131"/>
      <c r="Q87" s="132"/>
      <c r="R87" s="119"/>
      <c r="S87" s="119"/>
      <c r="T87" s="119"/>
      <c r="U87" s="133" t="str">
        <f>IF([10]回答表!AD50="●",[10]回答表!B180,"")</f>
        <v/>
      </c>
      <c r="V87" s="134"/>
      <c r="W87" s="134"/>
      <c r="X87" s="134"/>
      <c r="Y87" s="134"/>
      <c r="Z87" s="134"/>
      <c r="AA87" s="134"/>
      <c r="AB87" s="134"/>
      <c r="AC87" s="134"/>
      <c r="AD87" s="134"/>
      <c r="AE87" s="134"/>
      <c r="AF87" s="134"/>
      <c r="AG87" s="134"/>
      <c r="AH87" s="134"/>
      <c r="AI87" s="134"/>
      <c r="AJ87" s="135"/>
      <c r="AK87" s="189"/>
      <c r="AL87" s="189"/>
      <c r="AM87" s="133" t="str">
        <f>IF([10]回答表!AD50="●",[10]回答表!B186,"")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IF([10]回答表!F18="水道事業",IF([10]回答表!X51="●","●",""),"")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IF([10]回答表!F18="水道事業",IF([10]回答表!X51="●",[10]回答表!B197,IF([10]回答表!AA51="●",[10]回答表!B275,"")),"")</f>
        <v/>
      </c>
      <c r="AN99" s="134"/>
      <c r="AO99" s="134"/>
      <c r="AP99" s="134"/>
      <c r="AQ99" s="134"/>
      <c r="AR99" s="134"/>
      <c r="AS99" s="134"/>
      <c r="AT99" s="134"/>
      <c r="AU99" s="134"/>
      <c r="AV99" s="134"/>
      <c r="AW99" s="134"/>
      <c r="AX99" s="134"/>
      <c r="AY99" s="134"/>
      <c r="AZ99" s="134"/>
      <c r="BA99" s="134"/>
      <c r="BB99" s="134"/>
      <c r="BC99" s="135"/>
      <c r="BD99" s="109"/>
      <c r="BE99" s="109"/>
      <c r="BF99" s="138" t="str">
        <f>IF([10]回答表!F18="水道事業",IF([10]回答表!X51="●",[10]回答表!B256,IF([10]回答表!AA51="●",[10]回答表!B335,"")),"")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IF([10]回答表!F18="水道事業",IF([10]回答表!X51="●",[10]回答表!J205,IF([10]回答表!AA51="●",[10]回答表!J283,"")),"")</f>
        <v/>
      </c>
      <c r="V101" s="83"/>
      <c r="W101" s="83"/>
      <c r="X101" s="83"/>
      <c r="Y101" s="83"/>
      <c r="Z101" s="83"/>
      <c r="AA101" s="83"/>
      <c r="AB101" s="153"/>
      <c r="AC101" s="82" t="str">
        <f>IF([10]回答表!F18="水道事業",IF([10]回答表!X51="●",[10]回答表!J210,IF([10]回答表!AA51="●",[10]回答表!J290,"")),"")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IF([10]回答表!F18="水道事業",IF([10]回答表!X51="●",[10]回答表!E256,IF([10]回答表!AA51="●",[10]回答表!E335,"")),"")</f>
        <v/>
      </c>
      <c r="BG102" s="151"/>
      <c r="BH102" s="151"/>
      <c r="BI102" s="151"/>
      <c r="BJ102" s="150" t="str">
        <f>IF([10]回答表!F18="水道事業",IF([10]回答表!X51="●",[10]回答表!E257,IF([10]回答表!AA51="●",[10]回答表!E336,"")),"")</f>
        <v/>
      </c>
      <c r="BK102" s="151"/>
      <c r="BL102" s="151"/>
      <c r="BM102" s="151"/>
      <c r="BN102" s="150" t="str">
        <f>IF([10]回答表!F18="水道事業",IF([10]回答表!X51="●",[10]回答表!E258,IF([10]回答表!AA51="●",[10]回答表!E337,"")),"")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IF([10]回答表!F18="水道事業",IF([10]回答表!AA51="●","●",""),"")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IF([10]回答表!F18="水道事業",IF([10]回答表!X51="●",[10]回答表!J213,IF([10]回答表!AA51="●",[10]回答表!J293,"")),"")</f>
        <v/>
      </c>
      <c r="V106" s="83"/>
      <c r="W106" s="83"/>
      <c r="X106" s="83"/>
      <c r="Y106" s="83"/>
      <c r="Z106" s="83"/>
      <c r="AA106" s="83"/>
      <c r="AB106" s="153"/>
      <c r="AC106" s="82" t="str">
        <f>IF([10]回答表!F18="水道事業",IF([10]回答表!X51="●",[10]回答表!J217,IF([10]回答表!AA51="●",[10]回答表!J297,"")),"")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IF([10]回答表!F18="水道事業",IF([10]回答表!X51="●",[10]回答表!E265,IF([10]回答表!AA51="●",[10]回答表!E344,"")),"")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IF([10]回答表!F18="水道事業",IF([10]回答表!X51="●",[10]回答表!B267,IF([10]回答表!AA51="●",[10]回答表!B346,"")),"")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IF([10]回答表!F18="水道事業",IF([10]回答表!AD51="●","●",""),"")</f>
        <v/>
      </c>
      <c r="O118" s="131"/>
      <c r="P118" s="131"/>
      <c r="Q118" s="132"/>
      <c r="R118" s="119"/>
      <c r="S118" s="119"/>
      <c r="T118" s="119"/>
      <c r="U118" s="133" t="str">
        <f>IF([10]回答表!F18="水道事業",IF([10]回答表!AD51="●",[10]回答表!B354,""),"")</f>
        <v/>
      </c>
      <c r="V118" s="134"/>
      <c r="W118" s="134"/>
      <c r="X118" s="134"/>
      <c r="Y118" s="134"/>
      <c r="Z118" s="134"/>
      <c r="AA118" s="134"/>
      <c r="AB118" s="134"/>
      <c r="AC118" s="134"/>
      <c r="AD118" s="134"/>
      <c r="AE118" s="134"/>
      <c r="AF118" s="134"/>
      <c r="AG118" s="134"/>
      <c r="AH118" s="134"/>
      <c r="AI118" s="134"/>
      <c r="AJ118" s="135"/>
      <c r="AK118" s="189"/>
      <c r="AL118" s="189"/>
      <c r="AM118" s="133" t="str">
        <f>IF([10]回答表!F18="水道事業",IF([10]回答表!AD51="●",[10]回答表!B360,""),"")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IF([10]回答表!F18="簡易水道事業",IF([10]回答表!X51="●",[10]回答表!B197,IF([10]回答表!AA51="●",[10]回答表!B275,"")),"")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IF([10]回答表!F18="簡易水道事業",IF([10]回答表!X51="●",[10]回答表!B256,IF([10]回答表!AA51="●",[10]回答表!B335,"")),"")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IF([10]回答表!F18="簡易水道事業",IF([10]回答表!X51="●","●",""),"")</f>
        <v/>
      </c>
      <c r="O132" s="131"/>
      <c r="P132" s="131"/>
      <c r="Q132" s="132"/>
      <c r="R132" s="119"/>
      <c r="S132" s="119"/>
      <c r="T132" s="119"/>
      <c r="U132" s="82" t="str">
        <f>IF([10]回答表!F18="簡易水道事業",IF([10]回答表!X51="●",[10]回答表!S224,IF([10]回答表!AA51="●",[10]回答表!S304,"")),"")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IF([10]回答表!F18="簡易水道事業",IF([10]回答表!X51="●",[10]回答表!E256,IF([10]回答表!AA51="●",[10]回答表!E335,"")),"")</f>
        <v/>
      </c>
      <c r="BG133" s="151"/>
      <c r="BH133" s="151"/>
      <c r="BI133" s="151"/>
      <c r="BJ133" s="150" t="str">
        <f>IF([10]回答表!F18="簡易水道事業",IF([10]回答表!X51="●",[10]回答表!E257,IF([10]回答表!AA51="●",[10]回答表!E336,"")),"")</f>
        <v/>
      </c>
      <c r="BK133" s="151"/>
      <c r="BL133" s="151"/>
      <c r="BM133" s="151"/>
      <c r="BN133" s="150" t="str">
        <f>IF([10]回答表!F18="簡易水道事業",IF([10]回答表!X51="●",[10]回答表!E258,IF([10]回答表!AA51="●",[10]回答表!E337,"")),"")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IF([10]回答表!F18="簡易水道事業",IF([10]回答表!X51="●",[10]回答表!S225,IF([10]回答表!AA51="●",[10]回答表!S305,"")),"")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IF([10]回答表!F18="簡易水道事業",IF([10]回答表!AA51="●","●",""),"")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IF([10]回答表!F18="簡易水道事業",IF([10]回答表!X51="●",[10]回答表!S226,IF([10]回答表!AA51="●",[10]回答表!S306,"")),"")</f>
        <v/>
      </c>
      <c r="V142" s="83"/>
      <c r="W142" s="83"/>
      <c r="X142" s="83"/>
      <c r="Y142" s="83"/>
      <c r="Z142" s="83"/>
      <c r="AA142" s="83"/>
      <c r="AB142" s="83"/>
      <c r="AC142" s="83"/>
      <c r="AD142" s="83"/>
      <c r="AE142" s="83"/>
      <c r="AF142" s="83"/>
      <c r="AG142" s="83"/>
      <c r="AH142" s="83"/>
      <c r="AI142" s="83"/>
      <c r="AJ142" s="153"/>
      <c r="AK142" s="68"/>
      <c r="AL142" s="68"/>
      <c r="AM142" s="231" t="str">
        <f>IF([10]回答表!F18="簡易水道事業",IF([10]回答表!X51="●",[10]回答表!Y228,IF([10]回答表!AA51="●",[10]回答表!Y308,"")),"")</f>
        <v/>
      </c>
      <c r="AN142" s="231"/>
      <c r="AO142" s="231"/>
      <c r="AP142" s="231"/>
      <c r="AQ142" s="231"/>
      <c r="AR142" s="231"/>
      <c r="AS142" s="231" t="str">
        <f>IF([10]回答表!F18="簡易水道事業",IF([10]回答表!X51="●",[10]回答表!Y229,IF([10]回答表!AA51="●",[10]回答表!Y309,"")),"")</f>
        <v/>
      </c>
      <c r="AT142" s="231"/>
      <c r="AU142" s="231"/>
      <c r="AV142" s="231"/>
      <c r="AW142" s="231"/>
      <c r="AX142" s="231"/>
      <c r="AY142" s="231" t="str">
        <f>IF([10]回答表!F18="簡易水道事業",IF([10]回答表!X51="●",[10]回答表!Y230,IF([10]回答表!AA51="●",[10]回答表!Y310,"")),"")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IF([10]回答表!F18="簡易水道事業",IF([10]回答表!X51="●",[10]回答表!E265,IF([10]回答表!AA51="●",[10]回答表!E344,"")),"")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IF([10]回答表!F18="簡易水道事業",IF([10]回答表!X51="●",[10]回答表!B267,IF([10]回答表!AA51="●",[10]回答表!B346,"")),"")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IF([10]回答表!F18="簡易水道事業",IF([10]回答表!AD51="●","●",""),"")</f>
        <v/>
      </c>
      <c r="O154" s="131"/>
      <c r="P154" s="131"/>
      <c r="Q154" s="132"/>
      <c r="R154" s="119"/>
      <c r="S154" s="119"/>
      <c r="T154" s="119"/>
      <c r="U154" s="133" t="str">
        <f>IF([10]回答表!F18="簡易水道事業",IF([10]回答表!AD51="●",[10]回答表!B354,""),"")</f>
        <v/>
      </c>
      <c r="V154" s="134"/>
      <c r="W154" s="134"/>
      <c r="X154" s="134"/>
      <c r="Y154" s="134"/>
      <c r="Z154" s="134"/>
      <c r="AA154" s="134"/>
      <c r="AB154" s="134"/>
      <c r="AC154" s="134"/>
      <c r="AD154" s="134"/>
      <c r="AE154" s="134"/>
      <c r="AF154" s="134"/>
      <c r="AG154" s="134"/>
      <c r="AH154" s="134"/>
      <c r="AI154" s="134"/>
      <c r="AJ154" s="135"/>
      <c r="AK154" s="189"/>
      <c r="AL154" s="189"/>
      <c r="AM154" s="133" t="str">
        <f>IF([10]回答表!F18="簡易水道事業",IF([10]回答表!AD51="●",[10]回答表!B360,""),"")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IF([10]回答表!F18="下水道事業",IF([10]回答表!X51="●","●",""),"")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IF([10]回答表!F18="下水道事業",IF([10]回答表!X51="●",[10]回答表!B197,IF([10]回答表!AA51="●",[10]回答表!B275,"")),"")</f>
        <v>汚水処理施設の統廃合（農業集落排水の３処理場を一つに統合する。）</v>
      </c>
      <c r="AN166" s="134"/>
      <c r="AO166" s="134"/>
      <c r="AP166" s="134"/>
      <c r="AQ166" s="134"/>
      <c r="AR166" s="134"/>
      <c r="AS166" s="134"/>
      <c r="AT166" s="134"/>
      <c r="AU166" s="134"/>
      <c r="AV166" s="134"/>
      <c r="AW166" s="134"/>
      <c r="AX166" s="134"/>
      <c r="AY166" s="134"/>
      <c r="AZ166" s="134"/>
      <c r="BA166" s="134"/>
      <c r="BB166" s="134"/>
      <c r="BC166" s="135"/>
      <c r="BD166" s="109"/>
      <c r="BE166" s="109"/>
      <c r="BF166" s="138" t="str">
        <f>IF([10]回答表!F18="下水道事業",IF([10]回答表!X51="●",[10]回答表!B256,IF([10]回答表!AA51="●",[10]回答表!B335,"")),"")</f>
        <v>令和</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IF([10]回答表!F18="下水道事業",IF([10]回答表!X51="●",[10]回答表!N234,IF([10]回答表!AA51="●",[10]回答表!N314,"")),"")</f>
        <v>●</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f>IF([10]回答表!F18="下水道事業",IF([10]回答表!X51="●",[10]回答表!E256,IF([10]回答表!AA51="●",[10]回答表!E335,"")),"")</f>
        <v>5</v>
      </c>
      <c r="BG169" s="151"/>
      <c r="BH169" s="151"/>
      <c r="BI169" s="151"/>
      <c r="BJ169" s="150">
        <f>IF([10]回答表!F18="下水道事業",IF([10]回答表!X51="●",[10]回答表!E257,IF([10]回答表!AA51="●",[10]回答表!E336,"")),"")</f>
        <v>3</v>
      </c>
      <c r="BK169" s="151"/>
      <c r="BL169" s="151"/>
      <c r="BM169" s="151"/>
      <c r="BN169" s="150">
        <f>IF([10]回答表!F18="下水道事業",IF([10]回答表!X51="●",[10]回答表!E258,IF([10]回答表!AA51="●",[10]回答表!E337,"")),"")</f>
        <v>31</v>
      </c>
      <c r="BO169" s="151"/>
      <c r="BP169" s="151"/>
      <c r="BQ169" s="152"/>
      <c r="BR169" s="112"/>
      <c r="BX169" s="234" t="str">
        <f>IF([10]回答表!AQ21="下水道事業",IF([10]回答表!BI54="○",[10]回答表!AM200,IF([10]回答表!BL54="○",[10]回答表!AM278,"")),"")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IF([10]回答表!F18="下水道事業",IF([10]回答表!X51="●",[10]回答表!Y236,IF([10]回答表!AA51="●",[10]回答表!Y316,"")),"")</f>
        <v>●</v>
      </c>
      <c r="V174" s="83"/>
      <c r="W174" s="83"/>
      <c r="X174" s="83"/>
      <c r="Y174" s="83"/>
      <c r="Z174" s="83"/>
      <c r="AA174" s="83"/>
      <c r="AB174" s="153"/>
      <c r="AC174" s="82">
        <f>IF([10]回答表!F18="下水道事業",IF([10]回答表!X51="●",[10]回答表!Y237,IF([10]回答表!AA51="●",[10]回答表!Y317,"")),"")</f>
        <v>0</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f>IF([10]回答表!F18="下水道事業",IF([10]回答表!X51="●",[10]回答表!Y239,IF([10]回答表!AA51="●",[10]回答表!Y319,"")),"")</f>
        <v>0</v>
      </c>
      <c r="V180" s="83"/>
      <c r="W180" s="83"/>
      <c r="X180" s="83"/>
      <c r="Y180" s="83"/>
      <c r="Z180" s="83"/>
      <c r="AA180" s="83"/>
      <c r="AB180" s="153"/>
      <c r="AC180" s="82" t="str">
        <f>IF([10]回答表!F18="下水道事業",IF([10]回答表!X51="●",[10]回答表!Y240,IF([10]回答表!AA51="●",[10]回答表!Y320,"")),"")</f>
        <v xml:space="preserve"> </v>
      </c>
      <c r="AD180" s="83"/>
      <c r="AE180" s="83"/>
      <c r="AF180" s="83"/>
      <c r="AG180" s="83"/>
      <c r="AH180" s="83"/>
      <c r="AI180" s="83"/>
      <c r="AJ180" s="153"/>
      <c r="AK180" s="82" t="str">
        <f>IF([10]回答表!F18="下水道事業",IF([10]回答表!X51="●",[10]回答表!Y241,IF([10]回答表!AA51="●",[10]回答表!Y321,"")),"")</f>
        <v xml:space="preserve"> </v>
      </c>
      <c r="AL180" s="83"/>
      <c r="AM180" s="83"/>
      <c r="AN180" s="83"/>
      <c r="AO180" s="83"/>
      <c r="AP180" s="83"/>
      <c r="AQ180" s="83"/>
      <c r="AR180" s="153"/>
      <c r="AS180" s="82" t="str">
        <f>IF([10]回答表!F18="下水道事業",IF([10]回答表!X51="●",[10]回答表!Y242,IF([10]回答表!AA51="●",[10]回答表!Y322,"")),"")</f>
        <v xml:space="preserve"> </v>
      </c>
      <c r="AT180" s="83"/>
      <c r="AU180" s="83"/>
      <c r="AV180" s="83"/>
      <c r="AW180" s="83"/>
      <c r="AX180" s="83"/>
      <c r="AY180" s="83"/>
      <c r="AZ180" s="153"/>
      <c r="BA180" s="82" t="str">
        <f>IF([10]回答表!F18="下水道事業",IF([10]回答表!X51="●",[10]回答表!Y243,IF([10]回答表!AA51="●",[10]回答表!Y323,"")),"")</f>
        <v>●</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IF([10]回答表!F18="下水道事業",IF([10]回答表!AA51="●","●",""),"")</f>
        <v>●</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IF([10]回答表!F18="下水道事業",IF([10]回答表!X51="●",[10]回答表!N248,IF([10]回答表!AA51="●",[10]回答表!N328,"")),"")</f>
        <v xml:space="preserve"> </v>
      </c>
      <c r="V186" s="83"/>
      <c r="W186" s="83"/>
      <c r="X186" s="83"/>
      <c r="Y186" s="83"/>
      <c r="Z186" s="83"/>
      <c r="AA186" s="83"/>
      <c r="AB186" s="153"/>
      <c r="AC186" s="82" t="str">
        <f>IF([10]回答表!F18="下水道事業",IF([10]回答表!X51="●",[10]回答表!N249,IF([10]回答表!AA51="●",[10]回答表!N329,"")),"")</f>
        <v xml:space="preserve"> </v>
      </c>
      <c r="AD186" s="83"/>
      <c r="AE186" s="83"/>
      <c r="AF186" s="83"/>
      <c r="AG186" s="83"/>
      <c r="AH186" s="83"/>
      <c r="AI186" s="83"/>
      <c r="AJ186" s="153"/>
      <c r="AK186" s="82" t="str">
        <f>IF([10]回答表!F18="下水道事業",IF([10]回答表!X51="●",[10]回答表!N250,IF([10]回答表!AA51="●",[10]回答表!N330,"")),"")</f>
        <v xml:space="preserve">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f>IF([10]回答表!F18="下水道事業",IF([10]回答表!X51="●",[10]回答表!E265,IF([10]回答表!AA51="●",[10]回答表!E344,"")),"")</f>
        <v>5</v>
      </c>
      <c r="V191" s="182"/>
      <c r="W191" s="182"/>
      <c r="X191" s="182"/>
      <c r="Y191" s="182"/>
      <c r="Z191" s="182"/>
      <c r="AA191" s="182"/>
      <c r="AB191" s="182"/>
      <c r="AC191" s="182"/>
      <c r="AD191" s="182"/>
      <c r="AE191" s="183" t="s">
        <v>33</v>
      </c>
      <c r="AF191" s="183"/>
      <c r="AG191" s="183"/>
      <c r="AH191" s="183"/>
      <c r="AI191" s="183"/>
      <c r="AJ191" s="184"/>
      <c r="AK191" s="136"/>
      <c r="AL191" s="136"/>
      <c r="AM191" s="133" t="str">
        <f>IF([10]回答表!F18="下水道事業",IF([10]回答表!X51="●",[10]回答表!B267,IF([10]回答表!AA51="●",[10]回答表!B346,"")),"")</f>
        <v>維持管理費　年▲5</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IF([10]回答表!F18="下水道事業",IF([10]回答表!AD51="●","●",""),"")</f>
        <v/>
      </c>
      <c r="O198" s="131"/>
      <c r="P198" s="131"/>
      <c r="Q198" s="132"/>
      <c r="R198" s="119"/>
      <c r="S198" s="119"/>
      <c r="T198" s="119"/>
      <c r="U198" s="133" t="str">
        <f>IF([10]回答表!F18="下水道事業",IF([10]回答表!AD51="●",[10]回答表!B354,""),"")</f>
        <v/>
      </c>
      <c r="V198" s="134"/>
      <c r="W198" s="134"/>
      <c r="X198" s="134"/>
      <c r="Y198" s="134"/>
      <c r="Z198" s="134"/>
      <c r="AA198" s="134"/>
      <c r="AB198" s="134"/>
      <c r="AC198" s="134"/>
      <c r="AD198" s="134"/>
      <c r="AE198" s="134"/>
      <c r="AF198" s="134"/>
      <c r="AG198" s="134"/>
      <c r="AH198" s="134"/>
      <c r="AI198" s="134"/>
      <c r="AJ198" s="135"/>
      <c r="AK198" s="189"/>
      <c r="AL198" s="189"/>
      <c r="AM198" s="133" t="str">
        <f>IF([10]回答表!F18="下水道事業",IF([10]回答表!AD51="●",[10]回答表!B360,""),"")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IF([10]回答表!BD18="●",IF([10]回答表!X51="●","●",""),"")</f>
        <v/>
      </c>
      <c r="O210" s="131"/>
      <c r="P210" s="131"/>
      <c r="Q210" s="132"/>
      <c r="R210" s="119"/>
      <c r="S210" s="119"/>
      <c r="T210" s="119"/>
      <c r="U210" s="133" t="str">
        <f>IF([10]回答表!BD18="●",IF([10]回答表!X51="●",[10]回答表!B197,IF([10]回答表!AA51="●",[10]回答表!B275,"")),"")</f>
        <v/>
      </c>
      <c r="V210" s="134"/>
      <c r="W210" s="134"/>
      <c r="X210" s="134"/>
      <c r="Y210" s="134"/>
      <c r="Z210" s="134"/>
      <c r="AA210" s="134"/>
      <c r="AB210" s="134"/>
      <c r="AC210" s="134"/>
      <c r="AD210" s="134"/>
      <c r="AE210" s="134"/>
      <c r="AF210" s="134"/>
      <c r="AG210" s="134"/>
      <c r="AH210" s="134"/>
      <c r="AI210" s="134"/>
      <c r="AJ210" s="135"/>
      <c r="AK210" s="136"/>
      <c r="AL210" s="136"/>
      <c r="AM210" s="138" t="str">
        <f>IF([10]回答表!BD18="●",IF([10]回答表!X51="●",[10]回答表!B256,IF([10]回答表!AA51="●",[10]回答表!B335,"")),"")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IF([10]回答表!BD18="●",IF([10]回答表!X51="●",[10]回答表!E256,IF([10]回答表!AA51="●",[10]回答表!E335,"")),"")</f>
        <v/>
      </c>
      <c r="AN213" s="151"/>
      <c r="AO213" s="151"/>
      <c r="AP213" s="151"/>
      <c r="AQ213" s="150" t="str">
        <f>IF([10]回答表!BD18="●",IF([10]回答表!X51="●",[10]回答表!E257,IF([10]回答表!AA51="●",[10]回答表!E336,"")),"")</f>
        <v/>
      </c>
      <c r="AR213" s="151"/>
      <c r="AS213" s="151"/>
      <c r="AT213" s="151"/>
      <c r="AU213" s="150" t="str">
        <f>IF([10]回答表!BD18="●",IF([10]回答表!X51="●",[10]回答表!E258,IF([10]回答表!AA51="●",[10]回答表!E337,"")),"")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IF([10]回答表!BD18="●",IF([10]回答表!AA51="●","●",""),"")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IF([10]回答表!BD18="●",IF([10]回答表!X51="●",[10]回答表!E265,IF([10]回答表!AA51="●",[10]回答表!E344,"")),"")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IF([10]回答表!BD18="●",IF([10]回答表!X51="●",[10]回答表!B267,IF([10]回答表!AA51="●",[10]回答表!B346,"")),"")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IF([10]回答表!BD18="●",IF([10]回答表!AD51="●","●",""),"")</f>
        <v/>
      </c>
      <c r="O229" s="131"/>
      <c r="P229" s="131"/>
      <c r="Q229" s="132"/>
      <c r="R229" s="119"/>
      <c r="S229" s="119"/>
      <c r="T229" s="119"/>
      <c r="U229" s="133" t="str">
        <f>IF([10]回答表!BD18="●",IF([10]回答表!AD51="●",[10]回答表!B354,""),"")</f>
        <v/>
      </c>
      <c r="V229" s="134"/>
      <c r="W229" s="134"/>
      <c r="X229" s="134"/>
      <c r="Y229" s="134"/>
      <c r="Z229" s="134"/>
      <c r="AA229" s="134"/>
      <c r="AB229" s="134"/>
      <c r="AC229" s="134"/>
      <c r="AD229" s="134"/>
      <c r="AE229" s="134"/>
      <c r="AF229" s="134"/>
      <c r="AG229" s="134"/>
      <c r="AH229" s="134"/>
      <c r="AI229" s="134"/>
      <c r="AJ229" s="135"/>
      <c r="AK229" s="249"/>
      <c r="AL229" s="249"/>
      <c r="AM229" s="133" t="str">
        <f>IF([10]回答表!BD18="●",IF([10]回答表!AD51="●",[10]回答表!B360,""),"")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IF([10]回答表!X52="●","●","")</f>
        <v/>
      </c>
      <c r="O241" s="131"/>
      <c r="P241" s="131"/>
      <c r="Q241" s="132"/>
      <c r="R241" s="119"/>
      <c r="S241" s="119"/>
      <c r="T241" s="119"/>
      <c r="U241" s="133" t="str">
        <f>IF([10]回答表!X52="●",[10]回答表!B371,IF([10]回答表!AA52="●",[10]回答表!B396,""))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IF([10]回答表!X52="●",[10]回答表!U377,IF([10]回答表!AA52="●",[10]回答表!U402,""))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IF([10]回答表!X52="●",[10]回答表!G377,IF([10]回答表!AA52="●",[10]回答表!G402,""))</f>
        <v/>
      </c>
      <c r="AN244" s="83"/>
      <c r="AO244" s="83"/>
      <c r="AP244" s="83"/>
      <c r="AQ244" s="83"/>
      <c r="AR244" s="83"/>
      <c r="AS244" s="83"/>
      <c r="AT244" s="153"/>
      <c r="AU244" s="82" t="str">
        <f>IF([10]回答表!X52="●",[10]回答表!G378,IF([10]回答表!AA52="●",[10]回答表!G403,""))</f>
        <v/>
      </c>
      <c r="AV244" s="83"/>
      <c r="AW244" s="83"/>
      <c r="AX244" s="83"/>
      <c r="AY244" s="83"/>
      <c r="AZ244" s="83"/>
      <c r="BA244" s="83"/>
      <c r="BB244" s="153"/>
      <c r="BC244" s="120"/>
      <c r="BD244" s="109"/>
      <c r="BE244" s="109"/>
      <c r="BF244" s="150" t="str">
        <f>IF([10]回答表!X52="●",[10]回答表!X377,IF([10]回答表!AA52="●",[10]回答表!X402,""))</f>
        <v/>
      </c>
      <c r="BG244" s="151"/>
      <c r="BH244" s="151"/>
      <c r="BI244" s="151"/>
      <c r="BJ244" s="150" t="str">
        <f>IF([10]回答表!X52="●",[10]回答表!X378,IF([10]回答表!AA52="●",[10]回答表!X403,""))</f>
        <v/>
      </c>
      <c r="BK244" s="151"/>
      <c r="BL244" s="151"/>
      <c r="BM244" s="152"/>
      <c r="BN244" s="150" t="str">
        <f>IF([10]回答表!X52="●",[10]回答表!X379,IF([10]回答表!AA52="●",[10]回答表!X404,""))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IF([10]回答表!AA52="●","●","")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IF([10]回答表!X52="●",[10]回答表!E386,IF([10]回答表!AA52="●",[10]回答表!E407,""))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IF([10]回答表!X52="●",[10]回答表!B388,IF([10]回答表!AA52="●",[10]回答表!B409,""))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IF([10]回答表!AD52="●","●","")</f>
        <v/>
      </c>
      <c r="O260" s="131"/>
      <c r="P260" s="131"/>
      <c r="Q260" s="132"/>
      <c r="R260" s="119"/>
      <c r="S260" s="119"/>
      <c r="T260" s="119"/>
      <c r="U260" s="133" t="str">
        <f>IF([10]回答表!AD52="●",[10]回答表!B417,"")</f>
        <v/>
      </c>
      <c r="V260" s="134"/>
      <c r="W260" s="134"/>
      <c r="X260" s="134"/>
      <c r="Y260" s="134"/>
      <c r="Z260" s="134"/>
      <c r="AA260" s="134"/>
      <c r="AB260" s="134"/>
      <c r="AC260" s="134"/>
      <c r="AD260" s="134"/>
      <c r="AE260" s="134"/>
      <c r="AF260" s="134"/>
      <c r="AG260" s="134"/>
      <c r="AH260" s="134"/>
      <c r="AI260" s="134"/>
      <c r="AJ260" s="135"/>
      <c r="AK260" s="249"/>
      <c r="AL260" s="249"/>
      <c r="AM260" s="133" t="str">
        <f>IF([10]回答表!AD52="●",[10]回答表!B423,"")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IF([10]回答表!X53="●","●","")</f>
        <v>●</v>
      </c>
      <c r="O272" s="131"/>
      <c r="P272" s="131"/>
      <c r="Q272" s="132"/>
      <c r="R272" s="119"/>
      <c r="S272" s="119"/>
      <c r="T272" s="119"/>
      <c r="U272" s="133" t="str">
        <f>IF([10]回答表!X53="●",[10]回答表!B434,IF([10]回答表!AA53="●",[10]回答表!B465,""))</f>
        <v>上下水道料金等関連業務について、事業提案型プロポーザル方式により委託者を選定し、委託契約を締結した。（期間５年）</v>
      </c>
      <c r="V272" s="134"/>
      <c r="W272" s="134"/>
      <c r="X272" s="134"/>
      <c r="Y272" s="134"/>
      <c r="Z272" s="134"/>
      <c r="AA272" s="134"/>
      <c r="AB272" s="134"/>
      <c r="AC272" s="134"/>
      <c r="AD272" s="134"/>
      <c r="AE272" s="134"/>
      <c r="AF272" s="134"/>
      <c r="AG272" s="134"/>
      <c r="AH272" s="134"/>
      <c r="AI272" s="134"/>
      <c r="AJ272" s="135"/>
      <c r="AK272" s="136"/>
      <c r="AL272" s="136"/>
      <c r="AM272" s="136"/>
      <c r="AN272" s="133" t="str">
        <f>IF([10]回答表!X53="●",[10]回答表!B440,"")</f>
        <v>窓口業務、検針調定業務、収納業務、還付業務、滞納整理業務、電算処理業務（料金システムを含む）、メーター交換業務、その他付帯業務　</v>
      </c>
      <c r="AO272" s="262"/>
      <c r="AP272" s="262"/>
      <c r="AQ272" s="262"/>
      <c r="AR272" s="262"/>
      <c r="AS272" s="262"/>
      <c r="AT272" s="262"/>
      <c r="AU272" s="262"/>
      <c r="AV272" s="262"/>
      <c r="AW272" s="262"/>
      <c r="AX272" s="262"/>
      <c r="AY272" s="262"/>
      <c r="AZ272" s="262"/>
      <c r="BA272" s="262"/>
      <c r="BB272" s="263"/>
      <c r="BC272" s="120"/>
      <c r="BD272" s="109"/>
      <c r="BE272" s="109"/>
      <c r="BF272" s="138" t="str">
        <f>IF([10]回答表!X53="●",[10]回答表!B446,IF([10]回答表!AA53="●",[10]回答表!B471,""))</f>
        <v>平成</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f>IF([10]回答表!X53="●",[10]回答表!E446,IF([10]回答表!AA53="●",[10]回答表!E471,""))</f>
        <v>22</v>
      </c>
      <c r="BG275" s="151"/>
      <c r="BH275" s="151"/>
      <c r="BI275" s="151"/>
      <c r="BJ275" s="150">
        <f>IF([10]回答表!X53="●",[10]回答表!E447,IF([10]回答表!AA53="●",[10]回答表!E472,""))</f>
        <v>11</v>
      </c>
      <c r="BK275" s="151"/>
      <c r="BL275" s="151"/>
      <c r="BM275" s="152"/>
      <c r="BN275" s="150">
        <f>IF([10]回答表!X53="●",[10]回答表!E448,IF([10]回答表!AA53="●",[10]回答表!E473,""))</f>
        <v>30</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IF([10]回答表!AA53="●","●","")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f>IF([10]回答表!X53="●",[10]回答表!E455,IF([10]回答表!AA53="●",[10]回答表!E476,""))</f>
        <v>0</v>
      </c>
      <c r="V284" s="182"/>
      <c r="W284" s="182"/>
      <c r="X284" s="182"/>
      <c r="Y284" s="182"/>
      <c r="Z284" s="182"/>
      <c r="AA284" s="182"/>
      <c r="AB284" s="182"/>
      <c r="AC284" s="182"/>
      <c r="AD284" s="182"/>
      <c r="AE284" s="183" t="s">
        <v>33</v>
      </c>
      <c r="AF284" s="183"/>
      <c r="AG284" s="183"/>
      <c r="AH284" s="183"/>
      <c r="AI284" s="183"/>
      <c r="AJ284" s="184"/>
      <c r="AK284" s="136"/>
      <c r="AL284" s="136"/>
      <c r="AM284" s="133">
        <f>IF([10]回答表!X53="●",[10]回答表!B457,IF([10]回答表!AA53="●",[10]回答表!B478,""))</f>
        <v>0</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IF([10]回答表!AD53="●","●","")</f>
        <v/>
      </c>
      <c r="O291" s="131"/>
      <c r="P291" s="131"/>
      <c r="Q291" s="132"/>
      <c r="R291" s="119"/>
      <c r="S291" s="119"/>
      <c r="T291" s="119"/>
      <c r="U291" s="133" t="str">
        <f>IF([10]回答表!AD53="●",[10]回答表!B486,"")</f>
        <v/>
      </c>
      <c r="V291" s="134"/>
      <c r="W291" s="134"/>
      <c r="X291" s="134"/>
      <c r="Y291" s="134"/>
      <c r="Z291" s="134"/>
      <c r="AA291" s="134"/>
      <c r="AB291" s="134"/>
      <c r="AC291" s="134"/>
      <c r="AD291" s="134"/>
      <c r="AE291" s="134"/>
      <c r="AF291" s="134"/>
      <c r="AG291" s="134"/>
      <c r="AH291" s="134"/>
      <c r="AI291" s="134"/>
      <c r="AJ291" s="135"/>
      <c r="AK291" s="249"/>
      <c r="AL291" s="249"/>
      <c r="AM291" s="133" t="str">
        <f>IF([10]回答表!AD53="●",[10]回答表!B492,"")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IF([10]回答表!X54="●","●","")</f>
        <v/>
      </c>
      <c r="O303" s="131"/>
      <c r="P303" s="131"/>
      <c r="Q303" s="132"/>
      <c r="R303" s="119"/>
      <c r="S303" s="119"/>
      <c r="T303" s="119"/>
      <c r="U303" s="133" t="str">
        <f>IF([10]回答表!X54="●",[10]回答表!B503,IF([10]回答表!AA54="●",[10]回答表!B526,""))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IF([10]回答表!X54="●",[10]回答表!BC510,IF([10]回答表!AA54="●",[10]回答表!BC533,""))</f>
        <v/>
      </c>
      <c r="AR303" s="271"/>
      <c r="AS303" s="271"/>
      <c r="AT303" s="271"/>
      <c r="AU303" s="272" t="s">
        <v>74</v>
      </c>
      <c r="AV303" s="273"/>
      <c r="AW303" s="273"/>
      <c r="AX303" s="274"/>
      <c r="AY303" s="271" t="str">
        <f>IF([10]回答表!X54="●",[10]回答表!BC515,IF([10]回答表!AA54="●",[10]回答表!BC538,""))</f>
        <v/>
      </c>
      <c r="AZ303" s="271"/>
      <c r="BA303" s="271"/>
      <c r="BB303" s="271"/>
      <c r="BC303" s="120"/>
      <c r="BD303" s="109"/>
      <c r="BE303" s="109"/>
      <c r="BF303" s="138" t="str">
        <f>IF([10]回答表!X54="●",[10]回答表!S509,IF([10]回答表!AA54="●",[10]回答表!S532,""))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IF([10]回答表!X54="●",[10]回答表!BC511,IF([10]回答表!AA54="●",[10]回答表!BC534,""))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IF([10]回答表!X54="●",[10]回答表!V509,IF([10]回答表!AA54="●",[10]回答表!V532,""))</f>
        <v/>
      </c>
      <c r="BG306" s="151"/>
      <c r="BH306" s="151"/>
      <c r="BI306" s="151"/>
      <c r="BJ306" s="150" t="str">
        <f>IF([10]回答表!X54="●",[10]回答表!V510,IF([10]回答表!AA54="●",[10]回答表!V533,""))</f>
        <v/>
      </c>
      <c r="BK306" s="151"/>
      <c r="BL306" s="151"/>
      <c r="BM306" s="152"/>
      <c r="BN306" s="150" t="str">
        <f>IF([10]回答表!X54="●",[10]回答表!V511,IF([10]回答表!AA54="●",[10]回答表!V534,""))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IF([10]回答表!X54="●",[10]回答表!BC512,IF([10]回答表!AA54="●",[10]回答表!BC535,""))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IF([10]回答表!X54="●",[10]回答表!BC516,IF([10]回答表!AA54="●",[10]回答表!BC539,""))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IF([10]回答表!AA54="●","●","")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IF([10]回答表!X54="●",[10]回答表!BC513,IF([10]回答表!AA54="●",[10]回答表!BC536,""))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IF([10]回答表!X54="●",[10]回答表!BC514,IF([10]回答表!AA54="●",[10]回答表!BC537,""))</f>
        <v/>
      </c>
      <c r="AR311" s="271"/>
      <c r="AS311" s="271"/>
      <c r="AT311" s="271"/>
      <c r="AU311" s="222" t="s">
        <v>80</v>
      </c>
      <c r="AV311" s="223"/>
      <c r="AW311" s="223"/>
      <c r="AX311" s="224"/>
      <c r="AY311" s="281" t="str">
        <f>IF([10]回答表!X54="●",[10]回答表!BC517,IF([10]回答表!AA54="●",[10]回答表!BC540,""))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IF([10]回答表!X54="●",[10]回答表!E516,IF([10]回答表!AA54="●",[10]回答表!E538,""))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IF([10]回答表!X54="●",[10]回答表!B518,IF([10]回答表!AA54="●",[10]回答表!B540,""))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IF([10]回答表!AD54="●","●","")</f>
        <v/>
      </c>
      <c r="O322" s="131"/>
      <c r="P322" s="131"/>
      <c r="Q322" s="132"/>
      <c r="R322" s="119"/>
      <c r="S322" s="119"/>
      <c r="T322" s="119"/>
      <c r="U322" s="133" t="str">
        <f>IF([10]回答表!AD54="●",[10]回答表!B548,"")</f>
        <v/>
      </c>
      <c r="V322" s="134"/>
      <c r="W322" s="134"/>
      <c r="X322" s="134"/>
      <c r="Y322" s="134"/>
      <c r="Z322" s="134"/>
      <c r="AA322" s="134"/>
      <c r="AB322" s="134"/>
      <c r="AC322" s="134"/>
      <c r="AD322" s="134"/>
      <c r="AE322" s="134"/>
      <c r="AF322" s="134"/>
      <c r="AG322" s="134"/>
      <c r="AH322" s="134"/>
      <c r="AI322" s="134"/>
      <c r="AJ322" s="135"/>
      <c r="AK322" s="189"/>
      <c r="AL322" s="189"/>
      <c r="AM322" s="133" t="str">
        <f>IF([10]回答表!AD54="●",[10]回答表!B554,"")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IF([10]回答表!X55="●","●","")</f>
        <v/>
      </c>
      <c r="O333" s="131"/>
      <c r="P333" s="131"/>
      <c r="Q333" s="132"/>
      <c r="R333" s="119"/>
      <c r="S333" s="119"/>
      <c r="T333" s="119"/>
      <c r="U333" s="133" t="str">
        <f>IF([10]回答表!X55="●",[10]回答表!B565,IF([10]回答表!AA55="●",[10]回答表!B590,""))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IF([10]回答表!X55="●",[10]回答表!B575,IF([10]回答表!AA55="●",[10]回答表!B600,""))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IF([10]回答表!X55="●",[10]回答表!G571,IF([10]回答表!AA55="●",[10]回答表!G596,""))</f>
        <v/>
      </c>
      <c r="AN335" s="83"/>
      <c r="AO335" s="83"/>
      <c r="AP335" s="83"/>
      <c r="AQ335" s="83"/>
      <c r="AR335" s="83"/>
      <c r="AS335" s="83"/>
      <c r="AT335" s="153"/>
      <c r="AU335" s="82" t="str">
        <f>IF([10]回答表!X55="●",[10]回答表!G572,IF([10]回答表!AA55="●",[10]回答表!G597,""))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IF([10]回答表!X55="●",[10]回答表!E575,IF([10]回答表!AA55="●",[10]回答表!E600,""))</f>
        <v/>
      </c>
      <c r="BG336" s="151"/>
      <c r="BH336" s="151"/>
      <c r="BI336" s="151"/>
      <c r="BJ336" s="150" t="str">
        <f>IF([10]回答表!X55="●",[10]回答表!E576,IF([10]回答表!AA55="●",[10]回答表!E601,""))</f>
        <v/>
      </c>
      <c r="BK336" s="151"/>
      <c r="BL336" s="151"/>
      <c r="BM336" s="152"/>
      <c r="BN336" s="150" t="str">
        <f>IF([10]回答表!X55="●",[10]回答表!E577,IF([10]回答表!AA55="●",[10]回答表!E602,""))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IF([10]回答表!AA55="●","●","")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IF([10]回答表!X55="●",[10]回答表!E580,IF([10]回答表!AA55="●",[10]回答表!E605,""))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IF([10]回答表!X55="●",[10]回答表!B582,IF([10]回答表!AA55="●",[10]回答表!B607,""))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IF([10]回答表!AD55="●","●","")</f>
        <v/>
      </c>
      <c r="O352" s="131"/>
      <c r="P352" s="131"/>
      <c r="Q352" s="132"/>
      <c r="R352" s="119"/>
      <c r="S352" s="119"/>
      <c r="T352" s="119"/>
      <c r="U352" s="133" t="str">
        <f>IF([10]回答表!AD55="●",[10]回答表!B615,"")</f>
        <v/>
      </c>
      <c r="V352" s="134"/>
      <c r="W352" s="134"/>
      <c r="X352" s="134"/>
      <c r="Y352" s="134"/>
      <c r="Z352" s="134"/>
      <c r="AA352" s="134"/>
      <c r="AB352" s="134"/>
      <c r="AC352" s="134"/>
      <c r="AD352" s="134"/>
      <c r="AE352" s="134"/>
      <c r="AF352" s="134"/>
      <c r="AG352" s="134"/>
      <c r="AH352" s="134"/>
      <c r="AI352" s="134"/>
      <c r="AJ352" s="135"/>
      <c r="AK352" s="136"/>
      <c r="AL352" s="136"/>
      <c r="AM352" s="133" t="str">
        <f>IF([10]回答表!AD55="●",[10]回答表!B621,"")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IF([10]回答表!R56="●",[10]回答表!B634,"")</f>
        <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7" priority="2">
      <formula>$BB$25="○"</formula>
    </cfRule>
  </conditionalFormatting>
  <conditionalFormatting sqref="BD28:BD30">
    <cfRule type="expression" dxfId="6" priority="1">
      <formula>$BB$25="○"</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C5DA8-6737-42EE-98E1-DE4076D5026D}">
  <dimension ref="A1:CN384"/>
  <sheetViews>
    <sheetView workbookViewId="0">
      <selection sqref="A1:XFD1048576"/>
    </sheetView>
  </sheetViews>
  <sheetFormatPr defaultColWidth="2.875" defaultRowHeight="12.6" customHeight="1"/>
  <cols>
    <col min="1" max="25" width="2.625" customWidth="1"/>
    <col min="26" max="26" width="2.125" customWidth="1"/>
    <col min="27" max="27" width="2.625" hidden="1" customWidth="1"/>
    <col min="28" max="28" width="4.625" customWidth="1"/>
    <col min="29" max="34" width="2.625" customWidth="1"/>
    <col min="35" max="35" width="0.125" customWidth="1"/>
    <col min="36" max="37" width="4.625" customWidth="1"/>
    <col min="38" max="71" width="2.6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IF(COUNTIF([11]回答表!K16,"*")&gt;0,[11]回答表!K16,"")</f>
        <v>横手市</v>
      </c>
      <c r="D11" s="8"/>
      <c r="E11" s="8"/>
      <c r="F11" s="8"/>
      <c r="G11" s="8"/>
      <c r="H11" s="8"/>
      <c r="I11" s="8"/>
      <c r="J11" s="8"/>
      <c r="K11" s="8"/>
      <c r="L11" s="8"/>
      <c r="M11" s="8"/>
      <c r="N11" s="8"/>
      <c r="O11" s="8"/>
      <c r="P11" s="8"/>
      <c r="Q11" s="8"/>
      <c r="R11" s="8"/>
      <c r="S11" s="8"/>
      <c r="T11" s="8"/>
      <c r="U11" s="22" t="str">
        <f>IF(COUNTIF([11]回答表!F18,"*")&gt;0,[11]回答表!F18,"")</f>
        <v>下水道事業</v>
      </c>
      <c r="V11" s="23"/>
      <c r="W11" s="23"/>
      <c r="X11" s="23"/>
      <c r="Y11" s="23"/>
      <c r="Z11" s="23"/>
      <c r="AA11" s="23"/>
      <c r="AB11" s="23"/>
      <c r="AC11" s="23"/>
      <c r="AD11" s="23"/>
      <c r="AE11" s="23"/>
      <c r="AF11" s="10"/>
      <c r="AG11" s="10"/>
      <c r="AH11" s="10"/>
      <c r="AI11" s="10"/>
      <c r="AJ11" s="10"/>
      <c r="AK11" s="10"/>
      <c r="AL11" s="10"/>
      <c r="AM11" s="10"/>
      <c r="AN11" s="11"/>
      <c r="AO11" s="24" t="str">
        <f>IF(COUNTIF([11]回答表!W18,"*")&gt;0,[11]回答表!W18,"")</f>
        <v>特定地域排水処理施設</v>
      </c>
      <c r="AP11" s="10"/>
      <c r="AQ11" s="10"/>
      <c r="AR11" s="10"/>
      <c r="AS11" s="10"/>
      <c r="AT11" s="10"/>
      <c r="AU11" s="10"/>
      <c r="AV11" s="10"/>
      <c r="AW11" s="10"/>
      <c r="AX11" s="10"/>
      <c r="AY11" s="10"/>
      <c r="AZ11" s="10"/>
      <c r="BA11" s="10"/>
      <c r="BB11" s="10"/>
      <c r="BC11" s="10"/>
      <c r="BD11" s="10"/>
      <c r="BE11" s="10"/>
      <c r="BF11" s="11"/>
      <c r="BG11" s="21" t="str">
        <f>IF(COUNTIF([11]回答表!F20,"*")&gt;0,[11]回答表!F20,"")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IF([11]回答表!R49="●","●","")</f>
        <v/>
      </c>
      <c r="E24" s="80"/>
      <c r="F24" s="80"/>
      <c r="G24" s="80"/>
      <c r="H24" s="80"/>
      <c r="I24" s="80"/>
      <c r="J24" s="81"/>
      <c r="K24" s="79" t="str">
        <f>IF([11]回答表!R50="●","●","")</f>
        <v/>
      </c>
      <c r="L24" s="80"/>
      <c r="M24" s="80"/>
      <c r="N24" s="80"/>
      <c r="O24" s="80"/>
      <c r="P24" s="80"/>
      <c r="Q24" s="81"/>
      <c r="R24" s="79" t="str">
        <f>IF([11]回答表!R51="●","●","")</f>
        <v/>
      </c>
      <c r="S24" s="80"/>
      <c r="T24" s="80"/>
      <c r="U24" s="80"/>
      <c r="V24" s="80"/>
      <c r="W24" s="80"/>
      <c r="X24" s="81"/>
      <c r="Y24" s="79" t="str">
        <f>IF([11]回答表!R52="●","●","")</f>
        <v/>
      </c>
      <c r="Z24" s="80"/>
      <c r="AA24" s="80"/>
      <c r="AB24" s="80"/>
      <c r="AC24" s="80"/>
      <c r="AD24" s="80"/>
      <c r="AE24" s="81"/>
      <c r="AF24" s="79" t="str">
        <f>IF([11]回答表!R53="●","●","")</f>
        <v>●</v>
      </c>
      <c r="AG24" s="80"/>
      <c r="AH24" s="80"/>
      <c r="AI24" s="80"/>
      <c r="AJ24" s="80"/>
      <c r="AK24" s="80"/>
      <c r="AL24" s="81"/>
      <c r="AM24" s="79" t="str">
        <f>IF([11]回答表!R54="●","●","")</f>
        <v/>
      </c>
      <c r="AN24" s="80"/>
      <c r="AO24" s="80"/>
      <c r="AP24" s="80"/>
      <c r="AQ24" s="80"/>
      <c r="AR24" s="80"/>
      <c r="AS24" s="81"/>
      <c r="AT24" s="79" t="str">
        <f>IF([11]回答表!R55="●","●","")</f>
        <v/>
      </c>
      <c r="AU24" s="80"/>
      <c r="AV24" s="80"/>
      <c r="AW24" s="80"/>
      <c r="AX24" s="80"/>
      <c r="AY24" s="80"/>
      <c r="AZ24" s="81"/>
      <c r="BA24" s="68"/>
      <c r="BB24" s="82" t="str">
        <f>IF([11]回答表!R56="●","●","")</f>
        <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IF([11]回答表!X49="●","●","")</f>
        <v/>
      </c>
      <c r="O36" s="131"/>
      <c r="P36" s="131"/>
      <c r="Q36" s="132"/>
      <c r="R36" s="119"/>
      <c r="S36" s="119"/>
      <c r="T36" s="119"/>
      <c r="U36" s="133" t="str">
        <f>IF([11]回答表!X49="●",[11]回答表!B67,IF([11]回答表!AA49="●",[11]回答表!B95,""))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IF([11]回答表!X49="●",[11]回答表!S73,IF([11]回答表!AA49="●",[11]回答表!S101,""))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IF([11]回答表!X49="●",[11]回答表!G73,IF([11]回答表!AA49="●",[11]回答表!G101,""))</f>
        <v/>
      </c>
      <c r="AN38" s="83"/>
      <c r="AO38" s="83"/>
      <c r="AP38" s="83"/>
      <c r="AQ38" s="83"/>
      <c r="AR38" s="83"/>
      <c r="AS38" s="83"/>
      <c r="AT38" s="153"/>
      <c r="AU38" s="82" t="str">
        <f>IF([11]回答表!X49="●",[11]回答表!G74,IF([11]回答表!AA49="●",[11]回答表!G102,""))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IF([11]回答表!X49="●",[11]回答表!V73,IF([11]回答表!AA49="●",[11]回答表!V101,""))</f>
        <v/>
      </c>
      <c r="BG39" s="16"/>
      <c r="BH39" s="16"/>
      <c r="BI39" s="17"/>
      <c r="BJ39" s="150" t="str">
        <f>IF([11]回答表!X49="●",[11]回答表!V74,IF([11]回答表!AA49="●",[11]回答表!V102,""))</f>
        <v/>
      </c>
      <c r="BK39" s="16"/>
      <c r="BL39" s="16"/>
      <c r="BM39" s="17"/>
      <c r="BN39" s="150" t="str">
        <f>IF([11]回答表!X49="●",[11]回答表!V75,IF([11]回答表!AA49="●",[11]回答表!V103,""))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IF([11]回答表!X49="●",[11]回答表!O79,IF([11]回答表!AA49="●",[11]回答表!O107,""))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IF([11]回答表!X49="●",[11]回答表!O80,IF([11]回答表!AA49="●",[11]回答表!O108,""))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IF([11]回答表!AA49="●","●","")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IF([11]回答表!X49="●",[11]回答表!O81,IF([11]回答表!AA49="●",[11]回答表!O109,""))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IF([11]回答表!X49="●",[11]回答表!O82,IF([11]回答表!AA49="●",[11]回答表!O110,""))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IF([11]回答表!X49="●",[11]回答表!AG79,IF([11]回答表!AA49="●",[11]回答表!AG107,""))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IF([11]回答表!X49="●",[11]回答表!AG80,IF([11]回答表!AA49="●",[11]回答表!AG108,""))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IF([11]回答表!X49="●",[11]回答表!E85,IF([11]回答表!AA49="●",[11]回答表!E113,""))</f>
        <v/>
      </c>
      <c r="V50" s="182"/>
      <c r="W50" s="182"/>
      <c r="X50" s="182"/>
      <c r="Y50" s="182"/>
      <c r="Z50" s="182"/>
      <c r="AA50" s="182"/>
      <c r="AB50" s="182"/>
      <c r="AC50" s="182"/>
      <c r="AD50" s="182"/>
      <c r="AE50" s="183" t="s">
        <v>33</v>
      </c>
      <c r="AF50" s="183"/>
      <c r="AG50" s="183"/>
      <c r="AH50" s="183"/>
      <c r="AI50" s="183"/>
      <c r="AJ50" s="184"/>
      <c r="AK50" s="136"/>
      <c r="AL50" s="136"/>
      <c r="AM50" s="133" t="str">
        <f>IF([11]回答表!X49="●",[11]回答表!B87,IF([11]回答表!AA49="●",[11]回答表!B115,""))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IF([11]回答表!AD49="●","●","")</f>
        <v/>
      </c>
      <c r="O57" s="131"/>
      <c r="P57" s="131"/>
      <c r="Q57" s="132"/>
      <c r="R57" s="119"/>
      <c r="S57" s="119"/>
      <c r="T57" s="119"/>
      <c r="U57" s="133" t="str">
        <f>IF([11]回答表!AD49="●",[11]回答表!B123,"")</f>
        <v/>
      </c>
      <c r="V57" s="134"/>
      <c r="W57" s="134"/>
      <c r="X57" s="134"/>
      <c r="Y57" s="134"/>
      <c r="Z57" s="134"/>
      <c r="AA57" s="134"/>
      <c r="AB57" s="134"/>
      <c r="AC57" s="134"/>
      <c r="AD57" s="134"/>
      <c r="AE57" s="134"/>
      <c r="AF57" s="134"/>
      <c r="AG57" s="134"/>
      <c r="AH57" s="134"/>
      <c r="AI57" s="134"/>
      <c r="AJ57" s="135"/>
      <c r="AK57" s="189"/>
      <c r="AL57" s="189"/>
      <c r="AM57" s="133" t="str">
        <f>IF([11]回答表!AD49="●",[11]回答表!B128,"")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IF([11]回答表!X50="●","●","")</f>
        <v/>
      </c>
      <c r="O68" s="131"/>
      <c r="P68" s="131"/>
      <c r="Q68" s="132"/>
      <c r="R68" s="119"/>
      <c r="S68" s="119"/>
      <c r="T68" s="119"/>
      <c r="U68" s="133" t="str">
        <f>IF([11]回答表!X50="●",[11]回答表!B138,IF([11]回答表!AA50="●",[11]回答表!B159,""))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IF([11]回答表!X50="●",[11]回答表!S144,IF([11]回答表!AA50="●",[11]回答表!S165,""))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IF([11]回答表!X50="●",[11]回答表!J144,IF([11]回答表!AA50="●",[11]回答表!J165,""))</f>
        <v/>
      </c>
      <c r="AN71" s="83"/>
      <c r="AO71" s="83"/>
      <c r="AP71" s="83"/>
      <c r="AQ71" s="83"/>
      <c r="AR71" s="83"/>
      <c r="AS71" s="83"/>
      <c r="AT71" s="153"/>
      <c r="AU71" s="82" t="str">
        <f>IF([11]回答表!X50="●",[11]回答表!J145,IF([11]回答表!AA50="●",[11]回答表!J166,""))</f>
        <v/>
      </c>
      <c r="AV71" s="83"/>
      <c r="AW71" s="83"/>
      <c r="AX71" s="83"/>
      <c r="AY71" s="83"/>
      <c r="AZ71" s="83"/>
      <c r="BA71" s="83"/>
      <c r="BB71" s="153"/>
      <c r="BC71" s="120"/>
      <c r="BD71" s="109"/>
      <c r="BE71" s="109"/>
      <c r="BF71" s="150" t="str">
        <f>IF([11]回答表!X50="●",[11]回答表!V144,IF([11]回答表!AA50="●",[11]回答表!V165,""))</f>
        <v/>
      </c>
      <c r="BG71" s="151"/>
      <c r="BH71" s="151"/>
      <c r="BI71" s="151"/>
      <c r="BJ71" s="150" t="str">
        <f>IF([11]回答表!X50="●",[11]回答表!V145,IF([11]回答表!AA50="●",[11]回答表!V166,""))</f>
        <v/>
      </c>
      <c r="BK71" s="151"/>
      <c r="BL71" s="151"/>
      <c r="BM71" s="151"/>
      <c r="BN71" s="150" t="str">
        <f>IF([11]回答表!X50="●",[11]回答表!V146,IF([11]回答表!AA50="●",[11]回答表!V167,""))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IF([11]回答表!AA50="●","●","")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IF([11]回答表!X50="●",[11]回答表!E149,IF([11]回答表!AA50="●",[11]回答表!E170,""))</f>
        <v/>
      </c>
      <c r="V80" s="182"/>
      <c r="W80" s="182"/>
      <c r="X80" s="182"/>
      <c r="Y80" s="182"/>
      <c r="Z80" s="182"/>
      <c r="AA80" s="182"/>
      <c r="AB80" s="182"/>
      <c r="AC80" s="182"/>
      <c r="AD80" s="182"/>
      <c r="AE80" s="183" t="s">
        <v>33</v>
      </c>
      <c r="AF80" s="183"/>
      <c r="AG80" s="183"/>
      <c r="AH80" s="183"/>
      <c r="AI80" s="183"/>
      <c r="AJ80" s="184"/>
      <c r="AK80" s="136"/>
      <c r="AL80" s="136"/>
      <c r="AM80" s="133" t="str">
        <f>IF([11]回答表!X50="●",[11]回答表!B151,IF([11]回答表!AA50="●",[11]回答表!B172,""))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IF([11]回答表!AD50="●","●","")</f>
        <v/>
      </c>
      <c r="O87" s="131"/>
      <c r="P87" s="131"/>
      <c r="Q87" s="132"/>
      <c r="R87" s="119"/>
      <c r="S87" s="119"/>
      <c r="T87" s="119"/>
      <c r="U87" s="133" t="str">
        <f>IF([11]回答表!AD50="●",[11]回答表!B180,"")</f>
        <v/>
      </c>
      <c r="V87" s="134"/>
      <c r="W87" s="134"/>
      <c r="X87" s="134"/>
      <c r="Y87" s="134"/>
      <c r="Z87" s="134"/>
      <c r="AA87" s="134"/>
      <c r="AB87" s="134"/>
      <c r="AC87" s="134"/>
      <c r="AD87" s="134"/>
      <c r="AE87" s="134"/>
      <c r="AF87" s="134"/>
      <c r="AG87" s="134"/>
      <c r="AH87" s="134"/>
      <c r="AI87" s="134"/>
      <c r="AJ87" s="135"/>
      <c r="AK87" s="189"/>
      <c r="AL87" s="189"/>
      <c r="AM87" s="133" t="str">
        <f>IF([11]回答表!AD50="●",[11]回答表!B186,"")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IF([11]回答表!F18="水道事業",IF([11]回答表!X51="●","●",""),"")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IF([11]回答表!F18="水道事業",IF([11]回答表!X51="●",[11]回答表!B197,IF([11]回答表!AA51="●",[11]回答表!B275,"")),"")</f>
        <v/>
      </c>
      <c r="AN99" s="134"/>
      <c r="AO99" s="134"/>
      <c r="AP99" s="134"/>
      <c r="AQ99" s="134"/>
      <c r="AR99" s="134"/>
      <c r="AS99" s="134"/>
      <c r="AT99" s="134"/>
      <c r="AU99" s="134"/>
      <c r="AV99" s="134"/>
      <c r="AW99" s="134"/>
      <c r="AX99" s="134"/>
      <c r="AY99" s="134"/>
      <c r="AZ99" s="134"/>
      <c r="BA99" s="134"/>
      <c r="BB99" s="134"/>
      <c r="BC99" s="135"/>
      <c r="BD99" s="109"/>
      <c r="BE99" s="109"/>
      <c r="BF99" s="138" t="str">
        <f>IF([11]回答表!F18="水道事業",IF([11]回答表!X51="●",[11]回答表!B256,IF([11]回答表!AA51="●",[11]回答表!B335,"")),"")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IF([11]回答表!F18="水道事業",IF([11]回答表!X51="●",[11]回答表!J205,IF([11]回答表!AA51="●",[11]回答表!J283,"")),"")</f>
        <v/>
      </c>
      <c r="V101" s="83"/>
      <c r="W101" s="83"/>
      <c r="X101" s="83"/>
      <c r="Y101" s="83"/>
      <c r="Z101" s="83"/>
      <c r="AA101" s="83"/>
      <c r="AB101" s="153"/>
      <c r="AC101" s="82" t="str">
        <f>IF([11]回答表!F18="水道事業",IF([11]回答表!X51="●",[11]回答表!J210,IF([11]回答表!AA51="●",[11]回答表!J290,"")),"")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IF([11]回答表!F18="水道事業",IF([11]回答表!X51="●",[11]回答表!E256,IF([11]回答表!AA51="●",[11]回答表!E335,"")),"")</f>
        <v/>
      </c>
      <c r="BG102" s="151"/>
      <c r="BH102" s="151"/>
      <c r="BI102" s="151"/>
      <c r="BJ102" s="150" t="str">
        <f>IF([11]回答表!F18="水道事業",IF([11]回答表!X51="●",[11]回答表!E257,IF([11]回答表!AA51="●",[11]回答表!E336,"")),"")</f>
        <v/>
      </c>
      <c r="BK102" s="151"/>
      <c r="BL102" s="151"/>
      <c r="BM102" s="151"/>
      <c r="BN102" s="150" t="str">
        <f>IF([11]回答表!F18="水道事業",IF([11]回答表!X51="●",[11]回答表!E258,IF([11]回答表!AA51="●",[11]回答表!E337,"")),"")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IF([11]回答表!F18="水道事業",IF([11]回答表!AA51="●","●",""),"")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IF([11]回答表!F18="水道事業",IF([11]回答表!X51="●",[11]回答表!J213,IF([11]回答表!AA51="●",[11]回答表!J293,"")),"")</f>
        <v/>
      </c>
      <c r="V106" s="83"/>
      <c r="W106" s="83"/>
      <c r="X106" s="83"/>
      <c r="Y106" s="83"/>
      <c r="Z106" s="83"/>
      <c r="AA106" s="83"/>
      <c r="AB106" s="153"/>
      <c r="AC106" s="82" t="str">
        <f>IF([11]回答表!F18="水道事業",IF([11]回答表!X51="●",[11]回答表!J217,IF([11]回答表!AA51="●",[11]回答表!J297,"")),"")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IF([11]回答表!F18="水道事業",IF([11]回答表!X51="●",[11]回答表!E265,IF([11]回答表!AA51="●",[11]回答表!E344,"")),"")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IF([11]回答表!F18="水道事業",IF([11]回答表!X51="●",[11]回答表!B267,IF([11]回答表!AA51="●",[11]回答表!B346,"")),"")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IF([11]回答表!F18="水道事業",IF([11]回答表!AD51="●","●",""),"")</f>
        <v/>
      </c>
      <c r="O118" s="131"/>
      <c r="P118" s="131"/>
      <c r="Q118" s="132"/>
      <c r="R118" s="119"/>
      <c r="S118" s="119"/>
      <c r="T118" s="119"/>
      <c r="U118" s="133" t="str">
        <f>IF([11]回答表!F18="水道事業",IF([11]回答表!AD51="●",[11]回答表!B354,""),"")</f>
        <v/>
      </c>
      <c r="V118" s="134"/>
      <c r="W118" s="134"/>
      <c r="X118" s="134"/>
      <c r="Y118" s="134"/>
      <c r="Z118" s="134"/>
      <c r="AA118" s="134"/>
      <c r="AB118" s="134"/>
      <c r="AC118" s="134"/>
      <c r="AD118" s="134"/>
      <c r="AE118" s="134"/>
      <c r="AF118" s="134"/>
      <c r="AG118" s="134"/>
      <c r="AH118" s="134"/>
      <c r="AI118" s="134"/>
      <c r="AJ118" s="135"/>
      <c r="AK118" s="189"/>
      <c r="AL118" s="189"/>
      <c r="AM118" s="133" t="str">
        <f>IF([11]回答表!F18="水道事業",IF([11]回答表!AD51="●",[11]回答表!B360,""),"")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IF([11]回答表!F18="簡易水道事業",IF([11]回答表!X51="●",[11]回答表!B197,IF([11]回答表!AA51="●",[11]回答表!B275,"")),"")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IF([11]回答表!F18="簡易水道事業",IF([11]回答表!X51="●",[11]回答表!B256,IF([11]回答表!AA51="●",[11]回答表!B335,"")),"")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IF([11]回答表!F18="簡易水道事業",IF([11]回答表!X51="●","●",""),"")</f>
        <v/>
      </c>
      <c r="O132" s="131"/>
      <c r="P132" s="131"/>
      <c r="Q132" s="132"/>
      <c r="R132" s="119"/>
      <c r="S132" s="119"/>
      <c r="T132" s="119"/>
      <c r="U132" s="82" t="str">
        <f>IF([11]回答表!F18="簡易水道事業",IF([11]回答表!X51="●",[11]回答表!S224,IF([11]回答表!AA51="●",[11]回答表!S304,"")),"")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IF([11]回答表!F18="簡易水道事業",IF([11]回答表!X51="●",[11]回答表!E256,IF([11]回答表!AA51="●",[11]回答表!E335,"")),"")</f>
        <v/>
      </c>
      <c r="BG133" s="151"/>
      <c r="BH133" s="151"/>
      <c r="BI133" s="151"/>
      <c r="BJ133" s="150" t="str">
        <f>IF([11]回答表!F18="簡易水道事業",IF([11]回答表!X51="●",[11]回答表!E257,IF([11]回答表!AA51="●",[11]回答表!E336,"")),"")</f>
        <v/>
      </c>
      <c r="BK133" s="151"/>
      <c r="BL133" s="151"/>
      <c r="BM133" s="151"/>
      <c r="BN133" s="150" t="str">
        <f>IF([11]回答表!F18="簡易水道事業",IF([11]回答表!X51="●",[11]回答表!E258,IF([11]回答表!AA51="●",[11]回答表!E337,"")),"")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IF([11]回答表!F18="簡易水道事業",IF([11]回答表!X51="●",[11]回答表!S225,IF([11]回答表!AA51="●",[11]回答表!S305,"")),"")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IF([11]回答表!F18="簡易水道事業",IF([11]回答表!AA51="●","●",""),"")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IF([11]回答表!F18="簡易水道事業",IF([11]回答表!X51="●",[11]回答表!S226,IF([11]回答表!AA51="●",[11]回答表!S306,"")),"")</f>
        <v/>
      </c>
      <c r="V142" s="83"/>
      <c r="W142" s="83"/>
      <c r="X142" s="83"/>
      <c r="Y142" s="83"/>
      <c r="Z142" s="83"/>
      <c r="AA142" s="83"/>
      <c r="AB142" s="83"/>
      <c r="AC142" s="83"/>
      <c r="AD142" s="83"/>
      <c r="AE142" s="83"/>
      <c r="AF142" s="83"/>
      <c r="AG142" s="83"/>
      <c r="AH142" s="83"/>
      <c r="AI142" s="83"/>
      <c r="AJ142" s="153"/>
      <c r="AK142" s="68"/>
      <c r="AL142" s="68"/>
      <c r="AM142" s="231" t="str">
        <f>IF([11]回答表!F18="簡易水道事業",IF([11]回答表!X51="●",[11]回答表!Y228,IF([11]回答表!AA51="●",[11]回答表!Y308,"")),"")</f>
        <v/>
      </c>
      <c r="AN142" s="231"/>
      <c r="AO142" s="231"/>
      <c r="AP142" s="231"/>
      <c r="AQ142" s="231"/>
      <c r="AR142" s="231"/>
      <c r="AS142" s="231" t="str">
        <f>IF([11]回答表!F18="簡易水道事業",IF([11]回答表!X51="●",[11]回答表!Y229,IF([11]回答表!AA51="●",[11]回答表!Y309,"")),"")</f>
        <v/>
      </c>
      <c r="AT142" s="231"/>
      <c r="AU142" s="231"/>
      <c r="AV142" s="231"/>
      <c r="AW142" s="231"/>
      <c r="AX142" s="231"/>
      <c r="AY142" s="231" t="str">
        <f>IF([11]回答表!F18="簡易水道事業",IF([11]回答表!X51="●",[11]回答表!Y230,IF([11]回答表!AA51="●",[11]回答表!Y310,"")),"")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IF([11]回答表!F18="簡易水道事業",IF([11]回答表!X51="●",[11]回答表!E265,IF([11]回答表!AA51="●",[11]回答表!E344,"")),"")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IF([11]回答表!F18="簡易水道事業",IF([11]回答表!X51="●",[11]回答表!B267,IF([11]回答表!AA51="●",[11]回答表!B346,"")),"")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IF([11]回答表!F18="簡易水道事業",IF([11]回答表!AD51="●","●",""),"")</f>
        <v/>
      </c>
      <c r="O154" s="131"/>
      <c r="P154" s="131"/>
      <c r="Q154" s="132"/>
      <c r="R154" s="119"/>
      <c r="S154" s="119"/>
      <c r="T154" s="119"/>
      <c r="U154" s="133" t="str">
        <f>IF([11]回答表!F18="簡易水道事業",IF([11]回答表!AD51="●",[11]回答表!B354,""),"")</f>
        <v/>
      </c>
      <c r="V154" s="134"/>
      <c r="W154" s="134"/>
      <c r="X154" s="134"/>
      <c r="Y154" s="134"/>
      <c r="Z154" s="134"/>
      <c r="AA154" s="134"/>
      <c r="AB154" s="134"/>
      <c r="AC154" s="134"/>
      <c r="AD154" s="134"/>
      <c r="AE154" s="134"/>
      <c r="AF154" s="134"/>
      <c r="AG154" s="134"/>
      <c r="AH154" s="134"/>
      <c r="AI154" s="134"/>
      <c r="AJ154" s="135"/>
      <c r="AK154" s="189"/>
      <c r="AL154" s="189"/>
      <c r="AM154" s="133" t="str">
        <f>IF([11]回答表!F18="簡易水道事業",IF([11]回答表!AD51="●",[11]回答表!B360,""),"")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IF([11]回答表!F18="下水道事業",IF([11]回答表!X51="●","●",""),"")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IF([11]回答表!F18="下水道事業",IF([11]回答表!X51="●",[11]回答表!B197,IF([11]回答表!AA51="●",[11]回答表!B275,"")),"")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IF([11]回答表!F18="下水道事業",IF([11]回答表!X51="●",[11]回答表!B256,IF([11]回答表!AA51="●",[11]回答表!B335,"")),"")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IF([11]回答表!F18="下水道事業",IF([11]回答表!X51="●",[11]回答表!N234,IF([11]回答表!AA51="●",[11]回答表!N314,"")),"")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IF([11]回答表!F18="下水道事業",IF([11]回答表!X51="●",[11]回答表!E256,IF([11]回答表!AA51="●",[11]回答表!E335,"")),"")</f>
        <v/>
      </c>
      <c r="BG169" s="151"/>
      <c r="BH169" s="151"/>
      <c r="BI169" s="151"/>
      <c r="BJ169" s="150" t="str">
        <f>IF([11]回答表!F18="下水道事業",IF([11]回答表!X51="●",[11]回答表!E257,IF([11]回答表!AA51="●",[11]回答表!E336,"")),"")</f>
        <v/>
      </c>
      <c r="BK169" s="151"/>
      <c r="BL169" s="151"/>
      <c r="BM169" s="151"/>
      <c r="BN169" s="150" t="str">
        <f>IF([11]回答表!F18="下水道事業",IF([11]回答表!X51="●",[11]回答表!E258,IF([11]回答表!AA51="●",[11]回答表!E337,"")),"")</f>
        <v/>
      </c>
      <c r="BO169" s="151"/>
      <c r="BP169" s="151"/>
      <c r="BQ169" s="152"/>
      <c r="BR169" s="112"/>
      <c r="BX169" s="234" t="str">
        <f>IF([11]回答表!AQ21="下水道事業",IF([11]回答表!BI54="○",[11]回答表!AM200,IF([11]回答表!BL54="○",[11]回答表!AM278,"")),"")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IF([11]回答表!F18="下水道事業",IF([11]回答表!X51="●",[11]回答表!Y236,IF([11]回答表!AA51="●",[11]回答表!Y316,"")),"")</f>
        <v/>
      </c>
      <c r="V174" s="83"/>
      <c r="W174" s="83"/>
      <c r="X174" s="83"/>
      <c r="Y174" s="83"/>
      <c r="Z174" s="83"/>
      <c r="AA174" s="83"/>
      <c r="AB174" s="153"/>
      <c r="AC174" s="82" t="str">
        <f>IF([11]回答表!F18="下水道事業",IF([11]回答表!X51="●",[11]回答表!Y237,IF([11]回答表!AA51="●",[11]回答表!Y317,"")),"")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IF([11]回答表!F18="下水道事業",IF([11]回答表!X51="●",[11]回答表!Y239,IF([11]回答表!AA51="●",[11]回答表!Y319,"")),"")</f>
        <v/>
      </c>
      <c r="V180" s="83"/>
      <c r="W180" s="83"/>
      <c r="X180" s="83"/>
      <c r="Y180" s="83"/>
      <c r="Z180" s="83"/>
      <c r="AA180" s="83"/>
      <c r="AB180" s="153"/>
      <c r="AC180" s="82" t="str">
        <f>IF([11]回答表!F18="下水道事業",IF([11]回答表!X51="●",[11]回答表!Y240,IF([11]回答表!AA51="●",[11]回答表!Y320,"")),"")</f>
        <v/>
      </c>
      <c r="AD180" s="83"/>
      <c r="AE180" s="83"/>
      <c r="AF180" s="83"/>
      <c r="AG180" s="83"/>
      <c r="AH180" s="83"/>
      <c r="AI180" s="83"/>
      <c r="AJ180" s="153"/>
      <c r="AK180" s="82" t="str">
        <f>IF([11]回答表!F18="下水道事業",IF([11]回答表!X51="●",[11]回答表!Y241,IF([11]回答表!AA51="●",[11]回答表!Y321,"")),"")</f>
        <v/>
      </c>
      <c r="AL180" s="83"/>
      <c r="AM180" s="83"/>
      <c r="AN180" s="83"/>
      <c r="AO180" s="83"/>
      <c r="AP180" s="83"/>
      <c r="AQ180" s="83"/>
      <c r="AR180" s="153"/>
      <c r="AS180" s="82" t="str">
        <f>IF([11]回答表!F18="下水道事業",IF([11]回答表!X51="●",[11]回答表!Y242,IF([11]回答表!AA51="●",[11]回答表!Y322,"")),"")</f>
        <v/>
      </c>
      <c r="AT180" s="83"/>
      <c r="AU180" s="83"/>
      <c r="AV180" s="83"/>
      <c r="AW180" s="83"/>
      <c r="AX180" s="83"/>
      <c r="AY180" s="83"/>
      <c r="AZ180" s="153"/>
      <c r="BA180" s="82" t="str">
        <f>IF([11]回答表!F18="下水道事業",IF([11]回答表!X51="●",[11]回答表!Y243,IF([11]回答表!AA51="●",[11]回答表!Y323,"")),"")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IF([11]回答表!F18="下水道事業",IF([11]回答表!AA51="●","●",""),"")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IF([11]回答表!F18="下水道事業",IF([11]回答表!X51="●",[11]回答表!N248,IF([11]回答表!AA51="●",[11]回答表!N328,"")),"")</f>
        <v/>
      </c>
      <c r="V186" s="83"/>
      <c r="W186" s="83"/>
      <c r="X186" s="83"/>
      <c r="Y186" s="83"/>
      <c r="Z186" s="83"/>
      <c r="AA186" s="83"/>
      <c r="AB186" s="153"/>
      <c r="AC186" s="82" t="str">
        <f>IF([11]回答表!F18="下水道事業",IF([11]回答表!X51="●",[11]回答表!N249,IF([11]回答表!AA51="●",[11]回答表!N329,"")),"")</f>
        <v/>
      </c>
      <c r="AD186" s="83"/>
      <c r="AE186" s="83"/>
      <c r="AF186" s="83"/>
      <c r="AG186" s="83"/>
      <c r="AH186" s="83"/>
      <c r="AI186" s="83"/>
      <c r="AJ186" s="153"/>
      <c r="AK186" s="82" t="str">
        <f>IF([11]回答表!F18="下水道事業",IF([11]回答表!X51="●",[11]回答表!N250,IF([11]回答表!AA51="●",[11]回答表!N330,"")),"")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IF([11]回答表!F18="下水道事業",IF([11]回答表!X51="●",[11]回答表!E265,IF([11]回答表!AA51="●",[11]回答表!E344,"")),"")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IF([11]回答表!F18="下水道事業",IF([11]回答表!X51="●",[11]回答表!B267,IF([11]回答表!AA51="●",[11]回答表!B346,"")),"")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IF([11]回答表!F18="下水道事業",IF([11]回答表!AD51="●","●",""),"")</f>
        <v/>
      </c>
      <c r="O198" s="131"/>
      <c r="P198" s="131"/>
      <c r="Q198" s="132"/>
      <c r="R198" s="119"/>
      <c r="S198" s="119"/>
      <c r="T198" s="119"/>
      <c r="U198" s="133" t="str">
        <f>IF([11]回答表!F18="下水道事業",IF([11]回答表!AD51="●",[11]回答表!B354,""),"")</f>
        <v/>
      </c>
      <c r="V198" s="134"/>
      <c r="W198" s="134"/>
      <c r="X198" s="134"/>
      <c r="Y198" s="134"/>
      <c r="Z198" s="134"/>
      <c r="AA198" s="134"/>
      <c r="AB198" s="134"/>
      <c r="AC198" s="134"/>
      <c r="AD198" s="134"/>
      <c r="AE198" s="134"/>
      <c r="AF198" s="134"/>
      <c r="AG198" s="134"/>
      <c r="AH198" s="134"/>
      <c r="AI198" s="134"/>
      <c r="AJ198" s="135"/>
      <c r="AK198" s="189"/>
      <c r="AL198" s="189"/>
      <c r="AM198" s="133" t="str">
        <f>IF([11]回答表!F18="下水道事業",IF([11]回答表!AD51="●",[11]回答表!B360,""),"")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IF([11]回答表!BD18="●",IF([11]回答表!X51="●","●",""),"")</f>
        <v/>
      </c>
      <c r="O210" s="131"/>
      <c r="P210" s="131"/>
      <c r="Q210" s="132"/>
      <c r="R210" s="119"/>
      <c r="S210" s="119"/>
      <c r="T210" s="119"/>
      <c r="U210" s="133" t="str">
        <f>IF([11]回答表!BD18="●",IF([11]回答表!X51="●",[11]回答表!B197,IF([11]回答表!AA51="●",[11]回答表!B275,"")),"")</f>
        <v/>
      </c>
      <c r="V210" s="134"/>
      <c r="W210" s="134"/>
      <c r="X210" s="134"/>
      <c r="Y210" s="134"/>
      <c r="Z210" s="134"/>
      <c r="AA210" s="134"/>
      <c r="AB210" s="134"/>
      <c r="AC210" s="134"/>
      <c r="AD210" s="134"/>
      <c r="AE210" s="134"/>
      <c r="AF210" s="134"/>
      <c r="AG210" s="134"/>
      <c r="AH210" s="134"/>
      <c r="AI210" s="134"/>
      <c r="AJ210" s="135"/>
      <c r="AK210" s="136"/>
      <c r="AL210" s="136"/>
      <c r="AM210" s="138" t="str">
        <f>IF([11]回答表!BD18="●",IF([11]回答表!X51="●",[11]回答表!B256,IF([11]回答表!AA51="●",[11]回答表!B335,"")),"")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IF([11]回答表!BD18="●",IF([11]回答表!X51="●",[11]回答表!E256,IF([11]回答表!AA51="●",[11]回答表!E335,"")),"")</f>
        <v/>
      </c>
      <c r="AN213" s="151"/>
      <c r="AO213" s="151"/>
      <c r="AP213" s="151"/>
      <c r="AQ213" s="150" t="str">
        <f>IF([11]回答表!BD18="●",IF([11]回答表!X51="●",[11]回答表!E257,IF([11]回答表!AA51="●",[11]回答表!E336,"")),"")</f>
        <v/>
      </c>
      <c r="AR213" s="151"/>
      <c r="AS213" s="151"/>
      <c r="AT213" s="151"/>
      <c r="AU213" s="150" t="str">
        <f>IF([11]回答表!BD18="●",IF([11]回答表!X51="●",[11]回答表!E258,IF([11]回答表!AA51="●",[11]回答表!E337,"")),"")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IF([11]回答表!BD18="●",IF([11]回答表!AA51="●","●",""),"")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IF([11]回答表!BD18="●",IF([11]回答表!X51="●",[11]回答表!E265,IF([11]回答表!AA51="●",[11]回答表!E344,"")),"")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IF([11]回答表!BD18="●",IF([11]回答表!X51="●",[11]回答表!B267,IF([11]回答表!AA51="●",[11]回答表!B346,"")),"")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IF([11]回答表!BD18="●",IF([11]回答表!AD51="●","●",""),"")</f>
        <v/>
      </c>
      <c r="O229" s="131"/>
      <c r="P229" s="131"/>
      <c r="Q229" s="132"/>
      <c r="R229" s="119"/>
      <c r="S229" s="119"/>
      <c r="T229" s="119"/>
      <c r="U229" s="133" t="str">
        <f>IF([11]回答表!BD18="●",IF([11]回答表!AD51="●",[11]回答表!B354,""),"")</f>
        <v/>
      </c>
      <c r="V229" s="134"/>
      <c r="W229" s="134"/>
      <c r="X229" s="134"/>
      <c r="Y229" s="134"/>
      <c r="Z229" s="134"/>
      <c r="AA229" s="134"/>
      <c r="AB229" s="134"/>
      <c r="AC229" s="134"/>
      <c r="AD229" s="134"/>
      <c r="AE229" s="134"/>
      <c r="AF229" s="134"/>
      <c r="AG229" s="134"/>
      <c r="AH229" s="134"/>
      <c r="AI229" s="134"/>
      <c r="AJ229" s="135"/>
      <c r="AK229" s="249"/>
      <c r="AL229" s="249"/>
      <c r="AM229" s="133" t="str">
        <f>IF([11]回答表!BD18="●",IF([11]回答表!AD51="●",[11]回答表!B360,""),"")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IF([11]回答表!X52="●","●","")</f>
        <v/>
      </c>
      <c r="O241" s="131"/>
      <c r="P241" s="131"/>
      <c r="Q241" s="132"/>
      <c r="R241" s="119"/>
      <c r="S241" s="119"/>
      <c r="T241" s="119"/>
      <c r="U241" s="133" t="str">
        <f>IF([11]回答表!X52="●",[11]回答表!B371,IF([11]回答表!AA52="●",[11]回答表!B396,""))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IF([11]回答表!X52="●",[11]回答表!U377,IF([11]回答表!AA52="●",[11]回答表!U402,""))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IF([11]回答表!X52="●",[11]回答表!G377,IF([11]回答表!AA52="●",[11]回答表!G402,""))</f>
        <v/>
      </c>
      <c r="AN244" s="83"/>
      <c r="AO244" s="83"/>
      <c r="AP244" s="83"/>
      <c r="AQ244" s="83"/>
      <c r="AR244" s="83"/>
      <c r="AS244" s="83"/>
      <c r="AT244" s="153"/>
      <c r="AU244" s="82" t="str">
        <f>IF([11]回答表!X52="●",[11]回答表!G378,IF([11]回答表!AA52="●",[11]回答表!G403,""))</f>
        <v/>
      </c>
      <c r="AV244" s="83"/>
      <c r="AW244" s="83"/>
      <c r="AX244" s="83"/>
      <c r="AY244" s="83"/>
      <c r="AZ244" s="83"/>
      <c r="BA244" s="83"/>
      <c r="BB244" s="153"/>
      <c r="BC244" s="120"/>
      <c r="BD244" s="109"/>
      <c r="BE244" s="109"/>
      <c r="BF244" s="150" t="str">
        <f>IF([11]回答表!X52="●",[11]回答表!X377,IF([11]回答表!AA52="●",[11]回答表!X402,""))</f>
        <v/>
      </c>
      <c r="BG244" s="151"/>
      <c r="BH244" s="151"/>
      <c r="BI244" s="151"/>
      <c r="BJ244" s="150" t="str">
        <f>IF([11]回答表!X52="●",[11]回答表!X378,IF([11]回答表!AA52="●",[11]回答表!X403,""))</f>
        <v/>
      </c>
      <c r="BK244" s="151"/>
      <c r="BL244" s="151"/>
      <c r="BM244" s="152"/>
      <c r="BN244" s="150" t="str">
        <f>IF([11]回答表!X52="●",[11]回答表!X379,IF([11]回答表!AA52="●",[11]回答表!X404,""))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IF([11]回答表!AA52="●","●","")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IF([11]回答表!X52="●",[11]回答表!E386,IF([11]回答表!AA52="●",[11]回答表!E407,""))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IF([11]回答表!X52="●",[11]回答表!B388,IF([11]回答表!AA52="●",[11]回答表!B409,""))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IF([11]回答表!AD52="●","●","")</f>
        <v/>
      </c>
      <c r="O260" s="131"/>
      <c r="P260" s="131"/>
      <c r="Q260" s="132"/>
      <c r="R260" s="119"/>
      <c r="S260" s="119"/>
      <c r="T260" s="119"/>
      <c r="U260" s="133" t="str">
        <f>IF([11]回答表!AD52="●",[11]回答表!B417,"")</f>
        <v/>
      </c>
      <c r="V260" s="134"/>
      <c r="W260" s="134"/>
      <c r="X260" s="134"/>
      <c r="Y260" s="134"/>
      <c r="Z260" s="134"/>
      <c r="AA260" s="134"/>
      <c r="AB260" s="134"/>
      <c r="AC260" s="134"/>
      <c r="AD260" s="134"/>
      <c r="AE260" s="134"/>
      <c r="AF260" s="134"/>
      <c r="AG260" s="134"/>
      <c r="AH260" s="134"/>
      <c r="AI260" s="134"/>
      <c r="AJ260" s="135"/>
      <c r="AK260" s="249"/>
      <c r="AL260" s="249"/>
      <c r="AM260" s="133" t="str">
        <f>IF([11]回答表!AD52="●",[11]回答表!B423,"")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IF([11]回答表!X53="●","●","")</f>
        <v>●</v>
      </c>
      <c r="O272" s="131"/>
      <c r="P272" s="131"/>
      <c r="Q272" s="132"/>
      <c r="R272" s="119"/>
      <c r="S272" s="119"/>
      <c r="T272" s="119"/>
      <c r="U272" s="133" t="str">
        <f>IF([11]回答表!X53="●",[11]回答表!B434,IF([11]回答表!AA53="●",[11]回答表!B465,""))</f>
        <v>上下水道料金等関連業務について、事業提案型プロポーザル方式により委託者を選定し、委託契約を締結した。（期間５年）</v>
      </c>
      <c r="V272" s="134"/>
      <c r="W272" s="134"/>
      <c r="X272" s="134"/>
      <c r="Y272" s="134"/>
      <c r="Z272" s="134"/>
      <c r="AA272" s="134"/>
      <c r="AB272" s="134"/>
      <c r="AC272" s="134"/>
      <c r="AD272" s="134"/>
      <c r="AE272" s="134"/>
      <c r="AF272" s="134"/>
      <c r="AG272" s="134"/>
      <c r="AH272" s="134"/>
      <c r="AI272" s="134"/>
      <c r="AJ272" s="135"/>
      <c r="AK272" s="136"/>
      <c r="AL272" s="136"/>
      <c r="AM272" s="136"/>
      <c r="AN272" s="133" t="str">
        <f>IF([11]回答表!X53="●",[11]回答表!B440,"")</f>
        <v>窓口業務、検針調定業務、収納業務、還付業務、滞納整理業務、電算処理業務（料金システムを含む）、その他付帯業務　</v>
      </c>
      <c r="AO272" s="262"/>
      <c r="AP272" s="262"/>
      <c r="AQ272" s="262"/>
      <c r="AR272" s="262"/>
      <c r="AS272" s="262"/>
      <c r="AT272" s="262"/>
      <c r="AU272" s="262"/>
      <c r="AV272" s="262"/>
      <c r="AW272" s="262"/>
      <c r="AX272" s="262"/>
      <c r="AY272" s="262"/>
      <c r="AZ272" s="262"/>
      <c r="BA272" s="262"/>
      <c r="BB272" s="263"/>
      <c r="BC272" s="120"/>
      <c r="BD272" s="109"/>
      <c r="BE272" s="109"/>
      <c r="BF272" s="138" t="str">
        <f>IF([11]回答表!X53="●",[11]回答表!B446,IF([11]回答表!AA53="●",[11]回答表!B471,""))</f>
        <v>平成</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f>IF([11]回答表!X53="●",[11]回答表!E446,IF([11]回答表!AA53="●",[11]回答表!E471,""))</f>
        <v>22</v>
      </c>
      <c r="BG275" s="151"/>
      <c r="BH275" s="151"/>
      <c r="BI275" s="151"/>
      <c r="BJ275" s="150">
        <f>IF([11]回答表!X53="●",[11]回答表!E447,IF([11]回答表!AA53="●",[11]回答表!E472,""))</f>
        <v>11</v>
      </c>
      <c r="BK275" s="151"/>
      <c r="BL275" s="151"/>
      <c r="BM275" s="152"/>
      <c r="BN275" s="150">
        <f>IF([11]回答表!X53="●",[11]回答表!E448,IF([11]回答表!AA53="●",[11]回答表!E473,""))</f>
        <v>30</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IF([11]回答表!AA53="●","●","")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f>IF([11]回答表!X53="●",[11]回答表!E455,IF([11]回答表!AA53="●",[11]回答表!E476,""))</f>
        <v>0</v>
      </c>
      <c r="V284" s="182"/>
      <c r="W284" s="182"/>
      <c r="X284" s="182"/>
      <c r="Y284" s="182"/>
      <c r="Z284" s="182"/>
      <c r="AA284" s="182"/>
      <c r="AB284" s="182"/>
      <c r="AC284" s="182"/>
      <c r="AD284" s="182"/>
      <c r="AE284" s="183" t="s">
        <v>33</v>
      </c>
      <c r="AF284" s="183"/>
      <c r="AG284" s="183"/>
      <c r="AH284" s="183"/>
      <c r="AI284" s="183"/>
      <c r="AJ284" s="184"/>
      <c r="AK284" s="136"/>
      <c r="AL284" s="136"/>
      <c r="AM284" s="133">
        <f>IF([11]回答表!X53="●",[11]回答表!B457,IF([11]回答表!AA53="●",[11]回答表!B478,""))</f>
        <v>0</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IF([11]回答表!AD53="●","●","")</f>
        <v/>
      </c>
      <c r="O291" s="131"/>
      <c r="P291" s="131"/>
      <c r="Q291" s="132"/>
      <c r="R291" s="119"/>
      <c r="S291" s="119"/>
      <c r="T291" s="119"/>
      <c r="U291" s="133" t="str">
        <f>IF([11]回答表!AD53="●",[11]回答表!B486,"")</f>
        <v/>
      </c>
      <c r="V291" s="134"/>
      <c r="W291" s="134"/>
      <c r="X291" s="134"/>
      <c r="Y291" s="134"/>
      <c r="Z291" s="134"/>
      <c r="AA291" s="134"/>
      <c r="AB291" s="134"/>
      <c r="AC291" s="134"/>
      <c r="AD291" s="134"/>
      <c r="AE291" s="134"/>
      <c r="AF291" s="134"/>
      <c r="AG291" s="134"/>
      <c r="AH291" s="134"/>
      <c r="AI291" s="134"/>
      <c r="AJ291" s="135"/>
      <c r="AK291" s="249"/>
      <c r="AL291" s="249"/>
      <c r="AM291" s="133" t="str">
        <f>IF([11]回答表!AD53="●",[11]回答表!B492,"")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IF([11]回答表!X54="●","●","")</f>
        <v/>
      </c>
      <c r="O303" s="131"/>
      <c r="P303" s="131"/>
      <c r="Q303" s="132"/>
      <c r="R303" s="119"/>
      <c r="S303" s="119"/>
      <c r="T303" s="119"/>
      <c r="U303" s="133" t="str">
        <f>IF([11]回答表!X54="●",[11]回答表!B503,IF([11]回答表!AA54="●",[11]回答表!B526,""))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IF([11]回答表!X54="●",[11]回答表!BC510,IF([11]回答表!AA54="●",[11]回答表!BC533,""))</f>
        <v/>
      </c>
      <c r="AR303" s="271"/>
      <c r="AS303" s="271"/>
      <c r="AT303" s="271"/>
      <c r="AU303" s="272" t="s">
        <v>74</v>
      </c>
      <c r="AV303" s="273"/>
      <c r="AW303" s="273"/>
      <c r="AX303" s="274"/>
      <c r="AY303" s="271" t="str">
        <f>IF([11]回答表!X54="●",[11]回答表!BC515,IF([11]回答表!AA54="●",[11]回答表!BC538,""))</f>
        <v/>
      </c>
      <c r="AZ303" s="271"/>
      <c r="BA303" s="271"/>
      <c r="BB303" s="271"/>
      <c r="BC303" s="120"/>
      <c r="BD303" s="109"/>
      <c r="BE303" s="109"/>
      <c r="BF303" s="138" t="str">
        <f>IF([11]回答表!X54="●",[11]回答表!S509,IF([11]回答表!AA54="●",[11]回答表!S532,""))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IF([11]回答表!X54="●",[11]回答表!BC511,IF([11]回答表!AA54="●",[11]回答表!BC534,""))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IF([11]回答表!X54="●",[11]回答表!V509,IF([11]回答表!AA54="●",[11]回答表!V532,""))</f>
        <v/>
      </c>
      <c r="BG306" s="151"/>
      <c r="BH306" s="151"/>
      <c r="BI306" s="151"/>
      <c r="BJ306" s="150" t="str">
        <f>IF([11]回答表!X54="●",[11]回答表!V510,IF([11]回答表!AA54="●",[11]回答表!V533,""))</f>
        <v/>
      </c>
      <c r="BK306" s="151"/>
      <c r="BL306" s="151"/>
      <c r="BM306" s="152"/>
      <c r="BN306" s="150" t="str">
        <f>IF([11]回答表!X54="●",[11]回答表!V511,IF([11]回答表!AA54="●",[11]回答表!V534,""))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IF([11]回答表!X54="●",[11]回答表!BC512,IF([11]回答表!AA54="●",[11]回答表!BC535,""))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IF([11]回答表!X54="●",[11]回答表!BC516,IF([11]回答表!AA54="●",[11]回答表!BC539,""))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IF([11]回答表!AA54="●","●","")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IF([11]回答表!X54="●",[11]回答表!BC513,IF([11]回答表!AA54="●",[11]回答表!BC536,""))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IF([11]回答表!X54="●",[11]回答表!BC514,IF([11]回答表!AA54="●",[11]回答表!BC537,""))</f>
        <v/>
      </c>
      <c r="AR311" s="271"/>
      <c r="AS311" s="271"/>
      <c r="AT311" s="271"/>
      <c r="AU311" s="222" t="s">
        <v>80</v>
      </c>
      <c r="AV311" s="223"/>
      <c r="AW311" s="223"/>
      <c r="AX311" s="224"/>
      <c r="AY311" s="281" t="str">
        <f>IF([11]回答表!X54="●",[11]回答表!BC517,IF([11]回答表!AA54="●",[11]回答表!BC540,""))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IF([11]回答表!X54="●",[11]回答表!E516,IF([11]回答表!AA54="●",[11]回答表!E538,""))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IF([11]回答表!X54="●",[11]回答表!B518,IF([11]回答表!AA54="●",[11]回答表!B540,""))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IF([11]回答表!AD54="●","●","")</f>
        <v/>
      </c>
      <c r="O322" s="131"/>
      <c r="P322" s="131"/>
      <c r="Q322" s="132"/>
      <c r="R322" s="119"/>
      <c r="S322" s="119"/>
      <c r="T322" s="119"/>
      <c r="U322" s="133" t="str">
        <f>IF([11]回答表!AD54="●",[11]回答表!B548,"")</f>
        <v/>
      </c>
      <c r="V322" s="134"/>
      <c r="W322" s="134"/>
      <c r="X322" s="134"/>
      <c r="Y322" s="134"/>
      <c r="Z322" s="134"/>
      <c r="AA322" s="134"/>
      <c r="AB322" s="134"/>
      <c r="AC322" s="134"/>
      <c r="AD322" s="134"/>
      <c r="AE322" s="134"/>
      <c r="AF322" s="134"/>
      <c r="AG322" s="134"/>
      <c r="AH322" s="134"/>
      <c r="AI322" s="134"/>
      <c r="AJ322" s="135"/>
      <c r="AK322" s="189"/>
      <c r="AL322" s="189"/>
      <c r="AM322" s="133" t="str">
        <f>IF([11]回答表!AD54="●",[11]回答表!B554,"")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IF([11]回答表!X55="●","●","")</f>
        <v/>
      </c>
      <c r="O333" s="131"/>
      <c r="P333" s="131"/>
      <c r="Q333" s="132"/>
      <c r="R333" s="119"/>
      <c r="S333" s="119"/>
      <c r="T333" s="119"/>
      <c r="U333" s="133" t="str">
        <f>IF([11]回答表!X55="●",[11]回答表!B565,IF([11]回答表!AA55="●",[11]回答表!B590,""))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IF([11]回答表!X55="●",[11]回答表!B575,IF([11]回答表!AA55="●",[11]回答表!B600,""))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IF([11]回答表!X55="●",[11]回答表!G571,IF([11]回答表!AA55="●",[11]回答表!G596,""))</f>
        <v/>
      </c>
      <c r="AN335" s="83"/>
      <c r="AO335" s="83"/>
      <c r="AP335" s="83"/>
      <c r="AQ335" s="83"/>
      <c r="AR335" s="83"/>
      <c r="AS335" s="83"/>
      <c r="AT335" s="153"/>
      <c r="AU335" s="82" t="str">
        <f>IF([11]回答表!X55="●",[11]回答表!G572,IF([11]回答表!AA55="●",[11]回答表!G597,""))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IF([11]回答表!X55="●",[11]回答表!E575,IF([11]回答表!AA55="●",[11]回答表!E600,""))</f>
        <v/>
      </c>
      <c r="BG336" s="151"/>
      <c r="BH336" s="151"/>
      <c r="BI336" s="151"/>
      <c r="BJ336" s="150" t="str">
        <f>IF([11]回答表!X55="●",[11]回答表!E576,IF([11]回答表!AA55="●",[11]回答表!E601,""))</f>
        <v/>
      </c>
      <c r="BK336" s="151"/>
      <c r="BL336" s="151"/>
      <c r="BM336" s="152"/>
      <c r="BN336" s="150" t="str">
        <f>IF([11]回答表!X55="●",[11]回答表!E577,IF([11]回答表!AA55="●",[11]回答表!E602,""))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IF([11]回答表!AA55="●","●","")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IF([11]回答表!X55="●",[11]回答表!E580,IF([11]回答表!AA55="●",[11]回答表!E605,""))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IF([11]回答表!X55="●",[11]回答表!B582,IF([11]回答表!AA55="●",[11]回答表!B607,""))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IF([11]回答表!AD55="●","●","")</f>
        <v/>
      </c>
      <c r="O352" s="131"/>
      <c r="P352" s="131"/>
      <c r="Q352" s="132"/>
      <c r="R352" s="119"/>
      <c r="S352" s="119"/>
      <c r="T352" s="119"/>
      <c r="U352" s="133" t="str">
        <f>IF([11]回答表!AD55="●",[11]回答表!B615,"")</f>
        <v/>
      </c>
      <c r="V352" s="134"/>
      <c r="W352" s="134"/>
      <c r="X352" s="134"/>
      <c r="Y352" s="134"/>
      <c r="Z352" s="134"/>
      <c r="AA352" s="134"/>
      <c r="AB352" s="134"/>
      <c r="AC352" s="134"/>
      <c r="AD352" s="134"/>
      <c r="AE352" s="134"/>
      <c r="AF352" s="134"/>
      <c r="AG352" s="134"/>
      <c r="AH352" s="134"/>
      <c r="AI352" s="134"/>
      <c r="AJ352" s="135"/>
      <c r="AK352" s="136"/>
      <c r="AL352" s="136"/>
      <c r="AM352" s="133" t="str">
        <f>IF([11]回答表!AD55="●",[11]回答表!B621,"")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IF([11]回答表!R56="●",[11]回答表!B634,"")</f>
        <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5" priority="2">
      <formula>$BB$25="○"</formula>
    </cfRule>
  </conditionalFormatting>
  <conditionalFormatting sqref="BD28:BD30">
    <cfRule type="expression" dxfId="4" priority="1">
      <formula>$BB$25="○"</formula>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8BD3A-C213-4A54-8A76-1EEE3C93FF32}">
  <dimension ref="A1:CN384"/>
  <sheetViews>
    <sheetView workbookViewId="0">
      <selection sqref="A1:XFD1048576"/>
    </sheetView>
  </sheetViews>
  <sheetFormatPr defaultColWidth="2.875" defaultRowHeight="12.6" customHeight="1"/>
  <cols>
    <col min="1" max="25" width="2.625" customWidth="1"/>
    <col min="26" max="26" width="2.125" customWidth="1"/>
    <col min="27" max="27" width="2.625" hidden="1" customWidth="1"/>
    <col min="28" max="28" width="4.625" customWidth="1"/>
    <col min="29" max="34" width="2.625" customWidth="1"/>
    <col min="35" max="35" width="0.125" customWidth="1"/>
    <col min="36" max="37" width="4.625" customWidth="1"/>
    <col min="38" max="71" width="2.6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IF(COUNTIF([12]回答表!K16,"*")&gt;0,[12]回答表!K16,"")</f>
        <v>横手市</v>
      </c>
      <c r="D11" s="8"/>
      <c r="E11" s="8"/>
      <c r="F11" s="8"/>
      <c r="G11" s="8"/>
      <c r="H11" s="8"/>
      <c r="I11" s="8"/>
      <c r="J11" s="8"/>
      <c r="K11" s="8"/>
      <c r="L11" s="8"/>
      <c r="M11" s="8"/>
      <c r="N11" s="8"/>
      <c r="O11" s="8"/>
      <c r="P11" s="8"/>
      <c r="Q11" s="8"/>
      <c r="R11" s="8"/>
      <c r="S11" s="8"/>
      <c r="T11" s="8"/>
      <c r="U11" s="22" t="str">
        <f>IF(COUNTIF([12]回答表!F18,"*")&gt;0,[12]回答表!F18,"")</f>
        <v>下水道事業</v>
      </c>
      <c r="V11" s="23"/>
      <c r="W11" s="23"/>
      <c r="X11" s="23"/>
      <c r="Y11" s="23"/>
      <c r="Z11" s="23"/>
      <c r="AA11" s="23"/>
      <c r="AB11" s="23"/>
      <c r="AC11" s="23"/>
      <c r="AD11" s="23"/>
      <c r="AE11" s="23"/>
      <c r="AF11" s="10"/>
      <c r="AG11" s="10"/>
      <c r="AH11" s="10"/>
      <c r="AI11" s="10"/>
      <c r="AJ11" s="10"/>
      <c r="AK11" s="10"/>
      <c r="AL11" s="10"/>
      <c r="AM11" s="10"/>
      <c r="AN11" s="11"/>
      <c r="AO11" s="24" t="str">
        <f>IF(COUNTIF([12]回答表!W18,"*")&gt;0,[12]回答表!W18,"")</f>
        <v>小規模集合排水施設</v>
      </c>
      <c r="AP11" s="10"/>
      <c r="AQ11" s="10"/>
      <c r="AR11" s="10"/>
      <c r="AS11" s="10"/>
      <c r="AT11" s="10"/>
      <c r="AU11" s="10"/>
      <c r="AV11" s="10"/>
      <c r="AW11" s="10"/>
      <c r="AX11" s="10"/>
      <c r="AY11" s="10"/>
      <c r="AZ11" s="10"/>
      <c r="BA11" s="10"/>
      <c r="BB11" s="10"/>
      <c r="BC11" s="10"/>
      <c r="BD11" s="10"/>
      <c r="BE11" s="10"/>
      <c r="BF11" s="11"/>
      <c r="BG11" s="21" t="str">
        <f>IF(COUNTIF([12]回答表!F20,"*")&gt;0,[12]回答表!F20,"")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IF([12]回答表!R49="●","●","")</f>
        <v/>
      </c>
      <c r="E24" s="80"/>
      <c r="F24" s="80"/>
      <c r="G24" s="80"/>
      <c r="H24" s="80"/>
      <c r="I24" s="80"/>
      <c r="J24" s="81"/>
      <c r="K24" s="79" t="str">
        <f>IF([12]回答表!R50="●","●","")</f>
        <v/>
      </c>
      <c r="L24" s="80"/>
      <c r="M24" s="80"/>
      <c r="N24" s="80"/>
      <c r="O24" s="80"/>
      <c r="P24" s="80"/>
      <c r="Q24" s="81"/>
      <c r="R24" s="79" t="str">
        <f>IF([12]回答表!R51="●","●","")</f>
        <v/>
      </c>
      <c r="S24" s="80"/>
      <c r="T24" s="80"/>
      <c r="U24" s="80"/>
      <c r="V24" s="80"/>
      <c r="W24" s="80"/>
      <c r="X24" s="81"/>
      <c r="Y24" s="79" t="str">
        <f>IF([12]回答表!R52="●","●","")</f>
        <v/>
      </c>
      <c r="Z24" s="80"/>
      <c r="AA24" s="80"/>
      <c r="AB24" s="80"/>
      <c r="AC24" s="80"/>
      <c r="AD24" s="80"/>
      <c r="AE24" s="81"/>
      <c r="AF24" s="79" t="str">
        <f>IF([12]回答表!R53="●","●","")</f>
        <v>●</v>
      </c>
      <c r="AG24" s="80"/>
      <c r="AH24" s="80"/>
      <c r="AI24" s="80"/>
      <c r="AJ24" s="80"/>
      <c r="AK24" s="80"/>
      <c r="AL24" s="81"/>
      <c r="AM24" s="79" t="str">
        <f>IF([12]回答表!R54="●","●","")</f>
        <v/>
      </c>
      <c r="AN24" s="80"/>
      <c r="AO24" s="80"/>
      <c r="AP24" s="80"/>
      <c r="AQ24" s="80"/>
      <c r="AR24" s="80"/>
      <c r="AS24" s="81"/>
      <c r="AT24" s="79" t="str">
        <f>IF([12]回答表!R55="●","●","")</f>
        <v/>
      </c>
      <c r="AU24" s="80"/>
      <c r="AV24" s="80"/>
      <c r="AW24" s="80"/>
      <c r="AX24" s="80"/>
      <c r="AY24" s="80"/>
      <c r="AZ24" s="81"/>
      <c r="BA24" s="68"/>
      <c r="BB24" s="82" t="str">
        <f>IF([12]回答表!R56="●","●","")</f>
        <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IF([12]回答表!X49="●","●","")</f>
        <v/>
      </c>
      <c r="O36" s="131"/>
      <c r="P36" s="131"/>
      <c r="Q36" s="132"/>
      <c r="R36" s="119"/>
      <c r="S36" s="119"/>
      <c r="T36" s="119"/>
      <c r="U36" s="133" t="str">
        <f>IF([12]回答表!X49="●",[12]回答表!B67,IF([12]回答表!AA49="●",[12]回答表!B95,""))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IF([12]回答表!X49="●",[12]回答表!S73,IF([12]回答表!AA49="●",[12]回答表!S101,""))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IF([12]回答表!X49="●",[12]回答表!G73,IF([12]回答表!AA49="●",[12]回答表!G101,""))</f>
        <v/>
      </c>
      <c r="AN38" s="83"/>
      <c r="AO38" s="83"/>
      <c r="AP38" s="83"/>
      <c r="AQ38" s="83"/>
      <c r="AR38" s="83"/>
      <c r="AS38" s="83"/>
      <c r="AT38" s="153"/>
      <c r="AU38" s="82" t="str">
        <f>IF([12]回答表!X49="●",[12]回答表!G74,IF([12]回答表!AA49="●",[12]回答表!G102,""))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IF([12]回答表!X49="●",[12]回答表!V73,IF([12]回答表!AA49="●",[12]回答表!V101,""))</f>
        <v/>
      </c>
      <c r="BG39" s="16"/>
      <c r="BH39" s="16"/>
      <c r="BI39" s="17"/>
      <c r="BJ39" s="150" t="str">
        <f>IF([12]回答表!X49="●",[12]回答表!V74,IF([12]回答表!AA49="●",[12]回答表!V102,""))</f>
        <v/>
      </c>
      <c r="BK39" s="16"/>
      <c r="BL39" s="16"/>
      <c r="BM39" s="17"/>
      <c r="BN39" s="150" t="str">
        <f>IF([12]回答表!X49="●",[12]回答表!V75,IF([12]回答表!AA49="●",[12]回答表!V103,""))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IF([12]回答表!X49="●",[12]回答表!O79,IF([12]回答表!AA49="●",[12]回答表!O107,""))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IF([12]回答表!X49="●",[12]回答表!O80,IF([12]回答表!AA49="●",[12]回答表!O108,""))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IF([12]回答表!AA49="●","●","")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IF([12]回答表!X49="●",[12]回答表!O81,IF([12]回答表!AA49="●",[12]回答表!O109,""))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IF([12]回答表!X49="●",[12]回答表!O82,IF([12]回答表!AA49="●",[12]回答表!O110,""))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IF([12]回答表!X49="●",[12]回答表!AG79,IF([12]回答表!AA49="●",[12]回答表!AG107,""))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IF([12]回答表!X49="●",[12]回答表!AG80,IF([12]回答表!AA49="●",[12]回答表!AG108,""))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IF([12]回答表!X49="●",[12]回答表!E85,IF([12]回答表!AA49="●",[12]回答表!E113,""))</f>
        <v/>
      </c>
      <c r="V50" s="182"/>
      <c r="W50" s="182"/>
      <c r="X50" s="182"/>
      <c r="Y50" s="182"/>
      <c r="Z50" s="182"/>
      <c r="AA50" s="182"/>
      <c r="AB50" s="182"/>
      <c r="AC50" s="182"/>
      <c r="AD50" s="182"/>
      <c r="AE50" s="183" t="s">
        <v>33</v>
      </c>
      <c r="AF50" s="183"/>
      <c r="AG50" s="183"/>
      <c r="AH50" s="183"/>
      <c r="AI50" s="183"/>
      <c r="AJ50" s="184"/>
      <c r="AK50" s="136"/>
      <c r="AL50" s="136"/>
      <c r="AM50" s="133" t="str">
        <f>IF([12]回答表!X49="●",[12]回答表!B87,IF([12]回答表!AA49="●",[12]回答表!B115,""))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IF([12]回答表!AD49="●","●","")</f>
        <v/>
      </c>
      <c r="O57" s="131"/>
      <c r="P57" s="131"/>
      <c r="Q57" s="132"/>
      <c r="R57" s="119"/>
      <c r="S57" s="119"/>
      <c r="T57" s="119"/>
      <c r="U57" s="133" t="str">
        <f>IF([12]回答表!AD49="●",[12]回答表!B123,"")</f>
        <v/>
      </c>
      <c r="V57" s="134"/>
      <c r="W57" s="134"/>
      <c r="X57" s="134"/>
      <c r="Y57" s="134"/>
      <c r="Z57" s="134"/>
      <c r="AA57" s="134"/>
      <c r="AB57" s="134"/>
      <c r="AC57" s="134"/>
      <c r="AD57" s="134"/>
      <c r="AE57" s="134"/>
      <c r="AF57" s="134"/>
      <c r="AG57" s="134"/>
      <c r="AH57" s="134"/>
      <c r="AI57" s="134"/>
      <c r="AJ57" s="135"/>
      <c r="AK57" s="189"/>
      <c r="AL57" s="189"/>
      <c r="AM57" s="133" t="str">
        <f>IF([12]回答表!AD49="●",[12]回答表!B128,"")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IF([12]回答表!X50="●","●","")</f>
        <v/>
      </c>
      <c r="O68" s="131"/>
      <c r="P68" s="131"/>
      <c r="Q68" s="132"/>
      <c r="R68" s="119"/>
      <c r="S68" s="119"/>
      <c r="T68" s="119"/>
      <c r="U68" s="133" t="str">
        <f>IF([12]回答表!X50="●",[12]回答表!B138,IF([12]回答表!AA50="●",[12]回答表!B159,""))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IF([12]回答表!X50="●",[12]回答表!S144,IF([12]回答表!AA50="●",[12]回答表!S165,""))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IF([12]回答表!X50="●",[12]回答表!J144,IF([12]回答表!AA50="●",[12]回答表!J165,""))</f>
        <v/>
      </c>
      <c r="AN71" s="83"/>
      <c r="AO71" s="83"/>
      <c r="AP71" s="83"/>
      <c r="AQ71" s="83"/>
      <c r="AR71" s="83"/>
      <c r="AS71" s="83"/>
      <c r="AT71" s="153"/>
      <c r="AU71" s="82" t="str">
        <f>IF([12]回答表!X50="●",[12]回答表!J145,IF([12]回答表!AA50="●",[12]回答表!J166,""))</f>
        <v/>
      </c>
      <c r="AV71" s="83"/>
      <c r="AW71" s="83"/>
      <c r="AX71" s="83"/>
      <c r="AY71" s="83"/>
      <c r="AZ71" s="83"/>
      <c r="BA71" s="83"/>
      <c r="BB71" s="153"/>
      <c r="BC71" s="120"/>
      <c r="BD71" s="109"/>
      <c r="BE71" s="109"/>
      <c r="BF71" s="150" t="str">
        <f>IF([12]回答表!X50="●",[12]回答表!V144,IF([12]回答表!AA50="●",[12]回答表!V165,""))</f>
        <v/>
      </c>
      <c r="BG71" s="151"/>
      <c r="BH71" s="151"/>
      <c r="BI71" s="151"/>
      <c r="BJ71" s="150" t="str">
        <f>IF([12]回答表!X50="●",[12]回答表!V145,IF([12]回答表!AA50="●",[12]回答表!V166,""))</f>
        <v/>
      </c>
      <c r="BK71" s="151"/>
      <c r="BL71" s="151"/>
      <c r="BM71" s="151"/>
      <c r="BN71" s="150" t="str">
        <f>IF([12]回答表!X50="●",[12]回答表!V146,IF([12]回答表!AA50="●",[12]回答表!V167,""))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IF([12]回答表!AA50="●","●","")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IF([12]回答表!X50="●",[12]回答表!E149,IF([12]回答表!AA50="●",[12]回答表!E170,""))</f>
        <v/>
      </c>
      <c r="V80" s="182"/>
      <c r="W80" s="182"/>
      <c r="X80" s="182"/>
      <c r="Y80" s="182"/>
      <c r="Z80" s="182"/>
      <c r="AA80" s="182"/>
      <c r="AB80" s="182"/>
      <c r="AC80" s="182"/>
      <c r="AD80" s="182"/>
      <c r="AE80" s="183" t="s">
        <v>33</v>
      </c>
      <c r="AF80" s="183"/>
      <c r="AG80" s="183"/>
      <c r="AH80" s="183"/>
      <c r="AI80" s="183"/>
      <c r="AJ80" s="184"/>
      <c r="AK80" s="136"/>
      <c r="AL80" s="136"/>
      <c r="AM80" s="133" t="str">
        <f>IF([12]回答表!X50="●",[12]回答表!B151,IF([12]回答表!AA50="●",[12]回答表!B172,""))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IF([12]回答表!AD50="●","●","")</f>
        <v/>
      </c>
      <c r="O87" s="131"/>
      <c r="P87" s="131"/>
      <c r="Q87" s="132"/>
      <c r="R87" s="119"/>
      <c r="S87" s="119"/>
      <c r="T87" s="119"/>
      <c r="U87" s="133" t="str">
        <f>IF([12]回答表!AD50="●",[12]回答表!B180,"")</f>
        <v/>
      </c>
      <c r="V87" s="134"/>
      <c r="W87" s="134"/>
      <c r="X87" s="134"/>
      <c r="Y87" s="134"/>
      <c r="Z87" s="134"/>
      <c r="AA87" s="134"/>
      <c r="AB87" s="134"/>
      <c r="AC87" s="134"/>
      <c r="AD87" s="134"/>
      <c r="AE87" s="134"/>
      <c r="AF87" s="134"/>
      <c r="AG87" s="134"/>
      <c r="AH87" s="134"/>
      <c r="AI87" s="134"/>
      <c r="AJ87" s="135"/>
      <c r="AK87" s="189"/>
      <c r="AL87" s="189"/>
      <c r="AM87" s="133" t="str">
        <f>IF([12]回答表!AD50="●",[12]回答表!B186,"")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IF([12]回答表!F18="水道事業",IF([12]回答表!X51="●","●",""),"")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IF([12]回答表!F18="水道事業",IF([12]回答表!X51="●",[12]回答表!B197,IF([12]回答表!AA51="●",[12]回答表!B275,"")),"")</f>
        <v/>
      </c>
      <c r="AN99" s="134"/>
      <c r="AO99" s="134"/>
      <c r="AP99" s="134"/>
      <c r="AQ99" s="134"/>
      <c r="AR99" s="134"/>
      <c r="AS99" s="134"/>
      <c r="AT99" s="134"/>
      <c r="AU99" s="134"/>
      <c r="AV99" s="134"/>
      <c r="AW99" s="134"/>
      <c r="AX99" s="134"/>
      <c r="AY99" s="134"/>
      <c r="AZ99" s="134"/>
      <c r="BA99" s="134"/>
      <c r="BB99" s="134"/>
      <c r="BC99" s="135"/>
      <c r="BD99" s="109"/>
      <c r="BE99" s="109"/>
      <c r="BF99" s="138" t="str">
        <f>IF([12]回答表!F18="水道事業",IF([12]回答表!X51="●",[12]回答表!B256,IF([12]回答表!AA51="●",[12]回答表!B335,"")),"")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IF([12]回答表!F18="水道事業",IF([12]回答表!X51="●",[12]回答表!J205,IF([12]回答表!AA51="●",[12]回答表!J283,"")),"")</f>
        <v/>
      </c>
      <c r="V101" s="83"/>
      <c r="W101" s="83"/>
      <c r="X101" s="83"/>
      <c r="Y101" s="83"/>
      <c r="Z101" s="83"/>
      <c r="AA101" s="83"/>
      <c r="AB101" s="153"/>
      <c r="AC101" s="82" t="str">
        <f>IF([12]回答表!F18="水道事業",IF([12]回答表!X51="●",[12]回答表!J210,IF([12]回答表!AA51="●",[12]回答表!J290,"")),"")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IF([12]回答表!F18="水道事業",IF([12]回答表!X51="●",[12]回答表!E256,IF([12]回答表!AA51="●",[12]回答表!E335,"")),"")</f>
        <v/>
      </c>
      <c r="BG102" s="151"/>
      <c r="BH102" s="151"/>
      <c r="BI102" s="151"/>
      <c r="BJ102" s="150" t="str">
        <f>IF([12]回答表!F18="水道事業",IF([12]回答表!X51="●",[12]回答表!E257,IF([12]回答表!AA51="●",[12]回答表!E336,"")),"")</f>
        <v/>
      </c>
      <c r="BK102" s="151"/>
      <c r="BL102" s="151"/>
      <c r="BM102" s="151"/>
      <c r="BN102" s="150" t="str">
        <f>IF([12]回答表!F18="水道事業",IF([12]回答表!X51="●",[12]回答表!E258,IF([12]回答表!AA51="●",[12]回答表!E337,"")),"")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IF([12]回答表!F18="水道事業",IF([12]回答表!AA51="●","●",""),"")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IF([12]回答表!F18="水道事業",IF([12]回答表!X51="●",[12]回答表!J213,IF([12]回答表!AA51="●",[12]回答表!J293,"")),"")</f>
        <v/>
      </c>
      <c r="V106" s="83"/>
      <c r="W106" s="83"/>
      <c r="X106" s="83"/>
      <c r="Y106" s="83"/>
      <c r="Z106" s="83"/>
      <c r="AA106" s="83"/>
      <c r="AB106" s="153"/>
      <c r="AC106" s="82" t="str">
        <f>IF([12]回答表!F18="水道事業",IF([12]回答表!X51="●",[12]回答表!J217,IF([12]回答表!AA51="●",[12]回答表!J297,"")),"")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IF([12]回答表!F18="水道事業",IF([12]回答表!X51="●",[12]回答表!E265,IF([12]回答表!AA51="●",[12]回答表!E344,"")),"")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IF([12]回答表!F18="水道事業",IF([12]回答表!X51="●",[12]回答表!B267,IF([12]回答表!AA51="●",[12]回答表!B346,"")),"")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IF([12]回答表!F18="水道事業",IF([12]回答表!AD51="●","●",""),"")</f>
        <v/>
      </c>
      <c r="O118" s="131"/>
      <c r="P118" s="131"/>
      <c r="Q118" s="132"/>
      <c r="R118" s="119"/>
      <c r="S118" s="119"/>
      <c r="T118" s="119"/>
      <c r="U118" s="133" t="str">
        <f>IF([12]回答表!F18="水道事業",IF([12]回答表!AD51="●",[12]回答表!B354,""),"")</f>
        <v/>
      </c>
      <c r="V118" s="134"/>
      <c r="W118" s="134"/>
      <c r="X118" s="134"/>
      <c r="Y118" s="134"/>
      <c r="Z118" s="134"/>
      <c r="AA118" s="134"/>
      <c r="AB118" s="134"/>
      <c r="AC118" s="134"/>
      <c r="AD118" s="134"/>
      <c r="AE118" s="134"/>
      <c r="AF118" s="134"/>
      <c r="AG118" s="134"/>
      <c r="AH118" s="134"/>
      <c r="AI118" s="134"/>
      <c r="AJ118" s="135"/>
      <c r="AK118" s="189"/>
      <c r="AL118" s="189"/>
      <c r="AM118" s="133" t="str">
        <f>IF([12]回答表!F18="水道事業",IF([12]回答表!AD51="●",[12]回答表!B360,""),"")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IF([12]回答表!F18="簡易水道事業",IF([12]回答表!X51="●",[12]回答表!B197,IF([12]回答表!AA51="●",[12]回答表!B275,"")),"")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IF([12]回答表!F18="簡易水道事業",IF([12]回答表!X51="●",[12]回答表!B256,IF([12]回答表!AA51="●",[12]回答表!B335,"")),"")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IF([12]回答表!F18="簡易水道事業",IF([12]回答表!X51="●","●",""),"")</f>
        <v/>
      </c>
      <c r="O132" s="131"/>
      <c r="P132" s="131"/>
      <c r="Q132" s="132"/>
      <c r="R132" s="119"/>
      <c r="S132" s="119"/>
      <c r="T132" s="119"/>
      <c r="U132" s="82" t="str">
        <f>IF([12]回答表!F18="簡易水道事業",IF([12]回答表!X51="●",[12]回答表!S224,IF([12]回答表!AA51="●",[12]回答表!S304,"")),"")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IF([12]回答表!F18="簡易水道事業",IF([12]回答表!X51="●",[12]回答表!E256,IF([12]回答表!AA51="●",[12]回答表!E335,"")),"")</f>
        <v/>
      </c>
      <c r="BG133" s="151"/>
      <c r="BH133" s="151"/>
      <c r="BI133" s="151"/>
      <c r="BJ133" s="150" t="str">
        <f>IF([12]回答表!F18="簡易水道事業",IF([12]回答表!X51="●",[12]回答表!E257,IF([12]回答表!AA51="●",[12]回答表!E336,"")),"")</f>
        <v/>
      </c>
      <c r="BK133" s="151"/>
      <c r="BL133" s="151"/>
      <c r="BM133" s="151"/>
      <c r="BN133" s="150" t="str">
        <f>IF([12]回答表!F18="簡易水道事業",IF([12]回答表!X51="●",[12]回答表!E258,IF([12]回答表!AA51="●",[12]回答表!E337,"")),"")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IF([12]回答表!F18="簡易水道事業",IF([12]回答表!X51="●",[12]回答表!S225,IF([12]回答表!AA51="●",[12]回答表!S305,"")),"")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IF([12]回答表!F18="簡易水道事業",IF([12]回答表!AA51="●","●",""),"")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IF([12]回答表!F18="簡易水道事業",IF([12]回答表!X51="●",[12]回答表!S226,IF([12]回答表!AA51="●",[12]回答表!S306,"")),"")</f>
        <v/>
      </c>
      <c r="V142" s="83"/>
      <c r="W142" s="83"/>
      <c r="X142" s="83"/>
      <c r="Y142" s="83"/>
      <c r="Z142" s="83"/>
      <c r="AA142" s="83"/>
      <c r="AB142" s="83"/>
      <c r="AC142" s="83"/>
      <c r="AD142" s="83"/>
      <c r="AE142" s="83"/>
      <c r="AF142" s="83"/>
      <c r="AG142" s="83"/>
      <c r="AH142" s="83"/>
      <c r="AI142" s="83"/>
      <c r="AJ142" s="153"/>
      <c r="AK142" s="68"/>
      <c r="AL142" s="68"/>
      <c r="AM142" s="231" t="str">
        <f>IF([12]回答表!F18="簡易水道事業",IF([12]回答表!X51="●",[12]回答表!Y228,IF([12]回答表!AA51="●",[12]回答表!Y308,"")),"")</f>
        <v/>
      </c>
      <c r="AN142" s="231"/>
      <c r="AO142" s="231"/>
      <c r="AP142" s="231"/>
      <c r="AQ142" s="231"/>
      <c r="AR142" s="231"/>
      <c r="AS142" s="231" t="str">
        <f>IF([12]回答表!F18="簡易水道事業",IF([12]回答表!X51="●",[12]回答表!Y229,IF([12]回答表!AA51="●",[12]回答表!Y309,"")),"")</f>
        <v/>
      </c>
      <c r="AT142" s="231"/>
      <c r="AU142" s="231"/>
      <c r="AV142" s="231"/>
      <c r="AW142" s="231"/>
      <c r="AX142" s="231"/>
      <c r="AY142" s="231" t="str">
        <f>IF([12]回答表!F18="簡易水道事業",IF([12]回答表!X51="●",[12]回答表!Y230,IF([12]回答表!AA51="●",[12]回答表!Y310,"")),"")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IF([12]回答表!F18="簡易水道事業",IF([12]回答表!X51="●",[12]回答表!E265,IF([12]回答表!AA51="●",[12]回答表!E344,"")),"")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IF([12]回答表!F18="簡易水道事業",IF([12]回答表!X51="●",[12]回答表!B267,IF([12]回答表!AA51="●",[12]回答表!B346,"")),"")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IF([12]回答表!F18="簡易水道事業",IF([12]回答表!AD51="●","●",""),"")</f>
        <v/>
      </c>
      <c r="O154" s="131"/>
      <c r="P154" s="131"/>
      <c r="Q154" s="132"/>
      <c r="R154" s="119"/>
      <c r="S154" s="119"/>
      <c r="T154" s="119"/>
      <c r="U154" s="133" t="str">
        <f>IF([12]回答表!F18="簡易水道事業",IF([12]回答表!AD51="●",[12]回答表!B354,""),"")</f>
        <v/>
      </c>
      <c r="V154" s="134"/>
      <c r="W154" s="134"/>
      <c r="X154" s="134"/>
      <c r="Y154" s="134"/>
      <c r="Z154" s="134"/>
      <c r="AA154" s="134"/>
      <c r="AB154" s="134"/>
      <c r="AC154" s="134"/>
      <c r="AD154" s="134"/>
      <c r="AE154" s="134"/>
      <c r="AF154" s="134"/>
      <c r="AG154" s="134"/>
      <c r="AH154" s="134"/>
      <c r="AI154" s="134"/>
      <c r="AJ154" s="135"/>
      <c r="AK154" s="189"/>
      <c r="AL154" s="189"/>
      <c r="AM154" s="133" t="str">
        <f>IF([12]回答表!F18="簡易水道事業",IF([12]回答表!AD51="●",[12]回答表!B360,""),"")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IF([12]回答表!F18="下水道事業",IF([12]回答表!X51="●","●",""),"")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IF([12]回答表!F18="下水道事業",IF([12]回答表!X51="●",[12]回答表!B197,IF([12]回答表!AA51="●",[12]回答表!B275,"")),"")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IF([12]回答表!F18="下水道事業",IF([12]回答表!X51="●",[12]回答表!B256,IF([12]回答表!AA51="●",[12]回答表!B335,"")),"")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IF([12]回答表!F18="下水道事業",IF([12]回答表!X51="●",[12]回答表!N234,IF([12]回答表!AA51="●",[12]回答表!N314,"")),"")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IF([12]回答表!F18="下水道事業",IF([12]回答表!X51="●",[12]回答表!E256,IF([12]回答表!AA51="●",[12]回答表!E335,"")),"")</f>
        <v/>
      </c>
      <c r="BG169" s="151"/>
      <c r="BH169" s="151"/>
      <c r="BI169" s="151"/>
      <c r="BJ169" s="150" t="str">
        <f>IF([12]回答表!F18="下水道事業",IF([12]回答表!X51="●",[12]回答表!E257,IF([12]回答表!AA51="●",[12]回答表!E336,"")),"")</f>
        <v/>
      </c>
      <c r="BK169" s="151"/>
      <c r="BL169" s="151"/>
      <c r="BM169" s="151"/>
      <c r="BN169" s="150" t="str">
        <f>IF([12]回答表!F18="下水道事業",IF([12]回答表!X51="●",[12]回答表!E258,IF([12]回答表!AA51="●",[12]回答表!E337,"")),"")</f>
        <v/>
      </c>
      <c r="BO169" s="151"/>
      <c r="BP169" s="151"/>
      <c r="BQ169" s="152"/>
      <c r="BR169" s="112"/>
      <c r="BX169" s="234" t="str">
        <f>IF([12]回答表!AQ21="下水道事業",IF([12]回答表!BI54="○",[12]回答表!AM200,IF([12]回答表!BL54="○",[12]回答表!AM278,"")),"")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IF([12]回答表!F18="下水道事業",IF([12]回答表!X51="●",[12]回答表!Y236,IF([12]回答表!AA51="●",[12]回答表!Y316,"")),"")</f>
        <v/>
      </c>
      <c r="V174" s="83"/>
      <c r="W174" s="83"/>
      <c r="X174" s="83"/>
      <c r="Y174" s="83"/>
      <c r="Z174" s="83"/>
      <c r="AA174" s="83"/>
      <c r="AB174" s="153"/>
      <c r="AC174" s="82" t="str">
        <f>IF([12]回答表!F18="下水道事業",IF([12]回答表!X51="●",[12]回答表!Y237,IF([12]回答表!AA51="●",[12]回答表!Y317,"")),"")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IF([12]回答表!F18="下水道事業",IF([12]回答表!X51="●",[12]回答表!Y239,IF([12]回答表!AA51="●",[12]回答表!Y319,"")),"")</f>
        <v/>
      </c>
      <c r="V180" s="83"/>
      <c r="W180" s="83"/>
      <c r="X180" s="83"/>
      <c r="Y180" s="83"/>
      <c r="Z180" s="83"/>
      <c r="AA180" s="83"/>
      <c r="AB180" s="153"/>
      <c r="AC180" s="82" t="str">
        <f>IF([12]回答表!F18="下水道事業",IF([12]回答表!X51="●",[12]回答表!Y240,IF([12]回答表!AA51="●",[12]回答表!Y320,"")),"")</f>
        <v/>
      </c>
      <c r="AD180" s="83"/>
      <c r="AE180" s="83"/>
      <c r="AF180" s="83"/>
      <c r="AG180" s="83"/>
      <c r="AH180" s="83"/>
      <c r="AI180" s="83"/>
      <c r="AJ180" s="153"/>
      <c r="AK180" s="82" t="str">
        <f>IF([12]回答表!F18="下水道事業",IF([12]回答表!X51="●",[12]回答表!Y241,IF([12]回答表!AA51="●",[12]回答表!Y321,"")),"")</f>
        <v/>
      </c>
      <c r="AL180" s="83"/>
      <c r="AM180" s="83"/>
      <c r="AN180" s="83"/>
      <c r="AO180" s="83"/>
      <c r="AP180" s="83"/>
      <c r="AQ180" s="83"/>
      <c r="AR180" s="153"/>
      <c r="AS180" s="82" t="str">
        <f>IF([12]回答表!F18="下水道事業",IF([12]回答表!X51="●",[12]回答表!Y242,IF([12]回答表!AA51="●",[12]回答表!Y322,"")),"")</f>
        <v/>
      </c>
      <c r="AT180" s="83"/>
      <c r="AU180" s="83"/>
      <c r="AV180" s="83"/>
      <c r="AW180" s="83"/>
      <c r="AX180" s="83"/>
      <c r="AY180" s="83"/>
      <c r="AZ180" s="153"/>
      <c r="BA180" s="82" t="str">
        <f>IF([12]回答表!F18="下水道事業",IF([12]回答表!X51="●",[12]回答表!Y243,IF([12]回答表!AA51="●",[12]回答表!Y323,"")),"")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IF([12]回答表!F18="下水道事業",IF([12]回答表!AA51="●","●",""),"")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IF([12]回答表!F18="下水道事業",IF([12]回答表!X51="●",[12]回答表!N248,IF([12]回答表!AA51="●",[12]回答表!N328,"")),"")</f>
        <v/>
      </c>
      <c r="V186" s="83"/>
      <c r="W186" s="83"/>
      <c r="X186" s="83"/>
      <c r="Y186" s="83"/>
      <c r="Z186" s="83"/>
      <c r="AA186" s="83"/>
      <c r="AB186" s="153"/>
      <c r="AC186" s="82" t="str">
        <f>IF([12]回答表!F18="下水道事業",IF([12]回答表!X51="●",[12]回答表!N249,IF([12]回答表!AA51="●",[12]回答表!N329,"")),"")</f>
        <v/>
      </c>
      <c r="AD186" s="83"/>
      <c r="AE186" s="83"/>
      <c r="AF186" s="83"/>
      <c r="AG186" s="83"/>
      <c r="AH186" s="83"/>
      <c r="AI186" s="83"/>
      <c r="AJ186" s="153"/>
      <c r="AK186" s="82" t="str">
        <f>IF([12]回答表!F18="下水道事業",IF([12]回答表!X51="●",[12]回答表!N250,IF([12]回答表!AA51="●",[12]回答表!N330,"")),"")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IF([12]回答表!F18="下水道事業",IF([12]回答表!X51="●",[12]回答表!E265,IF([12]回答表!AA51="●",[12]回答表!E344,"")),"")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IF([12]回答表!F18="下水道事業",IF([12]回答表!X51="●",[12]回答表!B267,IF([12]回答表!AA51="●",[12]回答表!B346,"")),"")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IF([12]回答表!F18="下水道事業",IF([12]回答表!AD51="●","●",""),"")</f>
        <v/>
      </c>
      <c r="O198" s="131"/>
      <c r="P198" s="131"/>
      <c r="Q198" s="132"/>
      <c r="R198" s="119"/>
      <c r="S198" s="119"/>
      <c r="T198" s="119"/>
      <c r="U198" s="133" t="str">
        <f>IF([12]回答表!F18="下水道事業",IF([12]回答表!AD51="●",[12]回答表!B354,""),"")</f>
        <v/>
      </c>
      <c r="V198" s="134"/>
      <c r="W198" s="134"/>
      <c r="X198" s="134"/>
      <c r="Y198" s="134"/>
      <c r="Z198" s="134"/>
      <c r="AA198" s="134"/>
      <c r="AB198" s="134"/>
      <c r="AC198" s="134"/>
      <c r="AD198" s="134"/>
      <c r="AE198" s="134"/>
      <c r="AF198" s="134"/>
      <c r="AG198" s="134"/>
      <c r="AH198" s="134"/>
      <c r="AI198" s="134"/>
      <c r="AJ198" s="135"/>
      <c r="AK198" s="189"/>
      <c r="AL198" s="189"/>
      <c r="AM198" s="133" t="str">
        <f>IF([12]回答表!F18="下水道事業",IF([12]回答表!AD51="●",[12]回答表!B360,""),"")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IF([12]回答表!BD18="●",IF([12]回答表!X51="●","●",""),"")</f>
        <v/>
      </c>
      <c r="O210" s="131"/>
      <c r="P210" s="131"/>
      <c r="Q210" s="132"/>
      <c r="R210" s="119"/>
      <c r="S210" s="119"/>
      <c r="T210" s="119"/>
      <c r="U210" s="133" t="str">
        <f>IF([12]回答表!BD18="●",IF([12]回答表!X51="●",[12]回答表!B197,IF([12]回答表!AA51="●",[12]回答表!B275,"")),"")</f>
        <v/>
      </c>
      <c r="V210" s="134"/>
      <c r="W210" s="134"/>
      <c r="X210" s="134"/>
      <c r="Y210" s="134"/>
      <c r="Z210" s="134"/>
      <c r="AA210" s="134"/>
      <c r="AB210" s="134"/>
      <c r="AC210" s="134"/>
      <c r="AD210" s="134"/>
      <c r="AE210" s="134"/>
      <c r="AF210" s="134"/>
      <c r="AG210" s="134"/>
      <c r="AH210" s="134"/>
      <c r="AI210" s="134"/>
      <c r="AJ210" s="135"/>
      <c r="AK210" s="136"/>
      <c r="AL210" s="136"/>
      <c r="AM210" s="138" t="str">
        <f>IF([12]回答表!BD18="●",IF([12]回答表!X51="●",[12]回答表!B256,IF([12]回答表!AA51="●",[12]回答表!B335,"")),"")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IF([12]回答表!BD18="●",IF([12]回答表!X51="●",[12]回答表!E256,IF([12]回答表!AA51="●",[12]回答表!E335,"")),"")</f>
        <v/>
      </c>
      <c r="AN213" s="151"/>
      <c r="AO213" s="151"/>
      <c r="AP213" s="151"/>
      <c r="AQ213" s="150" t="str">
        <f>IF([12]回答表!BD18="●",IF([12]回答表!X51="●",[12]回答表!E257,IF([12]回答表!AA51="●",[12]回答表!E336,"")),"")</f>
        <v/>
      </c>
      <c r="AR213" s="151"/>
      <c r="AS213" s="151"/>
      <c r="AT213" s="151"/>
      <c r="AU213" s="150" t="str">
        <f>IF([12]回答表!BD18="●",IF([12]回答表!X51="●",[12]回答表!E258,IF([12]回答表!AA51="●",[12]回答表!E337,"")),"")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IF([12]回答表!BD18="●",IF([12]回答表!AA51="●","●",""),"")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IF([12]回答表!BD18="●",IF([12]回答表!X51="●",[12]回答表!E265,IF([12]回答表!AA51="●",[12]回答表!E344,"")),"")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IF([12]回答表!BD18="●",IF([12]回答表!X51="●",[12]回答表!B267,IF([12]回答表!AA51="●",[12]回答表!B346,"")),"")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IF([12]回答表!BD18="●",IF([12]回答表!AD51="●","●",""),"")</f>
        <v/>
      </c>
      <c r="O229" s="131"/>
      <c r="P229" s="131"/>
      <c r="Q229" s="132"/>
      <c r="R229" s="119"/>
      <c r="S229" s="119"/>
      <c r="T229" s="119"/>
      <c r="U229" s="133" t="str">
        <f>IF([12]回答表!BD18="●",IF([12]回答表!AD51="●",[12]回答表!B354,""),"")</f>
        <v/>
      </c>
      <c r="V229" s="134"/>
      <c r="W229" s="134"/>
      <c r="X229" s="134"/>
      <c r="Y229" s="134"/>
      <c r="Z229" s="134"/>
      <c r="AA229" s="134"/>
      <c r="AB229" s="134"/>
      <c r="AC229" s="134"/>
      <c r="AD229" s="134"/>
      <c r="AE229" s="134"/>
      <c r="AF229" s="134"/>
      <c r="AG229" s="134"/>
      <c r="AH229" s="134"/>
      <c r="AI229" s="134"/>
      <c r="AJ229" s="135"/>
      <c r="AK229" s="249"/>
      <c r="AL229" s="249"/>
      <c r="AM229" s="133" t="str">
        <f>IF([12]回答表!BD18="●",IF([12]回答表!AD51="●",[12]回答表!B360,""),"")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IF([12]回答表!X52="●","●","")</f>
        <v/>
      </c>
      <c r="O241" s="131"/>
      <c r="P241" s="131"/>
      <c r="Q241" s="132"/>
      <c r="R241" s="119"/>
      <c r="S241" s="119"/>
      <c r="T241" s="119"/>
      <c r="U241" s="133" t="str">
        <f>IF([12]回答表!X52="●",[12]回答表!B371,IF([12]回答表!AA52="●",[12]回答表!B396,""))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IF([12]回答表!X52="●",[12]回答表!U377,IF([12]回答表!AA52="●",[12]回答表!U402,""))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IF([12]回答表!X52="●",[12]回答表!G377,IF([12]回答表!AA52="●",[12]回答表!G402,""))</f>
        <v/>
      </c>
      <c r="AN244" s="83"/>
      <c r="AO244" s="83"/>
      <c r="AP244" s="83"/>
      <c r="AQ244" s="83"/>
      <c r="AR244" s="83"/>
      <c r="AS244" s="83"/>
      <c r="AT244" s="153"/>
      <c r="AU244" s="82" t="str">
        <f>IF([12]回答表!X52="●",[12]回答表!G378,IF([12]回答表!AA52="●",[12]回答表!G403,""))</f>
        <v/>
      </c>
      <c r="AV244" s="83"/>
      <c r="AW244" s="83"/>
      <c r="AX244" s="83"/>
      <c r="AY244" s="83"/>
      <c r="AZ244" s="83"/>
      <c r="BA244" s="83"/>
      <c r="BB244" s="153"/>
      <c r="BC244" s="120"/>
      <c r="BD244" s="109"/>
      <c r="BE244" s="109"/>
      <c r="BF244" s="150" t="str">
        <f>IF([12]回答表!X52="●",[12]回答表!X377,IF([12]回答表!AA52="●",[12]回答表!X402,""))</f>
        <v/>
      </c>
      <c r="BG244" s="151"/>
      <c r="BH244" s="151"/>
      <c r="BI244" s="151"/>
      <c r="BJ244" s="150" t="str">
        <f>IF([12]回答表!X52="●",[12]回答表!X378,IF([12]回答表!AA52="●",[12]回答表!X403,""))</f>
        <v/>
      </c>
      <c r="BK244" s="151"/>
      <c r="BL244" s="151"/>
      <c r="BM244" s="152"/>
      <c r="BN244" s="150" t="str">
        <f>IF([12]回答表!X52="●",[12]回答表!X379,IF([12]回答表!AA52="●",[12]回答表!X404,""))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IF([12]回答表!AA52="●","●","")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IF([12]回答表!X52="●",[12]回答表!E386,IF([12]回答表!AA52="●",[12]回答表!E407,""))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IF([12]回答表!X52="●",[12]回答表!B388,IF([12]回答表!AA52="●",[12]回答表!B409,""))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IF([12]回答表!AD52="●","●","")</f>
        <v/>
      </c>
      <c r="O260" s="131"/>
      <c r="P260" s="131"/>
      <c r="Q260" s="132"/>
      <c r="R260" s="119"/>
      <c r="S260" s="119"/>
      <c r="T260" s="119"/>
      <c r="U260" s="133" t="str">
        <f>IF([12]回答表!AD52="●",[12]回答表!B417,"")</f>
        <v/>
      </c>
      <c r="V260" s="134"/>
      <c r="W260" s="134"/>
      <c r="X260" s="134"/>
      <c r="Y260" s="134"/>
      <c r="Z260" s="134"/>
      <c r="AA260" s="134"/>
      <c r="AB260" s="134"/>
      <c r="AC260" s="134"/>
      <c r="AD260" s="134"/>
      <c r="AE260" s="134"/>
      <c r="AF260" s="134"/>
      <c r="AG260" s="134"/>
      <c r="AH260" s="134"/>
      <c r="AI260" s="134"/>
      <c r="AJ260" s="135"/>
      <c r="AK260" s="249"/>
      <c r="AL260" s="249"/>
      <c r="AM260" s="133" t="str">
        <f>IF([12]回答表!AD52="●",[12]回答表!B423,"")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IF([12]回答表!X53="●","●","")</f>
        <v>●</v>
      </c>
      <c r="O272" s="131"/>
      <c r="P272" s="131"/>
      <c r="Q272" s="132"/>
      <c r="R272" s="119"/>
      <c r="S272" s="119"/>
      <c r="T272" s="119"/>
      <c r="U272" s="133" t="str">
        <f>IF([12]回答表!X53="●",[12]回答表!B434,IF([12]回答表!AA53="●",[12]回答表!B465,""))</f>
        <v>上下水道料金等関連業務について、事業提案型プロポーザル方式により委託者を選定し、委託契約を締結した。（期間５年）</v>
      </c>
      <c r="V272" s="134"/>
      <c r="W272" s="134"/>
      <c r="X272" s="134"/>
      <c r="Y272" s="134"/>
      <c r="Z272" s="134"/>
      <c r="AA272" s="134"/>
      <c r="AB272" s="134"/>
      <c r="AC272" s="134"/>
      <c r="AD272" s="134"/>
      <c r="AE272" s="134"/>
      <c r="AF272" s="134"/>
      <c r="AG272" s="134"/>
      <c r="AH272" s="134"/>
      <c r="AI272" s="134"/>
      <c r="AJ272" s="135"/>
      <c r="AK272" s="136"/>
      <c r="AL272" s="136"/>
      <c r="AM272" s="136"/>
      <c r="AN272" s="133" t="str">
        <f>IF([12]回答表!X53="●",[12]回答表!B440,"")</f>
        <v>窓口業務、検針調定業務、収納業務、還付業務、滞納整理業務、電算処理業務（料金システムを含む）、メーター交換業務、その他付帯業務　</v>
      </c>
      <c r="AO272" s="262"/>
      <c r="AP272" s="262"/>
      <c r="AQ272" s="262"/>
      <c r="AR272" s="262"/>
      <c r="AS272" s="262"/>
      <c r="AT272" s="262"/>
      <c r="AU272" s="262"/>
      <c r="AV272" s="262"/>
      <c r="AW272" s="262"/>
      <c r="AX272" s="262"/>
      <c r="AY272" s="262"/>
      <c r="AZ272" s="262"/>
      <c r="BA272" s="262"/>
      <c r="BB272" s="263"/>
      <c r="BC272" s="120"/>
      <c r="BD272" s="109"/>
      <c r="BE272" s="109"/>
      <c r="BF272" s="138" t="str">
        <f>IF([12]回答表!X53="●",[12]回答表!B446,IF([12]回答表!AA53="●",[12]回答表!B471,""))</f>
        <v>平成</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f>IF([12]回答表!X53="●",[12]回答表!E446,IF([12]回答表!AA53="●",[12]回答表!E471,""))</f>
        <v>22</v>
      </c>
      <c r="BG275" s="151"/>
      <c r="BH275" s="151"/>
      <c r="BI275" s="151"/>
      <c r="BJ275" s="150">
        <f>IF([12]回答表!X53="●",[12]回答表!E447,IF([12]回答表!AA53="●",[12]回答表!E472,""))</f>
        <v>11</v>
      </c>
      <c r="BK275" s="151"/>
      <c r="BL275" s="151"/>
      <c r="BM275" s="152"/>
      <c r="BN275" s="150">
        <f>IF([12]回答表!X53="●",[12]回答表!E448,IF([12]回答表!AA53="●",[12]回答表!E473,""))</f>
        <v>30</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IF([12]回答表!AA53="●","●","")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f>IF([12]回答表!X53="●",[12]回答表!E455,IF([12]回答表!AA53="●",[12]回答表!E476,""))</f>
        <v>0</v>
      </c>
      <c r="V284" s="182"/>
      <c r="W284" s="182"/>
      <c r="X284" s="182"/>
      <c r="Y284" s="182"/>
      <c r="Z284" s="182"/>
      <c r="AA284" s="182"/>
      <c r="AB284" s="182"/>
      <c r="AC284" s="182"/>
      <c r="AD284" s="182"/>
      <c r="AE284" s="183" t="s">
        <v>33</v>
      </c>
      <c r="AF284" s="183"/>
      <c r="AG284" s="183"/>
      <c r="AH284" s="183"/>
      <c r="AI284" s="183"/>
      <c r="AJ284" s="184"/>
      <c r="AK284" s="136"/>
      <c r="AL284" s="136"/>
      <c r="AM284" s="133">
        <f>IF([12]回答表!X53="●",[12]回答表!B457,IF([12]回答表!AA53="●",[12]回答表!B478,""))</f>
        <v>0</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IF([12]回答表!AD53="●","●","")</f>
        <v/>
      </c>
      <c r="O291" s="131"/>
      <c r="P291" s="131"/>
      <c r="Q291" s="132"/>
      <c r="R291" s="119"/>
      <c r="S291" s="119"/>
      <c r="T291" s="119"/>
      <c r="U291" s="133" t="str">
        <f>IF([12]回答表!AD53="●",[12]回答表!B486,"")</f>
        <v/>
      </c>
      <c r="V291" s="134"/>
      <c r="W291" s="134"/>
      <c r="X291" s="134"/>
      <c r="Y291" s="134"/>
      <c r="Z291" s="134"/>
      <c r="AA291" s="134"/>
      <c r="AB291" s="134"/>
      <c r="AC291" s="134"/>
      <c r="AD291" s="134"/>
      <c r="AE291" s="134"/>
      <c r="AF291" s="134"/>
      <c r="AG291" s="134"/>
      <c r="AH291" s="134"/>
      <c r="AI291" s="134"/>
      <c r="AJ291" s="135"/>
      <c r="AK291" s="249"/>
      <c r="AL291" s="249"/>
      <c r="AM291" s="133" t="str">
        <f>IF([12]回答表!AD53="●",[12]回答表!B492,"")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IF([12]回答表!X54="●","●","")</f>
        <v/>
      </c>
      <c r="O303" s="131"/>
      <c r="P303" s="131"/>
      <c r="Q303" s="132"/>
      <c r="R303" s="119"/>
      <c r="S303" s="119"/>
      <c r="T303" s="119"/>
      <c r="U303" s="133" t="str">
        <f>IF([12]回答表!X54="●",[12]回答表!B503,IF([12]回答表!AA54="●",[12]回答表!B526,""))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IF([12]回答表!X54="●",[12]回答表!BC510,IF([12]回答表!AA54="●",[12]回答表!BC533,""))</f>
        <v/>
      </c>
      <c r="AR303" s="271"/>
      <c r="AS303" s="271"/>
      <c r="AT303" s="271"/>
      <c r="AU303" s="272" t="s">
        <v>74</v>
      </c>
      <c r="AV303" s="273"/>
      <c r="AW303" s="273"/>
      <c r="AX303" s="274"/>
      <c r="AY303" s="271" t="str">
        <f>IF([12]回答表!X54="●",[12]回答表!BC515,IF([12]回答表!AA54="●",[12]回答表!BC538,""))</f>
        <v/>
      </c>
      <c r="AZ303" s="271"/>
      <c r="BA303" s="271"/>
      <c r="BB303" s="271"/>
      <c r="BC303" s="120"/>
      <c r="BD303" s="109"/>
      <c r="BE303" s="109"/>
      <c r="BF303" s="138" t="str">
        <f>IF([12]回答表!X54="●",[12]回答表!S509,IF([12]回答表!AA54="●",[12]回答表!S532,""))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IF([12]回答表!X54="●",[12]回答表!BC511,IF([12]回答表!AA54="●",[12]回答表!BC534,""))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IF([12]回答表!X54="●",[12]回答表!V509,IF([12]回答表!AA54="●",[12]回答表!V532,""))</f>
        <v/>
      </c>
      <c r="BG306" s="151"/>
      <c r="BH306" s="151"/>
      <c r="BI306" s="151"/>
      <c r="BJ306" s="150" t="str">
        <f>IF([12]回答表!X54="●",[12]回答表!V510,IF([12]回答表!AA54="●",[12]回答表!V533,""))</f>
        <v/>
      </c>
      <c r="BK306" s="151"/>
      <c r="BL306" s="151"/>
      <c r="BM306" s="152"/>
      <c r="BN306" s="150" t="str">
        <f>IF([12]回答表!X54="●",[12]回答表!V511,IF([12]回答表!AA54="●",[12]回答表!V534,""))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IF([12]回答表!X54="●",[12]回答表!BC512,IF([12]回答表!AA54="●",[12]回答表!BC535,""))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IF([12]回答表!X54="●",[12]回答表!BC516,IF([12]回答表!AA54="●",[12]回答表!BC539,""))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IF([12]回答表!AA54="●","●","")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IF([12]回答表!X54="●",[12]回答表!BC513,IF([12]回答表!AA54="●",[12]回答表!BC536,""))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IF([12]回答表!X54="●",[12]回答表!BC514,IF([12]回答表!AA54="●",[12]回答表!BC537,""))</f>
        <v/>
      </c>
      <c r="AR311" s="271"/>
      <c r="AS311" s="271"/>
      <c r="AT311" s="271"/>
      <c r="AU311" s="222" t="s">
        <v>80</v>
      </c>
      <c r="AV311" s="223"/>
      <c r="AW311" s="223"/>
      <c r="AX311" s="224"/>
      <c r="AY311" s="281" t="str">
        <f>IF([12]回答表!X54="●",[12]回答表!BC517,IF([12]回答表!AA54="●",[12]回答表!BC540,""))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IF([12]回答表!X54="●",[12]回答表!E516,IF([12]回答表!AA54="●",[12]回答表!E538,""))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IF([12]回答表!X54="●",[12]回答表!B518,IF([12]回答表!AA54="●",[12]回答表!B540,""))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IF([12]回答表!AD54="●","●","")</f>
        <v/>
      </c>
      <c r="O322" s="131"/>
      <c r="P322" s="131"/>
      <c r="Q322" s="132"/>
      <c r="R322" s="119"/>
      <c r="S322" s="119"/>
      <c r="T322" s="119"/>
      <c r="U322" s="133" t="str">
        <f>IF([12]回答表!AD54="●",[12]回答表!B548,"")</f>
        <v/>
      </c>
      <c r="V322" s="134"/>
      <c r="W322" s="134"/>
      <c r="X322" s="134"/>
      <c r="Y322" s="134"/>
      <c r="Z322" s="134"/>
      <c r="AA322" s="134"/>
      <c r="AB322" s="134"/>
      <c r="AC322" s="134"/>
      <c r="AD322" s="134"/>
      <c r="AE322" s="134"/>
      <c r="AF322" s="134"/>
      <c r="AG322" s="134"/>
      <c r="AH322" s="134"/>
      <c r="AI322" s="134"/>
      <c r="AJ322" s="135"/>
      <c r="AK322" s="189"/>
      <c r="AL322" s="189"/>
      <c r="AM322" s="133" t="str">
        <f>IF([12]回答表!AD54="●",[12]回答表!B554,"")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IF([12]回答表!X55="●","●","")</f>
        <v/>
      </c>
      <c r="O333" s="131"/>
      <c r="P333" s="131"/>
      <c r="Q333" s="132"/>
      <c r="R333" s="119"/>
      <c r="S333" s="119"/>
      <c r="T333" s="119"/>
      <c r="U333" s="133" t="str">
        <f>IF([12]回答表!X55="●",[12]回答表!B565,IF([12]回答表!AA55="●",[12]回答表!B590,""))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IF([12]回答表!X55="●",[12]回答表!B575,IF([12]回答表!AA55="●",[12]回答表!B600,""))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IF([12]回答表!X55="●",[12]回答表!G571,IF([12]回答表!AA55="●",[12]回答表!G596,""))</f>
        <v/>
      </c>
      <c r="AN335" s="83"/>
      <c r="AO335" s="83"/>
      <c r="AP335" s="83"/>
      <c r="AQ335" s="83"/>
      <c r="AR335" s="83"/>
      <c r="AS335" s="83"/>
      <c r="AT335" s="153"/>
      <c r="AU335" s="82" t="str">
        <f>IF([12]回答表!X55="●",[12]回答表!G572,IF([12]回答表!AA55="●",[12]回答表!G597,""))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IF([12]回答表!X55="●",[12]回答表!E575,IF([12]回答表!AA55="●",[12]回答表!E600,""))</f>
        <v/>
      </c>
      <c r="BG336" s="151"/>
      <c r="BH336" s="151"/>
      <c r="BI336" s="151"/>
      <c r="BJ336" s="150" t="str">
        <f>IF([12]回答表!X55="●",[12]回答表!E576,IF([12]回答表!AA55="●",[12]回答表!E601,""))</f>
        <v/>
      </c>
      <c r="BK336" s="151"/>
      <c r="BL336" s="151"/>
      <c r="BM336" s="152"/>
      <c r="BN336" s="150" t="str">
        <f>IF([12]回答表!X55="●",[12]回答表!E577,IF([12]回答表!AA55="●",[12]回答表!E602,""))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IF([12]回答表!AA55="●","●","")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IF([12]回答表!X55="●",[12]回答表!E580,IF([12]回答表!AA55="●",[12]回答表!E605,""))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IF([12]回答表!X55="●",[12]回答表!B582,IF([12]回答表!AA55="●",[12]回答表!B607,""))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IF([12]回答表!AD55="●","●","")</f>
        <v/>
      </c>
      <c r="O352" s="131"/>
      <c r="P352" s="131"/>
      <c r="Q352" s="132"/>
      <c r="R352" s="119"/>
      <c r="S352" s="119"/>
      <c r="T352" s="119"/>
      <c r="U352" s="133" t="str">
        <f>IF([12]回答表!AD55="●",[12]回答表!B615,"")</f>
        <v/>
      </c>
      <c r="V352" s="134"/>
      <c r="W352" s="134"/>
      <c r="X352" s="134"/>
      <c r="Y352" s="134"/>
      <c r="Z352" s="134"/>
      <c r="AA352" s="134"/>
      <c r="AB352" s="134"/>
      <c r="AC352" s="134"/>
      <c r="AD352" s="134"/>
      <c r="AE352" s="134"/>
      <c r="AF352" s="134"/>
      <c r="AG352" s="134"/>
      <c r="AH352" s="134"/>
      <c r="AI352" s="134"/>
      <c r="AJ352" s="135"/>
      <c r="AK352" s="136"/>
      <c r="AL352" s="136"/>
      <c r="AM352" s="133" t="str">
        <f>IF([12]回答表!AD55="●",[12]回答表!B621,"")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IF([12]回答表!R56="●",[12]回答表!B634,"")</f>
        <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3" priority="2">
      <formula>$BB$25="○"</formula>
    </cfRule>
  </conditionalFormatting>
  <conditionalFormatting sqref="BD28:BD30">
    <cfRule type="expression" dxfId="2" priority="1">
      <formula>$BB$25="○"</formula>
    </cfRule>
  </conditionalFormatting>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9CD12-A1A5-406A-9FD2-A07B3A61122D}">
  <dimension ref="A1:CN384"/>
  <sheetViews>
    <sheetView tabSelected="1" workbookViewId="0">
      <selection sqref="A1:XFD1048576"/>
    </sheetView>
  </sheetViews>
  <sheetFormatPr defaultColWidth="2.875" defaultRowHeight="12.6" customHeight="1"/>
  <cols>
    <col min="1" max="25" width="2.625" customWidth="1"/>
    <col min="26" max="26" width="2.125" customWidth="1"/>
    <col min="27" max="27" width="2.625" hidden="1" customWidth="1"/>
    <col min="28" max="28" width="4.625" customWidth="1"/>
    <col min="29" max="34" width="2.625" customWidth="1"/>
    <col min="35" max="35" width="0.125" customWidth="1"/>
    <col min="36" max="37" width="4.625" customWidth="1"/>
    <col min="38" max="71" width="2.6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IF(COUNTIF([13]回答表!K16,"*")&gt;0,[13]回答表!K16,"")</f>
        <v>横手市</v>
      </c>
      <c r="D11" s="8"/>
      <c r="E11" s="8"/>
      <c r="F11" s="8"/>
      <c r="G11" s="8"/>
      <c r="H11" s="8"/>
      <c r="I11" s="8"/>
      <c r="J11" s="8"/>
      <c r="K11" s="8"/>
      <c r="L11" s="8"/>
      <c r="M11" s="8"/>
      <c r="N11" s="8"/>
      <c r="O11" s="8"/>
      <c r="P11" s="8"/>
      <c r="Q11" s="8"/>
      <c r="R11" s="8"/>
      <c r="S11" s="8"/>
      <c r="T11" s="8"/>
      <c r="U11" s="22" t="str">
        <f>IF(COUNTIF([13]回答表!F18,"*")&gt;0,[13]回答表!F18,"")</f>
        <v>下水道事業</v>
      </c>
      <c r="V11" s="23"/>
      <c r="W11" s="23"/>
      <c r="X11" s="23"/>
      <c r="Y11" s="23"/>
      <c r="Z11" s="23"/>
      <c r="AA11" s="23"/>
      <c r="AB11" s="23"/>
      <c r="AC11" s="23"/>
      <c r="AD11" s="23"/>
      <c r="AE11" s="23"/>
      <c r="AF11" s="10"/>
      <c r="AG11" s="10"/>
      <c r="AH11" s="10"/>
      <c r="AI11" s="10"/>
      <c r="AJ11" s="10"/>
      <c r="AK11" s="10"/>
      <c r="AL11" s="10"/>
      <c r="AM11" s="10"/>
      <c r="AN11" s="11"/>
      <c r="AO11" s="24" t="str">
        <f>IF(COUNTIF([13]回答表!W18,"*")&gt;0,[13]回答表!W18,"")</f>
        <v>公共下水道</v>
      </c>
      <c r="AP11" s="10"/>
      <c r="AQ11" s="10"/>
      <c r="AR11" s="10"/>
      <c r="AS11" s="10"/>
      <c r="AT11" s="10"/>
      <c r="AU11" s="10"/>
      <c r="AV11" s="10"/>
      <c r="AW11" s="10"/>
      <c r="AX11" s="10"/>
      <c r="AY11" s="10"/>
      <c r="AZ11" s="10"/>
      <c r="BA11" s="10"/>
      <c r="BB11" s="10"/>
      <c r="BC11" s="10"/>
      <c r="BD11" s="10"/>
      <c r="BE11" s="10"/>
      <c r="BF11" s="11"/>
      <c r="BG11" s="21" t="str">
        <f>IF(COUNTIF([13]回答表!F20,"*")&gt;0,[13]回答表!F20,"")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IF([13]回答表!R49="●","●","")</f>
        <v/>
      </c>
      <c r="E24" s="80"/>
      <c r="F24" s="80"/>
      <c r="G24" s="80"/>
      <c r="H24" s="80"/>
      <c r="I24" s="80"/>
      <c r="J24" s="81"/>
      <c r="K24" s="79" t="str">
        <f>IF([13]回答表!R50="●","●","")</f>
        <v/>
      </c>
      <c r="L24" s="80"/>
      <c r="M24" s="80"/>
      <c r="N24" s="80"/>
      <c r="O24" s="80"/>
      <c r="P24" s="80"/>
      <c r="Q24" s="81"/>
      <c r="R24" s="79" t="str">
        <f>IF([13]回答表!R51="●","●","")</f>
        <v>●</v>
      </c>
      <c r="S24" s="80"/>
      <c r="T24" s="80"/>
      <c r="U24" s="80"/>
      <c r="V24" s="80"/>
      <c r="W24" s="80"/>
      <c r="X24" s="81"/>
      <c r="Y24" s="79" t="str">
        <f>IF([13]回答表!R52="●","●","")</f>
        <v/>
      </c>
      <c r="Z24" s="80"/>
      <c r="AA24" s="80"/>
      <c r="AB24" s="80"/>
      <c r="AC24" s="80"/>
      <c r="AD24" s="80"/>
      <c r="AE24" s="81"/>
      <c r="AF24" s="79" t="str">
        <f>IF([13]回答表!R53="●","●","")</f>
        <v>●</v>
      </c>
      <c r="AG24" s="80"/>
      <c r="AH24" s="80"/>
      <c r="AI24" s="80"/>
      <c r="AJ24" s="80"/>
      <c r="AK24" s="80"/>
      <c r="AL24" s="81"/>
      <c r="AM24" s="79" t="str">
        <f>IF([13]回答表!R54="●","●","")</f>
        <v/>
      </c>
      <c r="AN24" s="80"/>
      <c r="AO24" s="80"/>
      <c r="AP24" s="80"/>
      <c r="AQ24" s="80"/>
      <c r="AR24" s="80"/>
      <c r="AS24" s="81"/>
      <c r="AT24" s="79" t="str">
        <f>IF([13]回答表!R55="●","●","")</f>
        <v/>
      </c>
      <c r="AU24" s="80"/>
      <c r="AV24" s="80"/>
      <c r="AW24" s="80"/>
      <c r="AX24" s="80"/>
      <c r="AY24" s="80"/>
      <c r="AZ24" s="81"/>
      <c r="BA24" s="68"/>
      <c r="BB24" s="82" t="str">
        <f>IF([13]回答表!R56="●","●","")</f>
        <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IF([13]回答表!X49="●","●","")</f>
        <v/>
      </c>
      <c r="O36" s="131"/>
      <c r="P36" s="131"/>
      <c r="Q36" s="132"/>
      <c r="R36" s="119"/>
      <c r="S36" s="119"/>
      <c r="T36" s="119"/>
      <c r="U36" s="133" t="str">
        <f>IF([13]回答表!X49="●",[13]回答表!B67,IF([13]回答表!AA49="●",[13]回答表!B95,""))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IF([13]回答表!X49="●",[13]回答表!S73,IF([13]回答表!AA49="●",[13]回答表!S101,""))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IF([13]回答表!X49="●",[13]回答表!G73,IF([13]回答表!AA49="●",[13]回答表!G101,""))</f>
        <v/>
      </c>
      <c r="AN38" s="83"/>
      <c r="AO38" s="83"/>
      <c r="AP38" s="83"/>
      <c r="AQ38" s="83"/>
      <c r="AR38" s="83"/>
      <c r="AS38" s="83"/>
      <c r="AT38" s="153"/>
      <c r="AU38" s="82" t="str">
        <f>IF([13]回答表!X49="●",[13]回答表!G74,IF([13]回答表!AA49="●",[13]回答表!G102,""))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IF([13]回答表!X49="●",[13]回答表!V73,IF([13]回答表!AA49="●",[13]回答表!V101,""))</f>
        <v/>
      </c>
      <c r="BG39" s="16"/>
      <c r="BH39" s="16"/>
      <c r="BI39" s="17"/>
      <c r="BJ39" s="150" t="str">
        <f>IF([13]回答表!X49="●",[13]回答表!V74,IF([13]回答表!AA49="●",[13]回答表!V102,""))</f>
        <v/>
      </c>
      <c r="BK39" s="16"/>
      <c r="BL39" s="16"/>
      <c r="BM39" s="17"/>
      <c r="BN39" s="150" t="str">
        <f>IF([13]回答表!X49="●",[13]回答表!V75,IF([13]回答表!AA49="●",[13]回答表!V103,""))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IF([13]回答表!X49="●",[13]回答表!O79,IF([13]回答表!AA49="●",[13]回答表!O107,""))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IF([13]回答表!X49="●",[13]回答表!O80,IF([13]回答表!AA49="●",[13]回答表!O108,""))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IF([13]回答表!AA49="●","●","")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IF([13]回答表!X49="●",[13]回答表!O81,IF([13]回答表!AA49="●",[13]回答表!O109,""))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IF([13]回答表!X49="●",[13]回答表!O82,IF([13]回答表!AA49="●",[13]回答表!O110,""))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IF([13]回答表!X49="●",[13]回答表!AG79,IF([13]回答表!AA49="●",[13]回答表!AG107,""))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IF([13]回答表!X49="●",[13]回答表!AG80,IF([13]回答表!AA49="●",[13]回答表!AG108,""))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IF([13]回答表!X49="●",[13]回答表!E85,IF([13]回答表!AA49="●",[13]回答表!E113,""))</f>
        <v/>
      </c>
      <c r="V50" s="182"/>
      <c r="W50" s="182"/>
      <c r="X50" s="182"/>
      <c r="Y50" s="182"/>
      <c r="Z50" s="182"/>
      <c r="AA50" s="182"/>
      <c r="AB50" s="182"/>
      <c r="AC50" s="182"/>
      <c r="AD50" s="182"/>
      <c r="AE50" s="183" t="s">
        <v>33</v>
      </c>
      <c r="AF50" s="183"/>
      <c r="AG50" s="183"/>
      <c r="AH50" s="183"/>
      <c r="AI50" s="183"/>
      <c r="AJ50" s="184"/>
      <c r="AK50" s="136"/>
      <c r="AL50" s="136"/>
      <c r="AM50" s="133" t="str">
        <f>IF([13]回答表!X49="●",[13]回答表!B87,IF([13]回答表!AA49="●",[13]回答表!B115,""))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IF([13]回答表!AD49="●","●","")</f>
        <v/>
      </c>
      <c r="O57" s="131"/>
      <c r="P57" s="131"/>
      <c r="Q57" s="132"/>
      <c r="R57" s="119"/>
      <c r="S57" s="119"/>
      <c r="T57" s="119"/>
      <c r="U57" s="133" t="str">
        <f>IF([13]回答表!AD49="●",[13]回答表!B123,"")</f>
        <v/>
      </c>
      <c r="V57" s="134"/>
      <c r="W57" s="134"/>
      <c r="X57" s="134"/>
      <c r="Y57" s="134"/>
      <c r="Z57" s="134"/>
      <c r="AA57" s="134"/>
      <c r="AB57" s="134"/>
      <c r="AC57" s="134"/>
      <c r="AD57" s="134"/>
      <c r="AE57" s="134"/>
      <c r="AF57" s="134"/>
      <c r="AG57" s="134"/>
      <c r="AH57" s="134"/>
      <c r="AI57" s="134"/>
      <c r="AJ57" s="135"/>
      <c r="AK57" s="189"/>
      <c r="AL57" s="189"/>
      <c r="AM57" s="133" t="str">
        <f>IF([13]回答表!AD49="●",[13]回答表!B128,"")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IF([13]回答表!X50="●","●","")</f>
        <v/>
      </c>
      <c r="O68" s="131"/>
      <c r="P68" s="131"/>
      <c r="Q68" s="132"/>
      <c r="R68" s="119"/>
      <c r="S68" s="119"/>
      <c r="T68" s="119"/>
      <c r="U68" s="133" t="str">
        <f>IF([13]回答表!X50="●",[13]回答表!B138,IF([13]回答表!AA50="●",[13]回答表!B159,""))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IF([13]回答表!X50="●",[13]回答表!S144,IF([13]回答表!AA50="●",[13]回答表!S165,""))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IF([13]回答表!X50="●",[13]回答表!J144,IF([13]回答表!AA50="●",[13]回答表!J165,""))</f>
        <v/>
      </c>
      <c r="AN71" s="83"/>
      <c r="AO71" s="83"/>
      <c r="AP71" s="83"/>
      <c r="AQ71" s="83"/>
      <c r="AR71" s="83"/>
      <c r="AS71" s="83"/>
      <c r="AT71" s="153"/>
      <c r="AU71" s="82" t="str">
        <f>IF([13]回答表!X50="●",[13]回答表!J145,IF([13]回答表!AA50="●",[13]回答表!J166,""))</f>
        <v/>
      </c>
      <c r="AV71" s="83"/>
      <c r="AW71" s="83"/>
      <c r="AX71" s="83"/>
      <c r="AY71" s="83"/>
      <c r="AZ71" s="83"/>
      <c r="BA71" s="83"/>
      <c r="BB71" s="153"/>
      <c r="BC71" s="120"/>
      <c r="BD71" s="109"/>
      <c r="BE71" s="109"/>
      <c r="BF71" s="150" t="str">
        <f>IF([13]回答表!X50="●",[13]回答表!V144,IF([13]回答表!AA50="●",[13]回答表!V165,""))</f>
        <v/>
      </c>
      <c r="BG71" s="151"/>
      <c r="BH71" s="151"/>
      <c r="BI71" s="151"/>
      <c r="BJ71" s="150" t="str">
        <f>IF([13]回答表!X50="●",[13]回答表!V145,IF([13]回答表!AA50="●",[13]回答表!V166,""))</f>
        <v/>
      </c>
      <c r="BK71" s="151"/>
      <c r="BL71" s="151"/>
      <c r="BM71" s="151"/>
      <c r="BN71" s="150" t="str">
        <f>IF([13]回答表!X50="●",[13]回答表!V146,IF([13]回答表!AA50="●",[13]回答表!V167,""))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IF([13]回答表!AA50="●","●","")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IF([13]回答表!X50="●",[13]回答表!E149,IF([13]回答表!AA50="●",[13]回答表!E170,""))</f>
        <v/>
      </c>
      <c r="V80" s="182"/>
      <c r="W80" s="182"/>
      <c r="X80" s="182"/>
      <c r="Y80" s="182"/>
      <c r="Z80" s="182"/>
      <c r="AA80" s="182"/>
      <c r="AB80" s="182"/>
      <c r="AC80" s="182"/>
      <c r="AD80" s="182"/>
      <c r="AE80" s="183" t="s">
        <v>33</v>
      </c>
      <c r="AF80" s="183"/>
      <c r="AG80" s="183"/>
      <c r="AH80" s="183"/>
      <c r="AI80" s="183"/>
      <c r="AJ80" s="184"/>
      <c r="AK80" s="136"/>
      <c r="AL80" s="136"/>
      <c r="AM80" s="133" t="str">
        <f>IF([13]回答表!X50="●",[13]回答表!B151,IF([13]回答表!AA50="●",[13]回答表!B172,""))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IF([13]回答表!AD50="●","●","")</f>
        <v/>
      </c>
      <c r="O87" s="131"/>
      <c r="P87" s="131"/>
      <c r="Q87" s="132"/>
      <c r="R87" s="119"/>
      <c r="S87" s="119"/>
      <c r="T87" s="119"/>
      <c r="U87" s="133" t="str">
        <f>IF([13]回答表!AD50="●",[13]回答表!B180,"")</f>
        <v/>
      </c>
      <c r="V87" s="134"/>
      <c r="W87" s="134"/>
      <c r="X87" s="134"/>
      <c r="Y87" s="134"/>
      <c r="Z87" s="134"/>
      <c r="AA87" s="134"/>
      <c r="AB87" s="134"/>
      <c r="AC87" s="134"/>
      <c r="AD87" s="134"/>
      <c r="AE87" s="134"/>
      <c r="AF87" s="134"/>
      <c r="AG87" s="134"/>
      <c r="AH87" s="134"/>
      <c r="AI87" s="134"/>
      <c r="AJ87" s="135"/>
      <c r="AK87" s="189"/>
      <c r="AL87" s="189"/>
      <c r="AM87" s="133" t="str">
        <f>IF([13]回答表!AD50="●",[13]回答表!B186,"")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IF([13]回答表!F18="水道事業",IF([13]回答表!X51="●","●",""),"")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IF([13]回答表!F18="水道事業",IF([13]回答表!X51="●",[13]回答表!B197,IF([13]回答表!AA51="●",[13]回答表!B275,"")),"")</f>
        <v/>
      </c>
      <c r="AN99" s="134"/>
      <c r="AO99" s="134"/>
      <c r="AP99" s="134"/>
      <c r="AQ99" s="134"/>
      <c r="AR99" s="134"/>
      <c r="AS99" s="134"/>
      <c r="AT99" s="134"/>
      <c r="AU99" s="134"/>
      <c r="AV99" s="134"/>
      <c r="AW99" s="134"/>
      <c r="AX99" s="134"/>
      <c r="AY99" s="134"/>
      <c r="AZ99" s="134"/>
      <c r="BA99" s="134"/>
      <c r="BB99" s="134"/>
      <c r="BC99" s="135"/>
      <c r="BD99" s="109"/>
      <c r="BE99" s="109"/>
      <c r="BF99" s="138" t="str">
        <f>IF([13]回答表!F18="水道事業",IF([13]回答表!X51="●",[13]回答表!B256,IF([13]回答表!AA51="●",[13]回答表!B335,"")),"")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IF([13]回答表!F18="水道事業",IF([13]回答表!X51="●",[13]回答表!J205,IF([13]回答表!AA51="●",[13]回答表!J283,"")),"")</f>
        <v/>
      </c>
      <c r="V101" s="83"/>
      <c r="W101" s="83"/>
      <c r="X101" s="83"/>
      <c r="Y101" s="83"/>
      <c r="Z101" s="83"/>
      <c r="AA101" s="83"/>
      <c r="AB101" s="153"/>
      <c r="AC101" s="82" t="str">
        <f>IF([13]回答表!F18="水道事業",IF([13]回答表!X51="●",[13]回答表!J210,IF([13]回答表!AA51="●",[13]回答表!J290,"")),"")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IF([13]回答表!F18="水道事業",IF([13]回答表!X51="●",[13]回答表!E256,IF([13]回答表!AA51="●",[13]回答表!E335,"")),"")</f>
        <v/>
      </c>
      <c r="BG102" s="151"/>
      <c r="BH102" s="151"/>
      <c r="BI102" s="151"/>
      <c r="BJ102" s="150" t="str">
        <f>IF([13]回答表!F18="水道事業",IF([13]回答表!X51="●",[13]回答表!E257,IF([13]回答表!AA51="●",[13]回答表!E336,"")),"")</f>
        <v/>
      </c>
      <c r="BK102" s="151"/>
      <c r="BL102" s="151"/>
      <c r="BM102" s="151"/>
      <c r="BN102" s="150" t="str">
        <f>IF([13]回答表!F18="水道事業",IF([13]回答表!X51="●",[13]回答表!E258,IF([13]回答表!AA51="●",[13]回答表!E337,"")),"")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IF([13]回答表!F18="水道事業",IF([13]回答表!AA51="●","●",""),"")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IF([13]回答表!F18="水道事業",IF([13]回答表!X51="●",[13]回答表!J213,IF([13]回答表!AA51="●",[13]回答表!J293,"")),"")</f>
        <v/>
      </c>
      <c r="V106" s="83"/>
      <c r="W106" s="83"/>
      <c r="X106" s="83"/>
      <c r="Y106" s="83"/>
      <c r="Z106" s="83"/>
      <c r="AA106" s="83"/>
      <c r="AB106" s="153"/>
      <c r="AC106" s="82" t="str">
        <f>IF([13]回答表!F18="水道事業",IF([13]回答表!X51="●",[13]回答表!J217,IF([13]回答表!AA51="●",[13]回答表!J297,"")),"")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IF([13]回答表!F18="水道事業",IF([13]回答表!X51="●",[13]回答表!E265,IF([13]回答表!AA51="●",[13]回答表!E344,"")),"")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IF([13]回答表!F18="水道事業",IF([13]回答表!X51="●",[13]回答表!B267,IF([13]回答表!AA51="●",[13]回答表!B346,"")),"")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IF([13]回答表!F18="水道事業",IF([13]回答表!AD51="●","●",""),"")</f>
        <v/>
      </c>
      <c r="O118" s="131"/>
      <c r="P118" s="131"/>
      <c r="Q118" s="132"/>
      <c r="R118" s="119"/>
      <c r="S118" s="119"/>
      <c r="T118" s="119"/>
      <c r="U118" s="133" t="str">
        <f>IF([13]回答表!F18="水道事業",IF([13]回答表!AD51="●",[13]回答表!B354,""),"")</f>
        <v/>
      </c>
      <c r="V118" s="134"/>
      <c r="W118" s="134"/>
      <c r="X118" s="134"/>
      <c r="Y118" s="134"/>
      <c r="Z118" s="134"/>
      <c r="AA118" s="134"/>
      <c r="AB118" s="134"/>
      <c r="AC118" s="134"/>
      <c r="AD118" s="134"/>
      <c r="AE118" s="134"/>
      <c r="AF118" s="134"/>
      <c r="AG118" s="134"/>
      <c r="AH118" s="134"/>
      <c r="AI118" s="134"/>
      <c r="AJ118" s="135"/>
      <c r="AK118" s="189"/>
      <c r="AL118" s="189"/>
      <c r="AM118" s="133" t="str">
        <f>IF([13]回答表!F18="水道事業",IF([13]回答表!AD51="●",[13]回答表!B360,""),"")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IF([13]回答表!F18="簡易水道事業",IF([13]回答表!X51="●",[13]回答表!B197,IF([13]回答表!AA51="●",[13]回答表!B275,"")),"")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IF([13]回答表!F18="簡易水道事業",IF([13]回答表!X51="●",[13]回答表!B256,IF([13]回答表!AA51="●",[13]回答表!B335,"")),"")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IF([13]回答表!F18="簡易水道事業",IF([13]回答表!X51="●","●",""),"")</f>
        <v/>
      </c>
      <c r="O132" s="131"/>
      <c r="P132" s="131"/>
      <c r="Q132" s="132"/>
      <c r="R132" s="119"/>
      <c r="S132" s="119"/>
      <c r="T132" s="119"/>
      <c r="U132" s="82" t="str">
        <f>IF([13]回答表!F18="簡易水道事業",IF([13]回答表!X51="●",[13]回答表!S224,IF([13]回答表!AA51="●",[13]回答表!S304,"")),"")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IF([13]回答表!F18="簡易水道事業",IF([13]回答表!X51="●",[13]回答表!E256,IF([13]回答表!AA51="●",[13]回答表!E335,"")),"")</f>
        <v/>
      </c>
      <c r="BG133" s="151"/>
      <c r="BH133" s="151"/>
      <c r="BI133" s="151"/>
      <c r="BJ133" s="150" t="str">
        <f>IF([13]回答表!F18="簡易水道事業",IF([13]回答表!X51="●",[13]回答表!E257,IF([13]回答表!AA51="●",[13]回答表!E336,"")),"")</f>
        <v/>
      </c>
      <c r="BK133" s="151"/>
      <c r="BL133" s="151"/>
      <c r="BM133" s="151"/>
      <c r="BN133" s="150" t="str">
        <f>IF([13]回答表!F18="簡易水道事業",IF([13]回答表!X51="●",[13]回答表!E258,IF([13]回答表!AA51="●",[13]回答表!E337,"")),"")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IF([13]回答表!F18="簡易水道事業",IF([13]回答表!X51="●",[13]回答表!S225,IF([13]回答表!AA51="●",[13]回答表!S305,"")),"")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IF([13]回答表!F18="簡易水道事業",IF([13]回答表!AA51="●","●",""),"")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IF([13]回答表!F18="簡易水道事業",IF([13]回答表!X51="●",[13]回答表!S226,IF([13]回答表!AA51="●",[13]回答表!S306,"")),"")</f>
        <v/>
      </c>
      <c r="V142" s="83"/>
      <c r="W142" s="83"/>
      <c r="X142" s="83"/>
      <c r="Y142" s="83"/>
      <c r="Z142" s="83"/>
      <c r="AA142" s="83"/>
      <c r="AB142" s="83"/>
      <c r="AC142" s="83"/>
      <c r="AD142" s="83"/>
      <c r="AE142" s="83"/>
      <c r="AF142" s="83"/>
      <c r="AG142" s="83"/>
      <c r="AH142" s="83"/>
      <c r="AI142" s="83"/>
      <c r="AJ142" s="153"/>
      <c r="AK142" s="68"/>
      <c r="AL142" s="68"/>
      <c r="AM142" s="231" t="str">
        <f>IF([13]回答表!F18="簡易水道事業",IF([13]回答表!X51="●",[13]回答表!Y228,IF([13]回答表!AA51="●",[13]回答表!Y308,"")),"")</f>
        <v/>
      </c>
      <c r="AN142" s="231"/>
      <c r="AO142" s="231"/>
      <c r="AP142" s="231"/>
      <c r="AQ142" s="231"/>
      <c r="AR142" s="231"/>
      <c r="AS142" s="231" t="str">
        <f>IF([13]回答表!F18="簡易水道事業",IF([13]回答表!X51="●",[13]回答表!Y229,IF([13]回答表!AA51="●",[13]回答表!Y309,"")),"")</f>
        <v/>
      </c>
      <c r="AT142" s="231"/>
      <c r="AU142" s="231"/>
      <c r="AV142" s="231"/>
      <c r="AW142" s="231"/>
      <c r="AX142" s="231"/>
      <c r="AY142" s="231" t="str">
        <f>IF([13]回答表!F18="簡易水道事業",IF([13]回答表!X51="●",[13]回答表!Y230,IF([13]回答表!AA51="●",[13]回答表!Y310,"")),"")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IF([13]回答表!F18="簡易水道事業",IF([13]回答表!X51="●",[13]回答表!E265,IF([13]回答表!AA51="●",[13]回答表!E344,"")),"")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IF([13]回答表!F18="簡易水道事業",IF([13]回答表!X51="●",[13]回答表!B267,IF([13]回答表!AA51="●",[13]回答表!B346,"")),"")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IF([13]回答表!F18="簡易水道事業",IF([13]回答表!AD51="●","●",""),"")</f>
        <v/>
      </c>
      <c r="O154" s="131"/>
      <c r="P154" s="131"/>
      <c r="Q154" s="132"/>
      <c r="R154" s="119"/>
      <c r="S154" s="119"/>
      <c r="T154" s="119"/>
      <c r="U154" s="133" t="str">
        <f>IF([13]回答表!F18="簡易水道事業",IF([13]回答表!AD51="●",[13]回答表!B354,""),"")</f>
        <v/>
      </c>
      <c r="V154" s="134"/>
      <c r="W154" s="134"/>
      <c r="X154" s="134"/>
      <c r="Y154" s="134"/>
      <c r="Z154" s="134"/>
      <c r="AA154" s="134"/>
      <c r="AB154" s="134"/>
      <c r="AC154" s="134"/>
      <c r="AD154" s="134"/>
      <c r="AE154" s="134"/>
      <c r="AF154" s="134"/>
      <c r="AG154" s="134"/>
      <c r="AH154" s="134"/>
      <c r="AI154" s="134"/>
      <c r="AJ154" s="135"/>
      <c r="AK154" s="189"/>
      <c r="AL154" s="189"/>
      <c r="AM154" s="133" t="str">
        <f>IF([13]回答表!F18="簡易水道事業",IF([13]回答表!AD51="●",[13]回答表!B360,""),"")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IF([13]回答表!F18="下水道事業",IF([13]回答表!X51="●","●",""),"")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IF([13]回答表!F18="下水道事業",IF([13]回答表!X51="●",[13]回答表!B197,IF([13]回答表!AA51="●",[13]回答表!B275,"")),"")</f>
        <v>汚水処理施設の統廃合（単独公共下水道を流域関連公共下水道に接続する。）</v>
      </c>
      <c r="AN166" s="134"/>
      <c r="AO166" s="134"/>
      <c r="AP166" s="134"/>
      <c r="AQ166" s="134"/>
      <c r="AR166" s="134"/>
      <c r="AS166" s="134"/>
      <c r="AT166" s="134"/>
      <c r="AU166" s="134"/>
      <c r="AV166" s="134"/>
      <c r="AW166" s="134"/>
      <c r="AX166" s="134"/>
      <c r="AY166" s="134"/>
      <c r="AZ166" s="134"/>
      <c r="BA166" s="134"/>
      <c r="BB166" s="134"/>
      <c r="BC166" s="135"/>
      <c r="BD166" s="109"/>
      <c r="BE166" s="109"/>
      <c r="BF166" s="138" t="str">
        <f>IF([13]回答表!F18="下水道事業",IF([13]回答表!X51="●",[13]回答表!B256,IF([13]回答表!AA51="●",[13]回答表!B335,"")),"")</f>
        <v>令和</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IF([13]回答表!F18="下水道事業",IF([13]回答表!X51="●",[13]回答表!N234,IF([13]回答表!AA51="●",[13]回答表!N314,"")),"")</f>
        <v>●</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f>IF([13]回答表!F18="下水道事業",IF([13]回答表!X51="●",[13]回答表!E256,IF([13]回答表!AA51="●",[13]回答表!E335,"")),"")</f>
        <v>5</v>
      </c>
      <c r="BG169" s="151"/>
      <c r="BH169" s="151"/>
      <c r="BI169" s="151"/>
      <c r="BJ169" s="150">
        <f>IF([13]回答表!F18="下水道事業",IF([13]回答表!X51="●",[13]回答表!E257,IF([13]回答表!AA51="●",[13]回答表!E336,"")),"")</f>
        <v>3</v>
      </c>
      <c r="BK169" s="151"/>
      <c r="BL169" s="151"/>
      <c r="BM169" s="151"/>
      <c r="BN169" s="150">
        <f>IF([13]回答表!F18="下水道事業",IF([13]回答表!X51="●",[13]回答表!E258,IF([13]回答表!AA51="●",[13]回答表!E337,"")),"")</f>
        <v>31</v>
      </c>
      <c r="BO169" s="151"/>
      <c r="BP169" s="151"/>
      <c r="BQ169" s="152"/>
      <c r="BR169" s="112"/>
      <c r="BX169" s="234" t="str">
        <f>IF([13]回答表!AQ21="下水道事業",IF([13]回答表!BI54="○",[13]回答表!AM200,IF([13]回答表!BL54="○",[13]回答表!AM278,"")),"")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IF([13]回答表!F18="下水道事業",IF([13]回答表!X51="●",[13]回答表!Y236,IF([13]回答表!AA51="●",[13]回答表!Y316,"")),"")</f>
        <v xml:space="preserve"> </v>
      </c>
      <c r="V174" s="83"/>
      <c r="W174" s="83"/>
      <c r="X174" s="83"/>
      <c r="Y174" s="83"/>
      <c r="Z174" s="83"/>
      <c r="AA174" s="83"/>
      <c r="AB174" s="153"/>
      <c r="AC174" s="82" t="str">
        <f>IF([13]回答表!F18="下水道事業",IF([13]回答表!X51="●",[13]回答表!Y237,IF([13]回答表!AA51="●",[13]回答表!Y317,"")),"")</f>
        <v>●</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IF([13]回答表!F18="下水道事業",IF([13]回答表!X51="●",[13]回答表!Y239,IF([13]回答表!AA51="●",[13]回答表!Y319,"")),"")</f>
        <v>●</v>
      </c>
      <c r="V180" s="83"/>
      <c r="W180" s="83"/>
      <c r="X180" s="83"/>
      <c r="Y180" s="83"/>
      <c r="Z180" s="83"/>
      <c r="AA180" s="83"/>
      <c r="AB180" s="153"/>
      <c r="AC180" s="82" t="str">
        <f>IF([13]回答表!F18="下水道事業",IF([13]回答表!X51="●",[13]回答表!Y240,IF([13]回答表!AA51="●",[13]回答表!Y320,"")),"")</f>
        <v xml:space="preserve"> </v>
      </c>
      <c r="AD180" s="83"/>
      <c r="AE180" s="83"/>
      <c r="AF180" s="83"/>
      <c r="AG180" s="83"/>
      <c r="AH180" s="83"/>
      <c r="AI180" s="83"/>
      <c r="AJ180" s="153"/>
      <c r="AK180" s="82" t="str">
        <f>IF([13]回答表!F18="下水道事業",IF([13]回答表!X51="●",[13]回答表!Y241,IF([13]回答表!AA51="●",[13]回答表!Y321,"")),"")</f>
        <v xml:space="preserve"> </v>
      </c>
      <c r="AL180" s="83"/>
      <c r="AM180" s="83"/>
      <c r="AN180" s="83"/>
      <c r="AO180" s="83"/>
      <c r="AP180" s="83"/>
      <c r="AQ180" s="83"/>
      <c r="AR180" s="153"/>
      <c r="AS180" s="82" t="str">
        <f>IF([13]回答表!F18="下水道事業",IF([13]回答表!X51="●",[13]回答表!Y242,IF([13]回答表!AA51="●",[13]回答表!Y322,"")),"")</f>
        <v xml:space="preserve"> </v>
      </c>
      <c r="AT180" s="83"/>
      <c r="AU180" s="83"/>
      <c r="AV180" s="83"/>
      <c r="AW180" s="83"/>
      <c r="AX180" s="83"/>
      <c r="AY180" s="83"/>
      <c r="AZ180" s="153"/>
      <c r="BA180" s="82" t="str">
        <f>IF([13]回答表!F18="下水道事業",IF([13]回答表!X51="●",[13]回答表!Y243,IF([13]回答表!AA51="●",[13]回答表!Y323,"")),"")</f>
        <v xml:space="preserve">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IF([13]回答表!F18="下水道事業",IF([13]回答表!AA51="●","●",""),"")</f>
        <v>●</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IF([13]回答表!F18="下水道事業",IF([13]回答表!X51="●",[13]回答表!N248,IF([13]回答表!AA51="●",[13]回答表!N328,"")),"")</f>
        <v xml:space="preserve"> </v>
      </c>
      <c r="V186" s="83"/>
      <c r="W186" s="83"/>
      <c r="X186" s="83"/>
      <c r="Y186" s="83"/>
      <c r="Z186" s="83"/>
      <c r="AA186" s="83"/>
      <c r="AB186" s="153"/>
      <c r="AC186" s="82" t="str">
        <f>IF([13]回答表!F18="下水道事業",IF([13]回答表!X51="●",[13]回答表!N249,IF([13]回答表!AA51="●",[13]回答表!N329,"")),"")</f>
        <v xml:space="preserve"> </v>
      </c>
      <c r="AD186" s="83"/>
      <c r="AE186" s="83"/>
      <c r="AF186" s="83"/>
      <c r="AG186" s="83"/>
      <c r="AH186" s="83"/>
      <c r="AI186" s="83"/>
      <c r="AJ186" s="153"/>
      <c r="AK186" s="82" t="str">
        <f>IF([13]回答表!F18="下水道事業",IF([13]回答表!X51="●",[13]回答表!N250,IF([13]回答表!AA51="●",[13]回答表!N330,"")),"")</f>
        <v xml:space="preserve">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f>IF([13]回答表!F18="下水道事業",IF([13]回答表!X51="●",[13]回答表!E265,IF([13]回答表!AA51="●",[13]回答表!E344,"")),"")</f>
        <v>1</v>
      </c>
      <c r="V191" s="182"/>
      <c r="W191" s="182"/>
      <c r="X191" s="182"/>
      <c r="Y191" s="182"/>
      <c r="Z191" s="182"/>
      <c r="AA191" s="182"/>
      <c r="AB191" s="182"/>
      <c r="AC191" s="182"/>
      <c r="AD191" s="182"/>
      <c r="AE191" s="183" t="s">
        <v>33</v>
      </c>
      <c r="AF191" s="183"/>
      <c r="AG191" s="183"/>
      <c r="AH191" s="183"/>
      <c r="AI191" s="183"/>
      <c r="AJ191" s="184"/>
      <c r="AK191" s="136"/>
      <c r="AL191" s="136"/>
      <c r="AM191" s="133" t="str">
        <f>IF([13]回答表!F18="下水道事業",IF([13]回答表!X51="●",[13]回答表!B267,IF([13]回答表!AA51="●",[13]回答表!B346,"")),"")</f>
        <v>建設改良費　年▲1</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IF([13]回答表!F18="下水道事業",IF([13]回答表!AD51="●","●",""),"")</f>
        <v/>
      </c>
      <c r="O198" s="131"/>
      <c r="P198" s="131"/>
      <c r="Q198" s="132"/>
      <c r="R198" s="119"/>
      <c r="S198" s="119"/>
      <c r="T198" s="119"/>
      <c r="U198" s="133" t="str">
        <f>IF([13]回答表!F18="下水道事業",IF([13]回答表!AD51="●",[13]回答表!B354,""),"")</f>
        <v/>
      </c>
      <c r="V198" s="134"/>
      <c r="W198" s="134"/>
      <c r="X198" s="134"/>
      <c r="Y198" s="134"/>
      <c r="Z198" s="134"/>
      <c r="AA198" s="134"/>
      <c r="AB198" s="134"/>
      <c r="AC198" s="134"/>
      <c r="AD198" s="134"/>
      <c r="AE198" s="134"/>
      <c r="AF198" s="134"/>
      <c r="AG198" s="134"/>
      <c r="AH198" s="134"/>
      <c r="AI198" s="134"/>
      <c r="AJ198" s="135"/>
      <c r="AK198" s="189"/>
      <c r="AL198" s="189"/>
      <c r="AM198" s="133" t="str">
        <f>IF([13]回答表!F18="下水道事業",IF([13]回答表!AD51="●",[13]回答表!B360,""),"")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IF([13]回答表!BD18="●",IF([13]回答表!X51="●","●",""),"")</f>
        <v/>
      </c>
      <c r="O210" s="131"/>
      <c r="P210" s="131"/>
      <c r="Q210" s="132"/>
      <c r="R210" s="119"/>
      <c r="S210" s="119"/>
      <c r="T210" s="119"/>
      <c r="U210" s="133" t="str">
        <f>IF([13]回答表!BD18="●",IF([13]回答表!X51="●",[13]回答表!B197,IF([13]回答表!AA51="●",[13]回答表!B275,"")),"")</f>
        <v/>
      </c>
      <c r="V210" s="134"/>
      <c r="W210" s="134"/>
      <c r="X210" s="134"/>
      <c r="Y210" s="134"/>
      <c r="Z210" s="134"/>
      <c r="AA210" s="134"/>
      <c r="AB210" s="134"/>
      <c r="AC210" s="134"/>
      <c r="AD210" s="134"/>
      <c r="AE210" s="134"/>
      <c r="AF210" s="134"/>
      <c r="AG210" s="134"/>
      <c r="AH210" s="134"/>
      <c r="AI210" s="134"/>
      <c r="AJ210" s="135"/>
      <c r="AK210" s="136"/>
      <c r="AL210" s="136"/>
      <c r="AM210" s="138" t="str">
        <f>IF([13]回答表!BD18="●",IF([13]回答表!X51="●",[13]回答表!B256,IF([13]回答表!AA51="●",[13]回答表!B335,"")),"")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IF([13]回答表!BD18="●",IF([13]回答表!X51="●",[13]回答表!E256,IF([13]回答表!AA51="●",[13]回答表!E335,"")),"")</f>
        <v/>
      </c>
      <c r="AN213" s="151"/>
      <c r="AO213" s="151"/>
      <c r="AP213" s="151"/>
      <c r="AQ213" s="150" t="str">
        <f>IF([13]回答表!BD18="●",IF([13]回答表!X51="●",[13]回答表!E257,IF([13]回答表!AA51="●",[13]回答表!E336,"")),"")</f>
        <v/>
      </c>
      <c r="AR213" s="151"/>
      <c r="AS213" s="151"/>
      <c r="AT213" s="151"/>
      <c r="AU213" s="150" t="str">
        <f>IF([13]回答表!BD18="●",IF([13]回答表!X51="●",[13]回答表!E258,IF([13]回答表!AA51="●",[13]回答表!E337,"")),"")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IF([13]回答表!BD18="●",IF([13]回答表!AA51="●","●",""),"")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IF([13]回答表!BD18="●",IF([13]回答表!X51="●",[13]回答表!E265,IF([13]回答表!AA51="●",[13]回答表!E344,"")),"")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IF([13]回答表!BD18="●",IF([13]回答表!X51="●",[13]回答表!B267,IF([13]回答表!AA51="●",[13]回答表!B346,"")),"")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IF([13]回答表!BD18="●",IF([13]回答表!AD51="●","●",""),"")</f>
        <v/>
      </c>
      <c r="O229" s="131"/>
      <c r="P229" s="131"/>
      <c r="Q229" s="132"/>
      <c r="R229" s="119"/>
      <c r="S229" s="119"/>
      <c r="T229" s="119"/>
      <c r="U229" s="133" t="str">
        <f>IF([13]回答表!BD18="●",IF([13]回答表!AD51="●",[13]回答表!B354,""),"")</f>
        <v/>
      </c>
      <c r="V229" s="134"/>
      <c r="W229" s="134"/>
      <c r="X229" s="134"/>
      <c r="Y229" s="134"/>
      <c r="Z229" s="134"/>
      <c r="AA229" s="134"/>
      <c r="AB229" s="134"/>
      <c r="AC229" s="134"/>
      <c r="AD229" s="134"/>
      <c r="AE229" s="134"/>
      <c r="AF229" s="134"/>
      <c r="AG229" s="134"/>
      <c r="AH229" s="134"/>
      <c r="AI229" s="134"/>
      <c r="AJ229" s="135"/>
      <c r="AK229" s="249"/>
      <c r="AL229" s="249"/>
      <c r="AM229" s="133" t="str">
        <f>IF([13]回答表!BD18="●",IF([13]回答表!AD51="●",[13]回答表!B360,""),"")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IF([13]回答表!X52="●","●","")</f>
        <v/>
      </c>
      <c r="O241" s="131"/>
      <c r="P241" s="131"/>
      <c r="Q241" s="132"/>
      <c r="R241" s="119"/>
      <c r="S241" s="119"/>
      <c r="T241" s="119"/>
      <c r="U241" s="133" t="str">
        <f>IF([13]回答表!X52="●",[13]回答表!B371,IF([13]回答表!AA52="●",[13]回答表!B396,""))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IF([13]回答表!X52="●",[13]回答表!U377,IF([13]回答表!AA52="●",[13]回答表!U402,""))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IF([13]回答表!X52="●",[13]回答表!G377,IF([13]回答表!AA52="●",[13]回答表!G402,""))</f>
        <v/>
      </c>
      <c r="AN244" s="83"/>
      <c r="AO244" s="83"/>
      <c r="AP244" s="83"/>
      <c r="AQ244" s="83"/>
      <c r="AR244" s="83"/>
      <c r="AS244" s="83"/>
      <c r="AT244" s="153"/>
      <c r="AU244" s="82" t="str">
        <f>IF([13]回答表!X52="●",[13]回答表!G378,IF([13]回答表!AA52="●",[13]回答表!G403,""))</f>
        <v/>
      </c>
      <c r="AV244" s="83"/>
      <c r="AW244" s="83"/>
      <c r="AX244" s="83"/>
      <c r="AY244" s="83"/>
      <c r="AZ244" s="83"/>
      <c r="BA244" s="83"/>
      <c r="BB244" s="153"/>
      <c r="BC244" s="120"/>
      <c r="BD244" s="109"/>
      <c r="BE244" s="109"/>
      <c r="BF244" s="150" t="str">
        <f>IF([13]回答表!X52="●",[13]回答表!X377,IF([13]回答表!AA52="●",[13]回答表!X402,""))</f>
        <v/>
      </c>
      <c r="BG244" s="151"/>
      <c r="BH244" s="151"/>
      <c r="BI244" s="151"/>
      <c r="BJ244" s="150" t="str">
        <f>IF([13]回答表!X52="●",[13]回答表!X378,IF([13]回答表!AA52="●",[13]回答表!X403,""))</f>
        <v/>
      </c>
      <c r="BK244" s="151"/>
      <c r="BL244" s="151"/>
      <c r="BM244" s="152"/>
      <c r="BN244" s="150" t="str">
        <f>IF([13]回答表!X52="●",[13]回答表!X379,IF([13]回答表!AA52="●",[13]回答表!X404,""))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IF([13]回答表!AA52="●","●","")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IF([13]回答表!X52="●",[13]回答表!E386,IF([13]回答表!AA52="●",[13]回答表!E407,""))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IF([13]回答表!X52="●",[13]回答表!B388,IF([13]回答表!AA52="●",[13]回答表!B409,""))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IF([13]回答表!AD52="●","●","")</f>
        <v/>
      </c>
      <c r="O260" s="131"/>
      <c r="P260" s="131"/>
      <c r="Q260" s="132"/>
      <c r="R260" s="119"/>
      <c r="S260" s="119"/>
      <c r="T260" s="119"/>
      <c r="U260" s="133" t="str">
        <f>IF([13]回答表!AD52="●",[13]回答表!B417,"")</f>
        <v/>
      </c>
      <c r="V260" s="134"/>
      <c r="W260" s="134"/>
      <c r="X260" s="134"/>
      <c r="Y260" s="134"/>
      <c r="Z260" s="134"/>
      <c r="AA260" s="134"/>
      <c r="AB260" s="134"/>
      <c r="AC260" s="134"/>
      <c r="AD260" s="134"/>
      <c r="AE260" s="134"/>
      <c r="AF260" s="134"/>
      <c r="AG260" s="134"/>
      <c r="AH260" s="134"/>
      <c r="AI260" s="134"/>
      <c r="AJ260" s="135"/>
      <c r="AK260" s="249"/>
      <c r="AL260" s="249"/>
      <c r="AM260" s="133" t="str">
        <f>IF([13]回答表!AD52="●",[13]回答表!B423,"")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IF([13]回答表!X53="●","●","")</f>
        <v>●</v>
      </c>
      <c r="O272" s="131"/>
      <c r="P272" s="131"/>
      <c r="Q272" s="132"/>
      <c r="R272" s="119"/>
      <c r="S272" s="119"/>
      <c r="T272" s="119"/>
      <c r="U272" s="133" t="str">
        <f>IF([13]回答表!X53="●",[13]回答表!B434,IF([13]回答表!AA53="●",[13]回答表!B465,""))</f>
        <v>上下水道料金等関連業務について、事業提案型プロポーザル方式により委託者を選定し、委託契約を締結した。（期間５年）</v>
      </c>
      <c r="V272" s="134"/>
      <c r="W272" s="134"/>
      <c r="X272" s="134"/>
      <c r="Y272" s="134"/>
      <c r="Z272" s="134"/>
      <c r="AA272" s="134"/>
      <c r="AB272" s="134"/>
      <c r="AC272" s="134"/>
      <c r="AD272" s="134"/>
      <c r="AE272" s="134"/>
      <c r="AF272" s="134"/>
      <c r="AG272" s="134"/>
      <c r="AH272" s="134"/>
      <c r="AI272" s="134"/>
      <c r="AJ272" s="135"/>
      <c r="AK272" s="136"/>
      <c r="AL272" s="136"/>
      <c r="AM272" s="136"/>
      <c r="AN272" s="133" t="str">
        <f>IF([13]回答表!X53="●",[13]回答表!B440,"")</f>
        <v>窓口業務、検針調定業務、収納業務、還付業務、滞納整理業務、電算処理業務（料金システムを含む）、メーター交換業務、その他付帯業務　</v>
      </c>
      <c r="AO272" s="262"/>
      <c r="AP272" s="262"/>
      <c r="AQ272" s="262"/>
      <c r="AR272" s="262"/>
      <c r="AS272" s="262"/>
      <c r="AT272" s="262"/>
      <c r="AU272" s="262"/>
      <c r="AV272" s="262"/>
      <c r="AW272" s="262"/>
      <c r="AX272" s="262"/>
      <c r="AY272" s="262"/>
      <c r="AZ272" s="262"/>
      <c r="BA272" s="262"/>
      <c r="BB272" s="263"/>
      <c r="BC272" s="120"/>
      <c r="BD272" s="109"/>
      <c r="BE272" s="109"/>
      <c r="BF272" s="138" t="str">
        <f>IF([13]回答表!X53="●",[13]回答表!B446,IF([13]回答表!AA53="●",[13]回答表!B471,""))</f>
        <v>平成</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f>IF([13]回答表!X53="●",[13]回答表!E446,IF([13]回答表!AA53="●",[13]回答表!E471,""))</f>
        <v>22</v>
      </c>
      <c r="BG275" s="151"/>
      <c r="BH275" s="151"/>
      <c r="BI275" s="151"/>
      <c r="BJ275" s="150">
        <f>IF([13]回答表!X53="●",[13]回答表!E447,IF([13]回答表!AA53="●",[13]回答表!E472,""))</f>
        <v>11</v>
      </c>
      <c r="BK275" s="151"/>
      <c r="BL275" s="151"/>
      <c r="BM275" s="152"/>
      <c r="BN275" s="150">
        <f>IF([13]回答表!X53="●",[13]回答表!E448,IF([13]回答表!AA53="●",[13]回答表!E473,""))</f>
        <v>30</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IF([13]回答表!AA53="●","●","")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f>IF([13]回答表!X53="●",[13]回答表!E455,IF([13]回答表!AA53="●",[13]回答表!E476,""))</f>
        <v>0</v>
      </c>
      <c r="V284" s="182"/>
      <c r="W284" s="182"/>
      <c r="X284" s="182"/>
      <c r="Y284" s="182"/>
      <c r="Z284" s="182"/>
      <c r="AA284" s="182"/>
      <c r="AB284" s="182"/>
      <c r="AC284" s="182"/>
      <c r="AD284" s="182"/>
      <c r="AE284" s="183" t="s">
        <v>33</v>
      </c>
      <c r="AF284" s="183"/>
      <c r="AG284" s="183"/>
      <c r="AH284" s="183"/>
      <c r="AI284" s="183"/>
      <c r="AJ284" s="184"/>
      <c r="AK284" s="136"/>
      <c r="AL284" s="136"/>
      <c r="AM284" s="133">
        <f>IF([13]回答表!X53="●",[13]回答表!B457,IF([13]回答表!AA53="●",[13]回答表!B478,""))</f>
        <v>0</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IF([13]回答表!AD53="●","●","")</f>
        <v/>
      </c>
      <c r="O291" s="131"/>
      <c r="P291" s="131"/>
      <c r="Q291" s="132"/>
      <c r="R291" s="119"/>
      <c r="S291" s="119"/>
      <c r="T291" s="119"/>
      <c r="U291" s="133" t="str">
        <f>IF([13]回答表!AD53="●",[13]回答表!B486,"")</f>
        <v/>
      </c>
      <c r="V291" s="134"/>
      <c r="W291" s="134"/>
      <c r="X291" s="134"/>
      <c r="Y291" s="134"/>
      <c r="Z291" s="134"/>
      <c r="AA291" s="134"/>
      <c r="AB291" s="134"/>
      <c r="AC291" s="134"/>
      <c r="AD291" s="134"/>
      <c r="AE291" s="134"/>
      <c r="AF291" s="134"/>
      <c r="AG291" s="134"/>
      <c r="AH291" s="134"/>
      <c r="AI291" s="134"/>
      <c r="AJ291" s="135"/>
      <c r="AK291" s="249"/>
      <c r="AL291" s="249"/>
      <c r="AM291" s="133" t="str">
        <f>IF([13]回答表!AD53="●",[13]回答表!B492,"")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IF([13]回答表!X54="●","●","")</f>
        <v/>
      </c>
      <c r="O303" s="131"/>
      <c r="P303" s="131"/>
      <c r="Q303" s="132"/>
      <c r="R303" s="119"/>
      <c r="S303" s="119"/>
      <c r="T303" s="119"/>
      <c r="U303" s="133" t="str">
        <f>IF([13]回答表!X54="●",[13]回答表!B503,IF([13]回答表!AA54="●",[13]回答表!B526,""))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IF([13]回答表!X54="●",[13]回答表!BC510,IF([13]回答表!AA54="●",[13]回答表!BC533,""))</f>
        <v/>
      </c>
      <c r="AR303" s="271"/>
      <c r="AS303" s="271"/>
      <c r="AT303" s="271"/>
      <c r="AU303" s="272" t="s">
        <v>74</v>
      </c>
      <c r="AV303" s="273"/>
      <c r="AW303" s="273"/>
      <c r="AX303" s="274"/>
      <c r="AY303" s="271" t="str">
        <f>IF([13]回答表!X54="●",[13]回答表!BC515,IF([13]回答表!AA54="●",[13]回答表!BC538,""))</f>
        <v/>
      </c>
      <c r="AZ303" s="271"/>
      <c r="BA303" s="271"/>
      <c r="BB303" s="271"/>
      <c r="BC303" s="120"/>
      <c r="BD303" s="109"/>
      <c r="BE303" s="109"/>
      <c r="BF303" s="138" t="str">
        <f>IF([13]回答表!X54="●",[13]回答表!S509,IF([13]回答表!AA54="●",[13]回答表!S532,""))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IF([13]回答表!X54="●",[13]回答表!BC511,IF([13]回答表!AA54="●",[13]回答表!BC534,""))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IF([13]回答表!X54="●",[13]回答表!V509,IF([13]回答表!AA54="●",[13]回答表!V532,""))</f>
        <v/>
      </c>
      <c r="BG306" s="151"/>
      <c r="BH306" s="151"/>
      <c r="BI306" s="151"/>
      <c r="BJ306" s="150" t="str">
        <f>IF([13]回答表!X54="●",[13]回答表!V510,IF([13]回答表!AA54="●",[13]回答表!V533,""))</f>
        <v/>
      </c>
      <c r="BK306" s="151"/>
      <c r="BL306" s="151"/>
      <c r="BM306" s="152"/>
      <c r="BN306" s="150" t="str">
        <f>IF([13]回答表!X54="●",[13]回答表!V511,IF([13]回答表!AA54="●",[13]回答表!V534,""))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IF([13]回答表!X54="●",[13]回答表!BC512,IF([13]回答表!AA54="●",[13]回答表!BC535,""))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IF([13]回答表!X54="●",[13]回答表!BC516,IF([13]回答表!AA54="●",[13]回答表!BC539,""))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IF([13]回答表!AA54="●","●","")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IF([13]回答表!X54="●",[13]回答表!BC513,IF([13]回答表!AA54="●",[13]回答表!BC536,""))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IF([13]回答表!X54="●",[13]回答表!BC514,IF([13]回答表!AA54="●",[13]回答表!BC537,""))</f>
        <v/>
      </c>
      <c r="AR311" s="271"/>
      <c r="AS311" s="271"/>
      <c r="AT311" s="271"/>
      <c r="AU311" s="222" t="s">
        <v>80</v>
      </c>
      <c r="AV311" s="223"/>
      <c r="AW311" s="223"/>
      <c r="AX311" s="224"/>
      <c r="AY311" s="281" t="str">
        <f>IF([13]回答表!X54="●",[13]回答表!BC517,IF([13]回答表!AA54="●",[13]回答表!BC540,""))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IF([13]回答表!X54="●",[13]回答表!E516,IF([13]回答表!AA54="●",[13]回答表!E538,""))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IF([13]回答表!X54="●",[13]回答表!B518,IF([13]回答表!AA54="●",[13]回答表!B540,""))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IF([13]回答表!AD54="●","●","")</f>
        <v/>
      </c>
      <c r="O322" s="131"/>
      <c r="P322" s="131"/>
      <c r="Q322" s="132"/>
      <c r="R322" s="119"/>
      <c r="S322" s="119"/>
      <c r="T322" s="119"/>
      <c r="U322" s="133" t="str">
        <f>IF([13]回答表!AD54="●",[13]回答表!B548,"")</f>
        <v/>
      </c>
      <c r="V322" s="134"/>
      <c r="W322" s="134"/>
      <c r="X322" s="134"/>
      <c r="Y322" s="134"/>
      <c r="Z322" s="134"/>
      <c r="AA322" s="134"/>
      <c r="AB322" s="134"/>
      <c r="AC322" s="134"/>
      <c r="AD322" s="134"/>
      <c r="AE322" s="134"/>
      <c r="AF322" s="134"/>
      <c r="AG322" s="134"/>
      <c r="AH322" s="134"/>
      <c r="AI322" s="134"/>
      <c r="AJ322" s="135"/>
      <c r="AK322" s="189"/>
      <c r="AL322" s="189"/>
      <c r="AM322" s="133" t="str">
        <f>IF([13]回答表!AD54="●",[13]回答表!B554,"")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IF([13]回答表!X55="●","●","")</f>
        <v/>
      </c>
      <c r="O333" s="131"/>
      <c r="P333" s="131"/>
      <c r="Q333" s="132"/>
      <c r="R333" s="119"/>
      <c r="S333" s="119"/>
      <c r="T333" s="119"/>
      <c r="U333" s="133" t="str">
        <f>IF([13]回答表!X55="●",[13]回答表!B565,IF([13]回答表!AA55="●",[13]回答表!B590,""))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IF([13]回答表!X55="●",[13]回答表!B575,IF([13]回答表!AA55="●",[13]回答表!B600,""))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IF([13]回答表!X55="●",[13]回答表!G571,IF([13]回答表!AA55="●",[13]回答表!G596,""))</f>
        <v/>
      </c>
      <c r="AN335" s="83"/>
      <c r="AO335" s="83"/>
      <c r="AP335" s="83"/>
      <c r="AQ335" s="83"/>
      <c r="AR335" s="83"/>
      <c r="AS335" s="83"/>
      <c r="AT335" s="153"/>
      <c r="AU335" s="82" t="str">
        <f>IF([13]回答表!X55="●",[13]回答表!G572,IF([13]回答表!AA55="●",[13]回答表!G597,""))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IF([13]回答表!X55="●",[13]回答表!E575,IF([13]回答表!AA55="●",[13]回答表!E600,""))</f>
        <v/>
      </c>
      <c r="BG336" s="151"/>
      <c r="BH336" s="151"/>
      <c r="BI336" s="151"/>
      <c r="BJ336" s="150" t="str">
        <f>IF([13]回答表!X55="●",[13]回答表!E576,IF([13]回答表!AA55="●",[13]回答表!E601,""))</f>
        <v/>
      </c>
      <c r="BK336" s="151"/>
      <c r="BL336" s="151"/>
      <c r="BM336" s="152"/>
      <c r="BN336" s="150" t="str">
        <f>IF([13]回答表!X55="●",[13]回答表!E577,IF([13]回答表!AA55="●",[13]回答表!E602,""))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IF([13]回答表!AA55="●","●","")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IF([13]回答表!X55="●",[13]回答表!E580,IF([13]回答表!AA55="●",[13]回答表!E605,""))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IF([13]回答表!X55="●",[13]回答表!B582,IF([13]回答表!AA55="●",[13]回答表!B607,""))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IF([13]回答表!AD55="●","●","")</f>
        <v/>
      </c>
      <c r="O352" s="131"/>
      <c r="P352" s="131"/>
      <c r="Q352" s="132"/>
      <c r="R352" s="119"/>
      <c r="S352" s="119"/>
      <c r="T352" s="119"/>
      <c r="U352" s="133" t="str">
        <f>IF([13]回答表!AD55="●",[13]回答表!B615,"")</f>
        <v/>
      </c>
      <c r="V352" s="134"/>
      <c r="W352" s="134"/>
      <c r="X352" s="134"/>
      <c r="Y352" s="134"/>
      <c r="Z352" s="134"/>
      <c r="AA352" s="134"/>
      <c r="AB352" s="134"/>
      <c r="AC352" s="134"/>
      <c r="AD352" s="134"/>
      <c r="AE352" s="134"/>
      <c r="AF352" s="134"/>
      <c r="AG352" s="134"/>
      <c r="AH352" s="134"/>
      <c r="AI352" s="134"/>
      <c r="AJ352" s="135"/>
      <c r="AK352" s="136"/>
      <c r="AL352" s="136"/>
      <c r="AM352" s="133" t="str">
        <f>IF([13]回答表!AD55="●",[13]回答表!B621,"")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IF([13]回答表!R56="●",[13]回答表!B634,"")</f>
        <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 priority="2">
      <formula>$BB$25="○"</formula>
    </cfRule>
  </conditionalFormatting>
  <conditionalFormatting sqref="BD28:BD30">
    <cfRule type="expression" dxfId="0" priority="1">
      <formula>$BB$25="○"</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44A26-73ED-4477-8A07-F5A88EDDF4E5}">
  <dimension ref="A1:CN384"/>
  <sheetViews>
    <sheetView workbookViewId="0">
      <selection sqref="A1:XFD1048576"/>
    </sheetView>
  </sheetViews>
  <sheetFormatPr defaultColWidth="2.875" defaultRowHeight="12.6" customHeight="1"/>
  <cols>
    <col min="1" max="25" width="2.625" customWidth="1"/>
    <col min="26" max="26" width="2.125" customWidth="1"/>
    <col min="27" max="27" width="2.625" hidden="1" customWidth="1"/>
    <col min="28" max="28" width="4.625" customWidth="1"/>
    <col min="29" max="34" width="2.625" customWidth="1"/>
    <col min="35" max="35" width="0.125" customWidth="1"/>
    <col min="36" max="37" width="4.625" customWidth="1"/>
    <col min="38" max="71" width="2.6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IF(COUNTIF([2]回答表!K16,"*")&gt;0,[2]回答表!K16,"")</f>
        <v>横手市</v>
      </c>
      <c r="D11" s="8"/>
      <c r="E11" s="8"/>
      <c r="F11" s="8"/>
      <c r="G11" s="8"/>
      <c r="H11" s="8"/>
      <c r="I11" s="8"/>
      <c r="J11" s="8"/>
      <c r="K11" s="8"/>
      <c r="L11" s="8"/>
      <c r="M11" s="8"/>
      <c r="N11" s="8"/>
      <c r="O11" s="8"/>
      <c r="P11" s="8"/>
      <c r="Q11" s="8"/>
      <c r="R11" s="8"/>
      <c r="S11" s="8"/>
      <c r="T11" s="8"/>
      <c r="U11" s="22" t="str">
        <f>IF(COUNTIF([2]回答表!F18,"*")&gt;0,[2]回答表!F18,"")</f>
        <v>水道事業</v>
      </c>
      <c r="V11" s="23"/>
      <c r="W11" s="23"/>
      <c r="X11" s="23"/>
      <c r="Y11" s="23"/>
      <c r="Z11" s="23"/>
      <c r="AA11" s="23"/>
      <c r="AB11" s="23"/>
      <c r="AC11" s="23"/>
      <c r="AD11" s="23"/>
      <c r="AE11" s="23"/>
      <c r="AF11" s="10"/>
      <c r="AG11" s="10"/>
      <c r="AH11" s="10"/>
      <c r="AI11" s="10"/>
      <c r="AJ11" s="10"/>
      <c r="AK11" s="10"/>
      <c r="AL11" s="10"/>
      <c r="AM11" s="10"/>
      <c r="AN11" s="11"/>
      <c r="AO11" s="24" t="str">
        <f>IF(COUNTIF([2]回答表!W18,"*")&gt;0,[2]回答表!W18,"")</f>
        <v>―</v>
      </c>
      <c r="AP11" s="10"/>
      <c r="AQ11" s="10"/>
      <c r="AR11" s="10"/>
      <c r="AS11" s="10"/>
      <c r="AT11" s="10"/>
      <c r="AU11" s="10"/>
      <c r="AV11" s="10"/>
      <c r="AW11" s="10"/>
      <c r="AX11" s="10"/>
      <c r="AY11" s="10"/>
      <c r="AZ11" s="10"/>
      <c r="BA11" s="10"/>
      <c r="BB11" s="10"/>
      <c r="BC11" s="10"/>
      <c r="BD11" s="10"/>
      <c r="BE11" s="10"/>
      <c r="BF11" s="11"/>
      <c r="BG11" s="21" t="str">
        <f>IF(COUNTIF([2]回答表!F20,"*")&gt;0,[2]回答表!F20,"")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IF([2]回答表!R49="●","●","")</f>
        <v/>
      </c>
      <c r="E24" s="80"/>
      <c r="F24" s="80"/>
      <c r="G24" s="80"/>
      <c r="H24" s="80"/>
      <c r="I24" s="80"/>
      <c r="J24" s="81"/>
      <c r="K24" s="79" t="str">
        <f>IF([2]回答表!R50="●","●","")</f>
        <v/>
      </c>
      <c r="L24" s="80"/>
      <c r="M24" s="80"/>
      <c r="N24" s="80"/>
      <c r="O24" s="80"/>
      <c r="P24" s="80"/>
      <c r="Q24" s="81"/>
      <c r="R24" s="79" t="str">
        <f>IF([2]回答表!R51="●","●","")</f>
        <v>●</v>
      </c>
      <c r="S24" s="80"/>
      <c r="T24" s="80"/>
      <c r="U24" s="80"/>
      <c r="V24" s="80"/>
      <c r="W24" s="80"/>
      <c r="X24" s="81"/>
      <c r="Y24" s="79" t="str">
        <f>IF([2]回答表!R52="●","●","")</f>
        <v/>
      </c>
      <c r="Z24" s="80"/>
      <c r="AA24" s="80"/>
      <c r="AB24" s="80"/>
      <c r="AC24" s="80"/>
      <c r="AD24" s="80"/>
      <c r="AE24" s="81"/>
      <c r="AF24" s="79" t="str">
        <f>IF([2]回答表!R53="●","●","")</f>
        <v>●</v>
      </c>
      <c r="AG24" s="80"/>
      <c r="AH24" s="80"/>
      <c r="AI24" s="80"/>
      <c r="AJ24" s="80"/>
      <c r="AK24" s="80"/>
      <c r="AL24" s="81"/>
      <c r="AM24" s="79" t="str">
        <f>IF([2]回答表!R54="●","●","")</f>
        <v/>
      </c>
      <c r="AN24" s="80"/>
      <c r="AO24" s="80"/>
      <c r="AP24" s="80"/>
      <c r="AQ24" s="80"/>
      <c r="AR24" s="80"/>
      <c r="AS24" s="81"/>
      <c r="AT24" s="79" t="str">
        <f>IF([2]回答表!R55="●","●","")</f>
        <v/>
      </c>
      <c r="AU24" s="80"/>
      <c r="AV24" s="80"/>
      <c r="AW24" s="80"/>
      <c r="AX24" s="80"/>
      <c r="AY24" s="80"/>
      <c r="AZ24" s="81"/>
      <c r="BA24" s="68"/>
      <c r="BB24" s="82" t="str">
        <f>IF([2]回答表!R56="●","●","")</f>
        <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IF([2]回答表!X49="●","●","")</f>
        <v/>
      </c>
      <c r="O36" s="131"/>
      <c r="P36" s="131"/>
      <c r="Q36" s="132"/>
      <c r="R36" s="119"/>
      <c r="S36" s="119"/>
      <c r="T36" s="119"/>
      <c r="U36" s="133" t="str">
        <f>IF([2]回答表!X49="●",[2]回答表!B67,IF([2]回答表!AA49="●",[2]回答表!B95,""))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IF([2]回答表!X49="●",[2]回答表!S73,IF([2]回答表!AA49="●",[2]回答表!S101,""))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IF([2]回答表!X49="●",[2]回答表!G73,IF([2]回答表!AA49="●",[2]回答表!G101,""))</f>
        <v/>
      </c>
      <c r="AN38" s="83"/>
      <c r="AO38" s="83"/>
      <c r="AP38" s="83"/>
      <c r="AQ38" s="83"/>
      <c r="AR38" s="83"/>
      <c r="AS38" s="83"/>
      <c r="AT38" s="153"/>
      <c r="AU38" s="82" t="str">
        <f>IF([2]回答表!X49="●",[2]回答表!G74,IF([2]回答表!AA49="●",[2]回答表!G102,""))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IF([2]回答表!X49="●",[2]回答表!V73,IF([2]回答表!AA49="●",[2]回答表!V101,""))</f>
        <v/>
      </c>
      <c r="BG39" s="16"/>
      <c r="BH39" s="16"/>
      <c r="BI39" s="17"/>
      <c r="BJ39" s="150" t="str">
        <f>IF([2]回答表!X49="●",[2]回答表!V74,IF([2]回答表!AA49="●",[2]回答表!V102,""))</f>
        <v/>
      </c>
      <c r="BK39" s="16"/>
      <c r="BL39" s="16"/>
      <c r="BM39" s="17"/>
      <c r="BN39" s="150" t="str">
        <f>IF([2]回答表!X49="●",[2]回答表!V75,IF([2]回答表!AA49="●",[2]回答表!V103,""))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IF([2]回答表!X49="●",[2]回答表!O79,IF([2]回答表!AA49="●",[2]回答表!O107,""))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IF([2]回答表!X49="●",[2]回答表!O80,IF([2]回答表!AA49="●",[2]回答表!O108,""))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IF([2]回答表!AA49="●","●","")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IF([2]回答表!X49="●",[2]回答表!O81,IF([2]回答表!AA49="●",[2]回答表!O109,""))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IF([2]回答表!X49="●",[2]回答表!O82,IF([2]回答表!AA49="●",[2]回答表!O110,""))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IF([2]回答表!X49="●",[2]回答表!AG79,IF([2]回答表!AA49="●",[2]回答表!AG107,""))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IF([2]回答表!X49="●",[2]回答表!AG80,IF([2]回答表!AA49="●",[2]回答表!AG108,""))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IF([2]回答表!X49="●",[2]回答表!E85,IF([2]回答表!AA49="●",[2]回答表!E113,""))</f>
        <v/>
      </c>
      <c r="V50" s="182"/>
      <c r="W50" s="182"/>
      <c r="X50" s="182"/>
      <c r="Y50" s="182"/>
      <c r="Z50" s="182"/>
      <c r="AA50" s="182"/>
      <c r="AB50" s="182"/>
      <c r="AC50" s="182"/>
      <c r="AD50" s="182"/>
      <c r="AE50" s="183" t="s">
        <v>33</v>
      </c>
      <c r="AF50" s="183"/>
      <c r="AG50" s="183"/>
      <c r="AH50" s="183"/>
      <c r="AI50" s="183"/>
      <c r="AJ50" s="184"/>
      <c r="AK50" s="136"/>
      <c r="AL50" s="136"/>
      <c r="AM50" s="133" t="str">
        <f>IF([2]回答表!X49="●",[2]回答表!B87,IF([2]回答表!AA49="●",[2]回答表!B115,""))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IF([2]回答表!AD49="●","●","")</f>
        <v/>
      </c>
      <c r="O57" s="131"/>
      <c r="P57" s="131"/>
      <c r="Q57" s="132"/>
      <c r="R57" s="119"/>
      <c r="S57" s="119"/>
      <c r="T57" s="119"/>
      <c r="U57" s="133" t="str">
        <f>IF([2]回答表!AD49="●",[2]回答表!B123,"")</f>
        <v/>
      </c>
      <c r="V57" s="134"/>
      <c r="W57" s="134"/>
      <c r="X57" s="134"/>
      <c r="Y57" s="134"/>
      <c r="Z57" s="134"/>
      <c r="AA57" s="134"/>
      <c r="AB57" s="134"/>
      <c r="AC57" s="134"/>
      <c r="AD57" s="134"/>
      <c r="AE57" s="134"/>
      <c r="AF57" s="134"/>
      <c r="AG57" s="134"/>
      <c r="AH57" s="134"/>
      <c r="AI57" s="134"/>
      <c r="AJ57" s="135"/>
      <c r="AK57" s="189"/>
      <c r="AL57" s="189"/>
      <c r="AM57" s="133" t="str">
        <f>IF([2]回答表!AD49="●",[2]回答表!B128,"")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IF([2]回答表!X50="●","●","")</f>
        <v/>
      </c>
      <c r="O68" s="131"/>
      <c r="P68" s="131"/>
      <c r="Q68" s="132"/>
      <c r="R68" s="119"/>
      <c r="S68" s="119"/>
      <c r="T68" s="119"/>
      <c r="U68" s="133" t="str">
        <f>IF([2]回答表!X50="●",[2]回答表!B138,IF([2]回答表!AA50="●",[2]回答表!B159,""))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IF([2]回答表!X50="●",[2]回答表!S144,IF([2]回答表!AA50="●",[2]回答表!S165,""))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IF([2]回答表!X50="●",[2]回答表!J144,IF([2]回答表!AA50="●",[2]回答表!J165,""))</f>
        <v/>
      </c>
      <c r="AN71" s="83"/>
      <c r="AO71" s="83"/>
      <c r="AP71" s="83"/>
      <c r="AQ71" s="83"/>
      <c r="AR71" s="83"/>
      <c r="AS71" s="83"/>
      <c r="AT71" s="153"/>
      <c r="AU71" s="82" t="str">
        <f>IF([2]回答表!X50="●",[2]回答表!J145,IF([2]回答表!AA50="●",[2]回答表!J166,""))</f>
        <v/>
      </c>
      <c r="AV71" s="83"/>
      <c r="AW71" s="83"/>
      <c r="AX71" s="83"/>
      <c r="AY71" s="83"/>
      <c r="AZ71" s="83"/>
      <c r="BA71" s="83"/>
      <c r="BB71" s="153"/>
      <c r="BC71" s="120"/>
      <c r="BD71" s="109"/>
      <c r="BE71" s="109"/>
      <c r="BF71" s="150" t="str">
        <f>IF([2]回答表!X50="●",[2]回答表!V144,IF([2]回答表!AA50="●",[2]回答表!V165,""))</f>
        <v/>
      </c>
      <c r="BG71" s="151"/>
      <c r="BH71" s="151"/>
      <c r="BI71" s="151"/>
      <c r="BJ71" s="150" t="str">
        <f>IF([2]回答表!X50="●",[2]回答表!V145,IF([2]回答表!AA50="●",[2]回答表!V166,""))</f>
        <v/>
      </c>
      <c r="BK71" s="151"/>
      <c r="BL71" s="151"/>
      <c r="BM71" s="151"/>
      <c r="BN71" s="150" t="str">
        <f>IF([2]回答表!X50="●",[2]回答表!V146,IF([2]回答表!AA50="●",[2]回答表!V167,""))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IF([2]回答表!AA50="●","●","")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IF([2]回答表!X50="●",[2]回答表!E149,IF([2]回答表!AA50="●",[2]回答表!E170,""))</f>
        <v/>
      </c>
      <c r="V80" s="182"/>
      <c r="W80" s="182"/>
      <c r="X80" s="182"/>
      <c r="Y80" s="182"/>
      <c r="Z80" s="182"/>
      <c r="AA80" s="182"/>
      <c r="AB80" s="182"/>
      <c r="AC80" s="182"/>
      <c r="AD80" s="182"/>
      <c r="AE80" s="183" t="s">
        <v>33</v>
      </c>
      <c r="AF80" s="183"/>
      <c r="AG80" s="183"/>
      <c r="AH80" s="183"/>
      <c r="AI80" s="183"/>
      <c r="AJ80" s="184"/>
      <c r="AK80" s="136"/>
      <c r="AL80" s="136"/>
      <c r="AM80" s="133" t="str">
        <f>IF([2]回答表!X50="●",[2]回答表!B151,IF([2]回答表!AA50="●",[2]回答表!B172,""))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IF([2]回答表!AD50="●","●","")</f>
        <v/>
      </c>
      <c r="O87" s="131"/>
      <c r="P87" s="131"/>
      <c r="Q87" s="132"/>
      <c r="R87" s="119"/>
      <c r="S87" s="119"/>
      <c r="T87" s="119"/>
      <c r="U87" s="133" t="str">
        <f>IF([2]回答表!AD50="●",[2]回答表!B180,"")</f>
        <v/>
      </c>
      <c r="V87" s="134"/>
      <c r="W87" s="134"/>
      <c r="X87" s="134"/>
      <c r="Y87" s="134"/>
      <c r="Z87" s="134"/>
      <c r="AA87" s="134"/>
      <c r="AB87" s="134"/>
      <c r="AC87" s="134"/>
      <c r="AD87" s="134"/>
      <c r="AE87" s="134"/>
      <c r="AF87" s="134"/>
      <c r="AG87" s="134"/>
      <c r="AH87" s="134"/>
      <c r="AI87" s="134"/>
      <c r="AJ87" s="135"/>
      <c r="AK87" s="189"/>
      <c r="AL87" s="189"/>
      <c r="AM87" s="133" t="str">
        <f>IF([2]回答表!AD50="●",[2]回答表!B186,"")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IF([2]回答表!F18="水道事業",IF([2]回答表!X51="●","●",""),"")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IF([2]回答表!F18="水道事業",IF([2]回答表!X51="●",[2]回答表!B197,IF([2]回答表!AA51="●",[2]回答表!B275,"")),"")</f>
        <v xml:space="preserve">市内他水源から離れている地域の給水について水源を維持していくことが困難になってきており、その課題に対処するため他自治体（他県）から県境を越えて受水することとし、協議を重ねた結果、令和４年３月に地方自治法第244条の3第2項の規定に基づく公の施設の利用に関する協議について議会の議決を得たところである。       </v>
      </c>
      <c r="AN99" s="134"/>
      <c r="AO99" s="134"/>
      <c r="AP99" s="134"/>
      <c r="AQ99" s="134"/>
      <c r="AR99" s="134"/>
      <c r="AS99" s="134"/>
      <c r="AT99" s="134"/>
      <c r="AU99" s="134"/>
      <c r="AV99" s="134"/>
      <c r="AW99" s="134"/>
      <c r="AX99" s="134"/>
      <c r="AY99" s="134"/>
      <c r="AZ99" s="134"/>
      <c r="BA99" s="134"/>
      <c r="BB99" s="134"/>
      <c r="BC99" s="135"/>
      <c r="BD99" s="109"/>
      <c r="BE99" s="109"/>
      <c r="BF99" s="138" t="str">
        <f>IF([2]回答表!F18="水道事業",IF([2]回答表!X51="●",[2]回答表!B256,IF([2]回答表!AA51="●",[2]回答表!B335,"")),"")</f>
        <v>令和</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IF([2]回答表!F18="水道事業",IF([2]回答表!X51="●",[2]回答表!J205,IF([2]回答表!AA51="●",[2]回答表!J283,"")),"")</f>
        <v xml:space="preserve"> </v>
      </c>
      <c r="V101" s="83"/>
      <c r="W101" s="83"/>
      <c r="X101" s="83"/>
      <c r="Y101" s="83"/>
      <c r="Z101" s="83"/>
      <c r="AA101" s="83"/>
      <c r="AB101" s="153"/>
      <c r="AC101" s="82" t="str">
        <f>IF([2]回答表!F18="水道事業",IF([2]回答表!X51="●",[2]回答表!J210,IF([2]回答表!AA51="●",[2]回答表!J290,"")),"")</f>
        <v>●</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f>IF([2]回答表!F18="水道事業",IF([2]回答表!X51="●",[2]回答表!E256,IF([2]回答表!AA51="●",[2]回答表!E335,"")),"")</f>
        <v>6</v>
      </c>
      <c r="BG102" s="151"/>
      <c r="BH102" s="151"/>
      <c r="BI102" s="151"/>
      <c r="BJ102" s="150">
        <f>IF([2]回答表!F18="水道事業",IF([2]回答表!X51="●",[2]回答表!E257,IF([2]回答表!AA51="●",[2]回答表!E336,"")),"")</f>
        <v>4</v>
      </c>
      <c r="BK102" s="151"/>
      <c r="BL102" s="151"/>
      <c r="BM102" s="151"/>
      <c r="BN102" s="150">
        <f>IF([2]回答表!F18="水道事業",IF([2]回答表!X51="●",[2]回答表!E258,IF([2]回答表!AA51="●",[2]回答表!E337,"")),"")</f>
        <v>1</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IF([2]回答表!F18="水道事業",IF([2]回答表!AA51="●","●",""),"")</f>
        <v>●</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IF([2]回答表!F18="水道事業",IF([2]回答表!X51="●",[2]回答表!J213,IF([2]回答表!AA51="●",[2]回答表!J293,"")),"")</f>
        <v xml:space="preserve"> </v>
      </c>
      <c r="V106" s="83"/>
      <c r="W106" s="83"/>
      <c r="X106" s="83"/>
      <c r="Y106" s="83"/>
      <c r="Z106" s="83"/>
      <c r="AA106" s="83"/>
      <c r="AB106" s="153"/>
      <c r="AC106" s="82" t="str">
        <f>IF([2]回答表!F18="水道事業",IF([2]回答表!X51="●",[2]回答表!J217,IF([2]回答表!AA51="●",[2]回答表!J297,"")),"")</f>
        <v xml:space="preserve">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f>IF([2]回答表!F18="水道事業",IF([2]回答表!X51="●",[2]回答表!E265,IF([2]回答表!AA51="●",[2]回答表!E344,"")),"")</f>
        <v>18</v>
      </c>
      <c r="V111" s="182"/>
      <c r="W111" s="182"/>
      <c r="X111" s="182"/>
      <c r="Y111" s="182"/>
      <c r="Z111" s="182"/>
      <c r="AA111" s="182"/>
      <c r="AB111" s="182"/>
      <c r="AC111" s="182"/>
      <c r="AD111" s="182"/>
      <c r="AE111" s="183" t="s">
        <v>33</v>
      </c>
      <c r="AF111" s="183"/>
      <c r="AG111" s="183"/>
      <c r="AH111" s="183"/>
      <c r="AI111" s="183"/>
      <c r="AJ111" s="184"/>
      <c r="AK111" s="136"/>
      <c r="AL111" s="136"/>
      <c r="AM111" s="133" t="str">
        <f>IF([2]回答表!F18="水道事業",IF([2]回答表!X51="●",[2]回答表!B267,IF([2]回答表!AA51="●",[2]回答表!B346,"")),"")</f>
        <v>①建設改良費　年▲17
②維持管理費　年▲  1
　　　　　　計　  　  ▲18</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IF([2]回答表!F18="水道事業",IF([2]回答表!AD51="●","●",""),"")</f>
        <v/>
      </c>
      <c r="O118" s="131"/>
      <c r="P118" s="131"/>
      <c r="Q118" s="132"/>
      <c r="R118" s="119"/>
      <c r="S118" s="119"/>
      <c r="T118" s="119"/>
      <c r="U118" s="133" t="str">
        <f>IF([2]回答表!F18="水道事業",IF([2]回答表!AD51="●",[2]回答表!B354,""),"")</f>
        <v/>
      </c>
      <c r="V118" s="134"/>
      <c r="W118" s="134"/>
      <c r="X118" s="134"/>
      <c r="Y118" s="134"/>
      <c r="Z118" s="134"/>
      <c r="AA118" s="134"/>
      <c r="AB118" s="134"/>
      <c r="AC118" s="134"/>
      <c r="AD118" s="134"/>
      <c r="AE118" s="134"/>
      <c r="AF118" s="134"/>
      <c r="AG118" s="134"/>
      <c r="AH118" s="134"/>
      <c r="AI118" s="134"/>
      <c r="AJ118" s="135"/>
      <c r="AK118" s="189"/>
      <c r="AL118" s="189"/>
      <c r="AM118" s="133" t="str">
        <f>IF([2]回答表!F18="水道事業",IF([2]回答表!AD51="●",[2]回答表!B360,""),"")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IF([2]回答表!F18="簡易水道事業",IF([2]回答表!X51="●",[2]回答表!B197,IF([2]回答表!AA51="●",[2]回答表!B275,"")),"")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IF([2]回答表!F18="簡易水道事業",IF([2]回答表!X51="●",[2]回答表!B256,IF([2]回答表!AA51="●",[2]回答表!B335,"")),"")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IF([2]回答表!F18="簡易水道事業",IF([2]回答表!X51="●","●",""),"")</f>
        <v/>
      </c>
      <c r="O132" s="131"/>
      <c r="P132" s="131"/>
      <c r="Q132" s="132"/>
      <c r="R132" s="119"/>
      <c r="S132" s="119"/>
      <c r="T132" s="119"/>
      <c r="U132" s="82" t="str">
        <f>IF([2]回答表!F18="簡易水道事業",IF([2]回答表!X51="●",[2]回答表!S224,IF([2]回答表!AA51="●",[2]回答表!S304,"")),"")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IF([2]回答表!F18="簡易水道事業",IF([2]回答表!X51="●",[2]回答表!E256,IF([2]回答表!AA51="●",[2]回答表!E335,"")),"")</f>
        <v/>
      </c>
      <c r="BG133" s="151"/>
      <c r="BH133" s="151"/>
      <c r="BI133" s="151"/>
      <c r="BJ133" s="150" t="str">
        <f>IF([2]回答表!F18="簡易水道事業",IF([2]回答表!X51="●",[2]回答表!E257,IF([2]回答表!AA51="●",[2]回答表!E336,"")),"")</f>
        <v/>
      </c>
      <c r="BK133" s="151"/>
      <c r="BL133" s="151"/>
      <c r="BM133" s="151"/>
      <c r="BN133" s="150" t="str">
        <f>IF([2]回答表!F18="簡易水道事業",IF([2]回答表!X51="●",[2]回答表!E258,IF([2]回答表!AA51="●",[2]回答表!E337,"")),"")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IF([2]回答表!F18="簡易水道事業",IF([2]回答表!X51="●",[2]回答表!S225,IF([2]回答表!AA51="●",[2]回答表!S305,"")),"")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IF([2]回答表!F18="簡易水道事業",IF([2]回答表!AA51="●","●",""),"")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IF([2]回答表!F18="簡易水道事業",IF([2]回答表!X51="●",[2]回答表!S226,IF([2]回答表!AA51="●",[2]回答表!S306,"")),"")</f>
        <v/>
      </c>
      <c r="V142" s="83"/>
      <c r="W142" s="83"/>
      <c r="X142" s="83"/>
      <c r="Y142" s="83"/>
      <c r="Z142" s="83"/>
      <c r="AA142" s="83"/>
      <c r="AB142" s="83"/>
      <c r="AC142" s="83"/>
      <c r="AD142" s="83"/>
      <c r="AE142" s="83"/>
      <c r="AF142" s="83"/>
      <c r="AG142" s="83"/>
      <c r="AH142" s="83"/>
      <c r="AI142" s="83"/>
      <c r="AJ142" s="153"/>
      <c r="AK142" s="68"/>
      <c r="AL142" s="68"/>
      <c r="AM142" s="231" t="str">
        <f>IF([2]回答表!F18="簡易水道事業",IF([2]回答表!X51="●",[2]回答表!Y228,IF([2]回答表!AA51="●",[2]回答表!Y308,"")),"")</f>
        <v/>
      </c>
      <c r="AN142" s="231"/>
      <c r="AO142" s="231"/>
      <c r="AP142" s="231"/>
      <c r="AQ142" s="231"/>
      <c r="AR142" s="231"/>
      <c r="AS142" s="231" t="str">
        <f>IF([2]回答表!F18="簡易水道事業",IF([2]回答表!X51="●",[2]回答表!Y229,IF([2]回答表!AA51="●",[2]回答表!Y309,"")),"")</f>
        <v/>
      </c>
      <c r="AT142" s="231"/>
      <c r="AU142" s="231"/>
      <c r="AV142" s="231"/>
      <c r="AW142" s="231"/>
      <c r="AX142" s="231"/>
      <c r="AY142" s="231" t="str">
        <f>IF([2]回答表!F18="簡易水道事業",IF([2]回答表!X51="●",[2]回答表!Y230,IF([2]回答表!AA51="●",[2]回答表!Y310,"")),"")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IF([2]回答表!F18="簡易水道事業",IF([2]回答表!X51="●",[2]回答表!E265,IF([2]回答表!AA51="●",[2]回答表!E344,"")),"")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IF([2]回答表!F18="簡易水道事業",IF([2]回答表!X51="●",[2]回答表!B267,IF([2]回答表!AA51="●",[2]回答表!B346,"")),"")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IF([2]回答表!F18="簡易水道事業",IF([2]回答表!AD51="●","●",""),"")</f>
        <v/>
      </c>
      <c r="O154" s="131"/>
      <c r="P154" s="131"/>
      <c r="Q154" s="132"/>
      <c r="R154" s="119"/>
      <c r="S154" s="119"/>
      <c r="T154" s="119"/>
      <c r="U154" s="133" t="str">
        <f>IF([2]回答表!F18="簡易水道事業",IF([2]回答表!AD51="●",[2]回答表!B354,""),"")</f>
        <v/>
      </c>
      <c r="V154" s="134"/>
      <c r="W154" s="134"/>
      <c r="X154" s="134"/>
      <c r="Y154" s="134"/>
      <c r="Z154" s="134"/>
      <c r="AA154" s="134"/>
      <c r="AB154" s="134"/>
      <c r="AC154" s="134"/>
      <c r="AD154" s="134"/>
      <c r="AE154" s="134"/>
      <c r="AF154" s="134"/>
      <c r="AG154" s="134"/>
      <c r="AH154" s="134"/>
      <c r="AI154" s="134"/>
      <c r="AJ154" s="135"/>
      <c r="AK154" s="189"/>
      <c r="AL154" s="189"/>
      <c r="AM154" s="133" t="str">
        <f>IF([2]回答表!F18="簡易水道事業",IF([2]回答表!AD51="●",[2]回答表!B360,""),"")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IF([2]回答表!F18="下水道事業",IF([2]回答表!X51="●","●",""),"")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IF([2]回答表!F18="下水道事業",IF([2]回答表!X51="●",[2]回答表!B197,IF([2]回答表!AA51="●",[2]回答表!B275,"")),"")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IF([2]回答表!F18="下水道事業",IF([2]回答表!X51="●",[2]回答表!B256,IF([2]回答表!AA51="●",[2]回答表!B335,"")),"")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IF([2]回答表!F18="下水道事業",IF([2]回答表!X51="●",[2]回答表!N234,IF([2]回答表!AA51="●",[2]回答表!N314,"")),"")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IF([2]回答表!F18="下水道事業",IF([2]回答表!X51="●",[2]回答表!E256,IF([2]回答表!AA51="●",[2]回答表!E335,"")),"")</f>
        <v/>
      </c>
      <c r="BG169" s="151"/>
      <c r="BH169" s="151"/>
      <c r="BI169" s="151"/>
      <c r="BJ169" s="150" t="str">
        <f>IF([2]回答表!F18="下水道事業",IF([2]回答表!X51="●",[2]回答表!E257,IF([2]回答表!AA51="●",[2]回答表!E336,"")),"")</f>
        <v/>
      </c>
      <c r="BK169" s="151"/>
      <c r="BL169" s="151"/>
      <c r="BM169" s="151"/>
      <c r="BN169" s="150" t="str">
        <f>IF([2]回答表!F18="下水道事業",IF([2]回答表!X51="●",[2]回答表!E258,IF([2]回答表!AA51="●",[2]回答表!E337,"")),"")</f>
        <v/>
      </c>
      <c r="BO169" s="151"/>
      <c r="BP169" s="151"/>
      <c r="BQ169" s="152"/>
      <c r="BR169" s="112"/>
      <c r="BX169" s="234" t="str">
        <f>IF([2]回答表!AQ21="下水道事業",IF([2]回答表!BI54="○",[2]回答表!AM200,IF([2]回答表!BL54="○",[2]回答表!AM278,"")),"")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IF([2]回答表!F18="下水道事業",IF([2]回答表!X51="●",[2]回答表!Y236,IF([2]回答表!AA51="●",[2]回答表!Y316,"")),"")</f>
        <v/>
      </c>
      <c r="V174" s="83"/>
      <c r="W174" s="83"/>
      <c r="X174" s="83"/>
      <c r="Y174" s="83"/>
      <c r="Z174" s="83"/>
      <c r="AA174" s="83"/>
      <c r="AB174" s="153"/>
      <c r="AC174" s="82" t="str">
        <f>IF([2]回答表!F18="下水道事業",IF([2]回答表!X51="●",[2]回答表!Y237,IF([2]回答表!AA51="●",[2]回答表!Y317,"")),"")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IF([2]回答表!F18="下水道事業",IF([2]回答表!X51="●",[2]回答表!Y239,IF([2]回答表!AA51="●",[2]回答表!Y319,"")),"")</f>
        <v/>
      </c>
      <c r="V180" s="83"/>
      <c r="W180" s="83"/>
      <c r="X180" s="83"/>
      <c r="Y180" s="83"/>
      <c r="Z180" s="83"/>
      <c r="AA180" s="83"/>
      <c r="AB180" s="153"/>
      <c r="AC180" s="82" t="str">
        <f>IF([2]回答表!F18="下水道事業",IF([2]回答表!X51="●",[2]回答表!Y240,IF([2]回答表!AA51="●",[2]回答表!Y320,"")),"")</f>
        <v/>
      </c>
      <c r="AD180" s="83"/>
      <c r="AE180" s="83"/>
      <c r="AF180" s="83"/>
      <c r="AG180" s="83"/>
      <c r="AH180" s="83"/>
      <c r="AI180" s="83"/>
      <c r="AJ180" s="153"/>
      <c r="AK180" s="82" t="str">
        <f>IF([2]回答表!F18="下水道事業",IF([2]回答表!X51="●",[2]回答表!Y241,IF([2]回答表!AA51="●",[2]回答表!Y321,"")),"")</f>
        <v/>
      </c>
      <c r="AL180" s="83"/>
      <c r="AM180" s="83"/>
      <c r="AN180" s="83"/>
      <c r="AO180" s="83"/>
      <c r="AP180" s="83"/>
      <c r="AQ180" s="83"/>
      <c r="AR180" s="153"/>
      <c r="AS180" s="82" t="str">
        <f>IF([2]回答表!F18="下水道事業",IF([2]回答表!X51="●",[2]回答表!Y242,IF([2]回答表!AA51="●",[2]回答表!Y322,"")),"")</f>
        <v/>
      </c>
      <c r="AT180" s="83"/>
      <c r="AU180" s="83"/>
      <c r="AV180" s="83"/>
      <c r="AW180" s="83"/>
      <c r="AX180" s="83"/>
      <c r="AY180" s="83"/>
      <c r="AZ180" s="153"/>
      <c r="BA180" s="82" t="str">
        <f>IF([2]回答表!F18="下水道事業",IF([2]回答表!X51="●",[2]回答表!Y243,IF([2]回答表!AA51="●",[2]回答表!Y323,"")),"")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IF([2]回答表!F18="下水道事業",IF([2]回答表!AA51="●","●",""),"")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IF([2]回答表!F18="下水道事業",IF([2]回答表!X51="●",[2]回答表!N248,IF([2]回答表!AA51="●",[2]回答表!N328,"")),"")</f>
        <v/>
      </c>
      <c r="V186" s="83"/>
      <c r="W186" s="83"/>
      <c r="X186" s="83"/>
      <c r="Y186" s="83"/>
      <c r="Z186" s="83"/>
      <c r="AA186" s="83"/>
      <c r="AB186" s="153"/>
      <c r="AC186" s="82" t="str">
        <f>IF([2]回答表!F18="下水道事業",IF([2]回答表!X51="●",[2]回答表!N249,IF([2]回答表!AA51="●",[2]回答表!N329,"")),"")</f>
        <v/>
      </c>
      <c r="AD186" s="83"/>
      <c r="AE186" s="83"/>
      <c r="AF186" s="83"/>
      <c r="AG186" s="83"/>
      <c r="AH186" s="83"/>
      <c r="AI186" s="83"/>
      <c r="AJ186" s="153"/>
      <c r="AK186" s="82" t="str">
        <f>IF([2]回答表!F18="下水道事業",IF([2]回答表!X51="●",[2]回答表!N250,IF([2]回答表!AA51="●",[2]回答表!N330,"")),"")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IF([2]回答表!F18="下水道事業",IF([2]回答表!X51="●",[2]回答表!E265,IF([2]回答表!AA51="●",[2]回答表!E344,"")),"")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IF([2]回答表!F18="下水道事業",IF([2]回答表!X51="●",[2]回答表!B267,IF([2]回答表!AA51="●",[2]回答表!B346,"")),"")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IF([2]回答表!F18="下水道事業",IF([2]回答表!AD51="●","●",""),"")</f>
        <v/>
      </c>
      <c r="O198" s="131"/>
      <c r="P198" s="131"/>
      <c r="Q198" s="132"/>
      <c r="R198" s="119"/>
      <c r="S198" s="119"/>
      <c r="T198" s="119"/>
      <c r="U198" s="133" t="str">
        <f>IF([2]回答表!F18="下水道事業",IF([2]回答表!AD51="●",[2]回答表!B354,""),"")</f>
        <v/>
      </c>
      <c r="V198" s="134"/>
      <c r="W198" s="134"/>
      <c r="X198" s="134"/>
      <c r="Y198" s="134"/>
      <c r="Z198" s="134"/>
      <c r="AA198" s="134"/>
      <c r="AB198" s="134"/>
      <c r="AC198" s="134"/>
      <c r="AD198" s="134"/>
      <c r="AE198" s="134"/>
      <c r="AF198" s="134"/>
      <c r="AG198" s="134"/>
      <c r="AH198" s="134"/>
      <c r="AI198" s="134"/>
      <c r="AJ198" s="135"/>
      <c r="AK198" s="189"/>
      <c r="AL198" s="189"/>
      <c r="AM198" s="133" t="str">
        <f>IF([2]回答表!F18="下水道事業",IF([2]回答表!AD51="●",[2]回答表!B360,""),"")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IF([2]回答表!BD18="●",IF([2]回答表!X51="●","●",""),"")</f>
        <v/>
      </c>
      <c r="O210" s="131"/>
      <c r="P210" s="131"/>
      <c r="Q210" s="132"/>
      <c r="R210" s="119"/>
      <c r="S210" s="119"/>
      <c r="T210" s="119"/>
      <c r="U210" s="133" t="str">
        <f>IF([2]回答表!BD18="●",IF([2]回答表!X51="●",[2]回答表!B197,IF([2]回答表!AA51="●",[2]回答表!B275,"")),"")</f>
        <v/>
      </c>
      <c r="V210" s="134"/>
      <c r="W210" s="134"/>
      <c r="X210" s="134"/>
      <c r="Y210" s="134"/>
      <c r="Z210" s="134"/>
      <c r="AA210" s="134"/>
      <c r="AB210" s="134"/>
      <c r="AC210" s="134"/>
      <c r="AD210" s="134"/>
      <c r="AE210" s="134"/>
      <c r="AF210" s="134"/>
      <c r="AG210" s="134"/>
      <c r="AH210" s="134"/>
      <c r="AI210" s="134"/>
      <c r="AJ210" s="135"/>
      <c r="AK210" s="136"/>
      <c r="AL210" s="136"/>
      <c r="AM210" s="138" t="str">
        <f>IF([2]回答表!BD18="●",IF([2]回答表!X51="●",[2]回答表!B256,IF([2]回答表!AA51="●",[2]回答表!B335,"")),"")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IF([2]回答表!BD18="●",IF([2]回答表!X51="●",[2]回答表!E256,IF([2]回答表!AA51="●",[2]回答表!E335,"")),"")</f>
        <v/>
      </c>
      <c r="AN213" s="151"/>
      <c r="AO213" s="151"/>
      <c r="AP213" s="151"/>
      <c r="AQ213" s="150" t="str">
        <f>IF([2]回答表!BD18="●",IF([2]回答表!X51="●",[2]回答表!E257,IF([2]回答表!AA51="●",[2]回答表!E336,"")),"")</f>
        <v/>
      </c>
      <c r="AR213" s="151"/>
      <c r="AS213" s="151"/>
      <c r="AT213" s="151"/>
      <c r="AU213" s="150" t="str">
        <f>IF([2]回答表!BD18="●",IF([2]回答表!X51="●",[2]回答表!E258,IF([2]回答表!AA51="●",[2]回答表!E337,"")),"")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IF([2]回答表!BD18="●",IF([2]回答表!AA51="●","●",""),"")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IF([2]回答表!BD18="●",IF([2]回答表!X51="●",[2]回答表!E265,IF([2]回答表!AA51="●",[2]回答表!E344,"")),"")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IF([2]回答表!BD18="●",IF([2]回答表!X51="●",[2]回答表!B267,IF([2]回答表!AA51="●",[2]回答表!B346,"")),"")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IF([2]回答表!BD18="●",IF([2]回答表!AD51="●","●",""),"")</f>
        <v/>
      </c>
      <c r="O229" s="131"/>
      <c r="P229" s="131"/>
      <c r="Q229" s="132"/>
      <c r="R229" s="119"/>
      <c r="S229" s="119"/>
      <c r="T229" s="119"/>
      <c r="U229" s="133" t="str">
        <f>IF([2]回答表!BD18="●",IF([2]回答表!AD51="●",[2]回答表!B354,""),"")</f>
        <v/>
      </c>
      <c r="V229" s="134"/>
      <c r="W229" s="134"/>
      <c r="X229" s="134"/>
      <c r="Y229" s="134"/>
      <c r="Z229" s="134"/>
      <c r="AA229" s="134"/>
      <c r="AB229" s="134"/>
      <c r="AC229" s="134"/>
      <c r="AD229" s="134"/>
      <c r="AE229" s="134"/>
      <c r="AF229" s="134"/>
      <c r="AG229" s="134"/>
      <c r="AH229" s="134"/>
      <c r="AI229" s="134"/>
      <c r="AJ229" s="135"/>
      <c r="AK229" s="249"/>
      <c r="AL229" s="249"/>
      <c r="AM229" s="133" t="str">
        <f>IF([2]回答表!BD18="●",IF([2]回答表!AD51="●",[2]回答表!B360,""),"")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IF([2]回答表!X52="●","●","")</f>
        <v/>
      </c>
      <c r="O241" s="131"/>
      <c r="P241" s="131"/>
      <c r="Q241" s="132"/>
      <c r="R241" s="119"/>
      <c r="S241" s="119"/>
      <c r="T241" s="119"/>
      <c r="U241" s="133" t="str">
        <f>IF([2]回答表!X52="●",[2]回答表!B371,IF([2]回答表!AA52="●",[2]回答表!B396,""))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IF([2]回答表!X52="●",[2]回答表!U377,IF([2]回答表!AA52="●",[2]回答表!U402,""))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IF([2]回答表!X52="●",[2]回答表!G377,IF([2]回答表!AA52="●",[2]回答表!G402,""))</f>
        <v/>
      </c>
      <c r="AN244" s="83"/>
      <c r="AO244" s="83"/>
      <c r="AP244" s="83"/>
      <c r="AQ244" s="83"/>
      <c r="AR244" s="83"/>
      <c r="AS244" s="83"/>
      <c r="AT244" s="153"/>
      <c r="AU244" s="82" t="str">
        <f>IF([2]回答表!X52="●",[2]回答表!G378,IF([2]回答表!AA52="●",[2]回答表!G403,""))</f>
        <v/>
      </c>
      <c r="AV244" s="83"/>
      <c r="AW244" s="83"/>
      <c r="AX244" s="83"/>
      <c r="AY244" s="83"/>
      <c r="AZ244" s="83"/>
      <c r="BA244" s="83"/>
      <c r="BB244" s="153"/>
      <c r="BC244" s="120"/>
      <c r="BD244" s="109"/>
      <c r="BE244" s="109"/>
      <c r="BF244" s="150" t="str">
        <f>IF([2]回答表!X52="●",[2]回答表!X377,IF([2]回答表!AA52="●",[2]回答表!X402,""))</f>
        <v/>
      </c>
      <c r="BG244" s="151"/>
      <c r="BH244" s="151"/>
      <c r="BI244" s="151"/>
      <c r="BJ244" s="150" t="str">
        <f>IF([2]回答表!X52="●",[2]回答表!X378,IF([2]回答表!AA52="●",[2]回答表!X403,""))</f>
        <v/>
      </c>
      <c r="BK244" s="151"/>
      <c r="BL244" s="151"/>
      <c r="BM244" s="152"/>
      <c r="BN244" s="150" t="str">
        <f>IF([2]回答表!X52="●",[2]回答表!X379,IF([2]回答表!AA52="●",[2]回答表!X404,""))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IF([2]回答表!AA52="●","●","")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IF([2]回答表!X52="●",[2]回答表!E386,IF([2]回答表!AA52="●",[2]回答表!E407,""))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IF([2]回答表!X52="●",[2]回答表!B388,IF([2]回答表!AA52="●",[2]回答表!B409,""))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IF([2]回答表!AD52="●","●","")</f>
        <v/>
      </c>
      <c r="O260" s="131"/>
      <c r="P260" s="131"/>
      <c r="Q260" s="132"/>
      <c r="R260" s="119"/>
      <c r="S260" s="119"/>
      <c r="T260" s="119"/>
      <c r="U260" s="133" t="str">
        <f>IF([2]回答表!AD52="●",[2]回答表!B417,"")</f>
        <v/>
      </c>
      <c r="V260" s="134"/>
      <c r="W260" s="134"/>
      <c r="X260" s="134"/>
      <c r="Y260" s="134"/>
      <c r="Z260" s="134"/>
      <c r="AA260" s="134"/>
      <c r="AB260" s="134"/>
      <c r="AC260" s="134"/>
      <c r="AD260" s="134"/>
      <c r="AE260" s="134"/>
      <c r="AF260" s="134"/>
      <c r="AG260" s="134"/>
      <c r="AH260" s="134"/>
      <c r="AI260" s="134"/>
      <c r="AJ260" s="135"/>
      <c r="AK260" s="249"/>
      <c r="AL260" s="249"/>
      <c r="AM260" s="133" t="str">
        <f>IF([2]回答表!AD52="●",[2]回答表!B423,"")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IF([2]回答表!X53="●","●","")</f>
        <v>●</v>
      </c>
      <c r="O272" s="131"/>
      <c r="P272" s="131"/>
      <c r="Q272" s="132"/>
      <c r="R272" s="119"/>
      <c r="S272" s="119"/>
      <c r="T272" s="119"/>
      <c r="U272" s="133" t="str">
        <f>IF([2]回答表!X53="●",[2]回答表!B434,IF([2]回答表!AA53="●",[2]回答表!B465,""))</f>
        <v>上下水道料金等関連業務について、事業提案型プロポーザル方式により委託者を選定し、委託契約を締結した。（期間５年）</v>
      </c>
      <c r="V272" s="134"/>
      <c r="W272" s="134"/>
      <c r="X272" s="134"/>
      <c r="Y272" s="134"/>
      <c r="Z272" s="134"/>
      <c r="AA272" s="134"/>
      <c r="AB272" s="134"/>
      <c r="AC272" s="134"/>
      <c r="AD272" s="134"/>
      <c r="AE272" s="134"/>
      <c r="AF272" s="134"/>
      <c r="AG272" s="134"/>
      <c r="AH272" s="134"/>
      <c r="AI272" s="134"/>
      <c r="AJ272" s="135"/>
      <c r="AK272" s="136"/>
      <c r="AL272" s="136"/>
      <c r="AM272" s="136"/>
      <c r="AN272" s="133" t="str">
        <f>IF([2]回答表!X53="●",[2]回答表!B440,"")</f>
        <v>窓口業務、開閉栓業務、検針調定業務、収納業務、還付業務、滞納整理業務、給水停止業務、電算処理業務（料金システムを含む）、メーター交換業務、その他付帯業務　</v>
      </c>
      <c r="AO272" s="262"/>
      <c r="AP272" s="262"/>
      <c r="AQ272" s="262"/>
      <c r="AR272" s="262"/>
      <c r="AS272" s="262"/>
      <c r="AT272" s="262"/>
      <c r="AU272" s="262"/>
      <c r="AV272" s="262"/>
      <c r="AW272" s="262"/>
      <c r="AX272" s="262"/>
      <c r="AY272" s="262"/>
      <c r="AZ272" s="262"/>
      <c r="BA272" s="262"/>
      <c r="BB272" s="263"/>
      <c r="BC272" s="120"/>
      <c r="BD272" s="109"/>
      <c r="BE272" s="109"/>
      <c r="BF272" s="138" t="str">
        <f>IF([2]回答表!X53="●",[2]回答表!B446,IF([2]回答表!AA53="●",[2]回答表!B471,""))</f>
        <v>平成</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f>IF([2]回答表!X53="●",[2]回答表!E446,IF([2]回答表!AA53="●",[2]回答表!E471,""))</f>
        <v>22</v>
      </c>
      <c r="BG275" s="151"/>
      <c r="BH275" s="151"/>
      <c r="BI275" s="151"/>
      <c r="BJ275" s="150">
        <f>IF([2]回答表!X53="●",[2]回答表!E447,IF([2]回答表!AA53="●",[2]回答表!E472,""))</f>
        <v>11</v>
      </c>
      <c r="BK275" s="151"/>
      <c r="BL275" s="151"/>
      <c r="BM275" s="152"/>
      <c r="BN275" s="150">
        <f>IF([2]回答表!X53="●",[2]回答表!E448,IF([2]回答表!AA53="●",[2]回答表!E473,""))</f>
        <v>30</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IF([2]回答表!AA53="●","●","")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f>IF([2]回答表!X53="●",[2]回答表!E455,IF([2]回答表!AA53="●",[2]回答表!E476,""))</f>
        <v>0</v>
      </c>
      <c r="V284" s="182"/>
      <c r="W284" s="182"/>
      <c r="X284" s="182"/>
      <c r="Y284" s="182"/>
      <c r="Z284" s="182"/>
      <c r="AA284" s="182"/>
      <c r="AB284" s="182"/>
      <c r="AC284" s="182"/>
      <c r="AD284" s="182"/>
      <c r="AE284" s="183" t="s">
        <v>33</v>
      </c>
      <c r="AF284" s="183"/>
      <c r="AG284" s="183"/>
      <c r="AH284" s="183"/>
      <c r="AI284" s="183"/>
      <c r="AJ284" s="184"/>
      <c r="AK284" s="136"/>
      <c r="AL284" s="136"/>
      <c r="AM284" s="133">
        <f>IF([2]回答表!X53="●",[2]回答表!B457,IF([2]回答表!AA53="●",[2]回答表!B478,""))</f>
        <v>0</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IF([2]回答表!AD53="●","●","")</f>
        <v/>
      </c>
      <c r="O291" s="131"/>
      <c r="P291" s="131"/>
      <c r="Q291" s="132"/>
      <c r="R291" s="119"/>
      <c r="S291" s="119"/>
      <c r="T291" s="119"/>
      <c r="U291" s="133" t="str">
        <f>IF([2]回答表!AD53="●",[2]回答表!B486,"")</f>
        <v/>
      </c>
      <c r="V291" s="134"/>
      <c r="W291" s="134"/>
      <c r="X291" s="134"/>
      <c r="Y291" s="134"/>
      <c r="Z291" s="134"/>
      <c r="AA291" s="134"/>
      <c r="AB291" s="134"/>
      <c r="AC291" s="134"/>
      <c r="AD291" s="134"/>
      <c r="AE291" s="134"/>
      <c r="AF291" s="134"/>
      <c r="AG291" s="134"/>
      <c r="AH291" s="134"/>
      <c r="AI291" s="134"/>
      <c r="AJ291" s="135"/>
      <c r="AK291" s="249"/>
      <c r="AL291" s="249"/>
      <c r="AM291" s="133" t="str">
        <f>IF([2]回答表!AD53="●",[2]回答表!B492,"")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IF([2]回答表!X54="●","●","")</f>
        <v/>
      </c>
      <c r="O303" s="131"/>
      <c r="P303" s="131"/>
      <c r="Q303" s="132"/>
      <c r="R303" s="119"/>
      <c r="S303" s="119"/>
      <c r="T303" s="119"/>
      <c r="U303" s="133" t="str">
        <f>IF([2]回答表!X54="●",[2]回答表!B503,IF([2]回答表!AA54="●",[2]回答表!B526,""))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IF([2]回答表!X54="●",[2]回答表!BC510,IF([2]回答表!AA54="●",[2]回答表!BC533,""))</f>
        <v/>
      </c>
      <c r="AR303" s="271"/>
      <c r="AS303" s="271"/>
      <c r="AT303" s="271"/>
      <c r="AU303" s="272" t="s">
        <v>74</v>
      </c>
      <c r="AV303" s="273"/>
      <c r="AW303" s="273"/>
      <c r="AX303" s="274"/>
      <c r="AY303" s="271" t="str">
        <f>IF([2]回答表!X54="●",[2]回答表!BC515,IF([2]回答表!AA54="●",[2]回答表!BC538,""))</f>
        <v/>
      </c>
      <c r="AZ303" s="271"/>
      <c r="BA303" s="271"/>
      <c r="BB303" s="271"/>
      <c r="BC303" s="120"/>
      <c r="BD303" s="109"/>
      <c r="BE303" s="109"/>
      <c r="BF303" s="138" t="str">
        <f>IF([2]回答表!X54="●",[2]回答表!S509,IF([2]回答表!AA54="●",[2]回答表!S532,""))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IF([2]回答表!X54="●",[2]回答表!BC511,IF([2]回答表!AA54="●",[2]回答表!BC534,""))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IF([2]回答表!X54="●",[2]回答表!V509,IF([2]回答表!AA54="●",[2]回答表!V532,""))</f>
        <v/>
      </c>
      <c r="BG306" s="151"/>
      <c r="BH306" s="151"/>
      <c r="BI306" s="151"/>
      <c r="BJ306" s="150" t="str">
        <f>IF([2]回答表!X54="●",[2]回答表!V510,IF([2]回答表!AA54="●",[2]回答表!V533,""))</f>
        <v/>
      </c>
      <c r="BK306" s="151"/>
      <c r="BL306" s="151"/>
      <c r="BM306" s="152"/>
      <c r="BN306" s="150" t="str">
        <f>IF([2]回答表!X54="●",[2]回答表!V511,IF([2]回答表!AA54="●",[2]回答表!V534,""))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IF([2]回答表!X54="●",[2]回答表!BC512,IF([2]回答表!AA54="●",[2]回答表!BC535,""))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IF([2]回答表!X54="●",[2]回答表!BC516,IF([2]回答表!AA54="●",[2]回答表!BC539,""))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IF([2]回答表!AA54="●","●","")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IF([2]回答表!X54="●",[2]回答表!BC513,IF([2]回答表!AA54="●",[2]回答表!BC536,""))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IF([2]回答表!X54="●",[2]回答表!BC514,IF([2]回答表!AA54="●",[2]回答表!BC537,""))</f>
        <v/>
      </c>
      <c r="AR311" s="271"/>
      <c r="AS311" s="271"/>
      <c r="AT311" s="271"/>
      <c r="AU311" s="222" t="s">
        <v>80</v>
      </c>
      <c r="AV311" s="223"/>
      <c r="AW311" s="223"/>
      <c r="AX311" s="224"/>
      <c r="AY311" s="281" t="str">
        <f>IF([2]回答表!X54="●",[2]回答表!BC517,IF([2]回答表!AA54="●",[2]回答表!BC540,""))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IF([2]回答表!X54="●",[2]回答表!E516,IF([2]回答表!AA54="●",[2]回答表!E538,""))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IF([2]回答表!X54="●",[2]回答表!B518,IF([2]回答表!AA54="●",[2]回答表!B540,""))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IF([2]回答表!AD54="●","●","")</f>
        <v/>
      </c>
      <c r="O322" s="131"/>
      <c r="P322" s="131"/>
      <c r="Q322" s="132"/>
      <c r="R322" s="119"/>
      <c r="S322" s="119"/>
      <c r="T322" s="119"/>
      <c r="U322" s="133" t="str">
        <f>IF([2]回答表!AD54="●",[2]回答表!B548,"")</f>
        <v/>
      </c>
      <c r="V322" s="134"/>
      <c r="W322" s="134"/>
      <c r="X322" s="134"/>
      <c r="Y322" s="134"/>
      <c r="Z322" s="134"/>
      <c r="AA322" s="134"/>
      <c r="AB322" s="134"/>
      <c r="AC322" s="134"/>
      <c r="AD322" s="134"/>
      <c r="AE322" s="134"/>
      <c r="AF322" s="134"/>
      <c r="AG322" s="134"/>
      <c r="AH322" s="134"/>
      <c r="AI322" s="134"/>
      <c r="AJ322" s="135"/>
      <c r="AK322" s="189"/>
      <c r="AL322" s="189"/>
      <c r="AM322" s="133" t="str">
        <f>IF([2]回答表!AD54="●",[2]回答表!B554,"")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IF([2]回答表!X55="●","●","")</f>
        <v/>
      </c>
      <c r="O333" s="131"/>
      <c r="P333" s="131"/>
      <c r="Q333" s="132"/>
      <c r="R333" s="119"/>
      <c r="S333" s="119"/>
      <c r="T333" s="119"/>
      <c r="U333" s="133" t="str">
        <f>IF([2]回答表!X55="●",[2]回答表!B565,IF([2]回答表!AA55="●",[2]回答表!B590,""))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IF([2]回答表!X55="●",[2]回答表!B575,IF([2]回答表!AA55="●",[2]回答表!B600,""))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IF([2]回答表!X55="●",[2]回答表!G571,IF([2]回答表!AA55="●",[2]回答表!G596,""))</f>
        <v/>
      </c>
      <c r="AN335" s="83"/>
      <c r="AO335" s="83"/>
      <c r="AP335" s="83"/>
      <c r="AQ335" s="83"/>
      <c r="AR335" s="83"/>
      <c r="AS335" s="83"/>
      <c r="AT335" s="153"/>
      <c r="AU335" s="82" t="str">
        <f>IF([2]回答表!X55="●",[2]回答表!G572,IF([2]回答表!AA55="●",[2]回答表!G597,""))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IF([2]回答表!X55="●",[2]回答表!E575,IF([2]回答表!AA55="●",[2]回答表!E600,""))</f>
        <v/>
      </c>
      <c r="BG336" s="151"/>
      <c r="BH336" s="151"/>
      <c r="BI336" s="151"/>
      <c r="BJ336" s="150" t="str">
        <f>IF([2]回答表!X55="●",[2]回答表!E576,IF([2]回答表!AA55="●",[2]回答表!E601,""))</f>
        <v/>
      </c>
      <c r="BK336" s="151"/>
      <c r="BL336" s="151"/>
      <c r="BM336" s="152"/>
      <c r="BN336" s="150" t="str">
        <f>IF([2]回答表!X55="●",[2]回答表!E577,IF([2]回答表!AA55="●",[2]回答表!E602,""))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IF([2]回答表!AA55="●","●","")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IF([2]回答表!X55="●",[2]回答表!E580,IF([2]回答表!AA55="●",[2]回答表!E605,""))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IF([2]回答表!X55="●",[2]回答表!B582,IF([2]回答表!AA55="●",[2]回答表!B607,""))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IF([2]回答表!AD55="●","●","")</f>
        <v/>
      </c>
      <c r="O352" s="131"/>
      <c r="P352" s="131"/>
      <c r="Q352" s="132"/>
      <c r="R352" s="119"/>
      <c r="S352" s="119"/>
      <c r="T352" s="119"/>
      <c r="U352" s="133" t="str">
        <f>IF([2]回答表!AD55="●",[2]回答表!B615,"")</f>
        <v/>
      </c>
      <c r="V352" s="134"/>
      <c r="W352" s="134"/>
      <c r="X352" s="134"/>
      <c r="Y352" s="134"/>
      <c r="Z352" s="134"/>
      <c r="AA352" s="134"/>
      <c r="AB352" s="134"/>
      <c r="AC352" s="134"/>
      <c r="AD352" s="134"/>
      <c r="AE352" s="134"/>
      <c r="AF352" s="134"/>
      <c r="AG352" s="134"/>
      <c r="AH352" s="134"/>
      <c r="AI352" s="134"/>
      <c r="AJ352" s="135"/>
      <c r="AK352" s="136"/>
      <c r="AL352" s="136"/>
      <c r="AM352" s="133" t="str">
        <f>IF([2]回答表!AD55="●",[2]回答表!B621,"")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IF([2]回答表!R56="●",[2]回答表!B634,"")</f>
        <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23" priority="2">
      <formula>$BB$25="○"</formula>
    </cfRule>
  </conditionalFormatting>
  <conditionalFormatting sqref="BD28:BD30">
    <cfRule type="expression" dxfId="22" priority="1">
      <formula>$BB$25="○"</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5156B-AB01-4071-9D5D-5C09D3EBC030}">
  <dimension ref="A1:CN384"/>
  <sheetViews>
    <sheetView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IF(COUNTIF([3]回答表!K16,"*")&gt;0,[3]回答表!K16,"")</f>
        <v>横手市</v>
      </c>
      <c r="D11" s="8"/>
      <c r="E11" s="8"/>
      <c r="F11" s="8"/>
      <c r="G11" s="8"/>
      <c r="H11" s="8"/>
      <c r="I11" s="8"/>
      <c r="J11" s="8"/>
      <c r="K11" s="8"/>
      <c r="L11" s="8"/>
      <c r="M11" s="8"/>
      <c r="N11" s="8"/>
      <c r="O11" s="8"/>
      <c r="P11" s="8"/>
      <c r="Q11" s="8"/>
      <c r="R11" s="8"/>
      <c r="S11" s="8"/>
      <c r="T11" s="8"/>
      <c r="U11" s="22" t="str">
        <f>IF(COUNTIF([3]回答表!F18,"*")&gt;0,[3]回答表!F18,"")</f>
        <v>観光施設事業</v>
      </c>
      <c r="V11" s="23"/>
      <c r="W11" s="23"/>
      <c r="X11" s="23"/>
      <c r="Y11" s="23"/>
      <c r="Z11" s="23"/>
      <c r="AA11" s="23"/>
      <c r="AB11" s="23"/>
      <c r="AC11" s="23"/>
      <c r="AD11" s="23"/>
      <c r="AE11" s="23"/>
      <c r="AF11" s="10"/>
      <c r="AG11" s="10"/>
      <c r="AH11" s="10"/>
      <c r="AI11" s="10"/>
      <c r="AJ11" s="10"/>
      <c r="AK11" s="10"/>
      <c r="AL11" s="10"/>
      <c r="AM11" s="10"/>
      <c r="AN11" s="11"/>
      <c r="AO11" s="24" t="str">
        <f>IF(COUNTIF([3]回答表!W18,"*")&gt;0,[3]回答表!W18,"")</f>
        <v>休養宿泊</v>
      </c>
      <c r="AP11" s="10"/>
      <c r="AQ11" s="10"/>
      <c r="AR11" s="10"/>
      <c r="AS11" s="10"/>
      <c r="AT11" s="10"/>
      <c r="AU11" s="10"/>
      <c r="AV11" s="10"/>
      <c r="AW11" s="10"/>
      <c r="AX11" s="10"/>
      <c r="AY11" s="10"/>
      <c r="AZ11" s="10"/>
      <c r="BA11" s="10"/>
      <c r="BB11" s="10"/>
      <c r="BC11" s="10"/>
      <c r="BD11" s="10"/>
      <c r="BE11" s="10"/>
      <c r="BF11" s="11"/>
      <c r="BG11" s="21" t="str">
        <f>IF(COUNTIF([3]回答表!F20,"*")&gt;0,[3]回答表!F20,"")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IF([3]回答表!R49="●","●","")</f>
        <v/>
      </c>
      <c r="E24" s="80"/>
      <c r="F24" s="80"/>
      <c r="G24" s="80"/>
      <c r="H24" s="80"/>
      <c r="I24" s="80"/>
      <c r="J24" s="81"/>
      <c r="K24" s="79" t="str">
        <f>IF([3]回答表!R50="●","●","")</f>
        <v>●</v>
      </c>
      <c r="L24" s="80"/>
      <c r="M24" s="80"/>
      <c r="N24" s="80"/>
      <c r="O24" s="80"/>
      <c r="P24" s="80"/>
      <c r="Q24" s="81"/>
      <c r="R24" s="79" t="str">
        <f>IF([3]回答表!R51="●","●","")</f>
        <v/>
      </c>
      <c r="S24" s="80"/>
      <c r="T24" s="80"/>
      <c r="U24" s="80"/>
      <c r="V24" s="80"/>
      <c r="W24" s="80"/>
      <c r="X24" s="81"/>
      <c r="Y24" s="79" t="str">
        <f>IF([3]回答表!R52="●","●","")</f>
        <v>●</v>
      </c>
      <c r="Z24" s="80"/>
      <c r="AA24" s="80"/>
      <c r="AB24" s="80"/>
      <c r="AC24" s="80"/>
      <c r="AD24" s="80"/>
      <c r="AE24" s="81"/>
      <c r="AF24" s="79" t="str">
        <f>IF([3]回答表!R53="●","●","")</f>
        <v/>
      </c>
      <c r="AG24" s="80"/>
      <c r="AH24" s="80"/>
      <c r="AI24" s="80"/>
      <c r="AJ24" s="80"/>
      <c r="AK24" s="80"/>
      <c r="AL24" s="81"/>
      <c r="AM24" s="79" t="str">
        <f>IF([3]回答表!R54="●","●","")</f>
        <v/>
      </c>
      <c r="AN24" s="80"/>
      <c r="AO24" s="80"/>
      <c r="AP24" s="80"/>
      <c r="AQ24" s="80"/>
      <c r="AR24" s="80"/>
      <c r="AS24" s="81"/>
      <c r="AT24" s="79" t="str">
        <f>IF([3]回答表!R55="●","●","")</f>
        <v/>
      </c>
      <c r="AU24" s="80"/>
      <c r="AV24" s="80"/>
      <c r="AW24" s="80"/>
      <c r="AX24" s="80"/>
      <c r="AY24" s="80"/>
      <c r="AZ24" s="81"/>
      <c r="BA24" s="68"/>
      <c r="BB24" s="82" t="str">
        <f>IF([3]回答表!R56="●","●","")</f>
        <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IF([3]回答表!X49="●","●","")</f>
        <v/>
      </c>
      <c r="O36" s="131"/>
      <c r="P36" s="131"/>
      <c r="Q36" s="132"/>
      <c r="R36" s="119"/>
      <c r="S36" s="119"/>
      <c r="T36" s="119"/>
      <c r="U36" s="133" t="str">
        <f>IF([3]回答表!X49="●",[3]回答表!B67,IF([3]回答表!AA49="●",[3]回答表!B95,""))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IF([3]回答表!X49="●",[3]回答表!S73,IF([3]回答表!AA49="●",[3]回答表!S101,""))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IF([3]回答表!X49="●",[3]回答表!G73,IF([3]回答表!AA49="●",[3]回答表!G101,""))</f>
        <v/>
      </c>
      <c r="AN38" s="83"/>
      <c r="AO38" s="83"/>
      <c r="AP38" s="83"/>
      <c r="AQ38" s="83"/>
      <c r="AR38" s="83"/>
      <c r="AS38" s="83"/>
      <c r="AT38" s="153"/>
      <c r="AU38" s="82" t="str">
        <f>IF([3]回答表!X49="●",[3]回答表!G74,IF([3]回答表!AA49="●",[3]回答表!G102,""))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IF([3]回答表!X49="●",[3]回答表!V73,IF([3]回答表!AA49="●",[3]回答表!V101,""))</f>
        <v/>
      </c>
      <c r="BG39" s="16"/>
      <c r="BH39" s="16"/>
      <c r="BI39" s="17"/>
      <c r="BJ39" s="150" t="str">
        <f>IF([3]回答表!X49="●",[3]回答表!V74,IF([3]回答表!AA49="●",[3]回答表!V102,""))</f>
        <v/>
      </c>
      <c r="BK39" s="16"/>
      <c r="BL39" s="16"/>
      <c r="BM39" s="17"/>
      <c r="BN39" s="150" t="str">
        <f>IF([3]回答表!X49="●",[3]回答表!V75,IF([3]回答表!AA49="●",[3]回答表!V103,""))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IF([3]回答表!X49="●",[3]回答表!O79,IF([3]回答表!AA49="●",[3]回答表!O107,""))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IF([3]回答表!X49="●",[3]回答表!O80,IF([3]回答表!AA49="●",[3]回答表!O108,""))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IF([3]回答表!AA49="●","●","")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IF([3]回答表!X49="●",[3]回答表!O81,IF([3]回答表!AA49="●",[3]回答表!O109,""))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IF([3]回答表!X49="●",[3]回答表!O82,IF([3]回答表!AA49="●",[3]回答表!O110,""))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IF([3]回答表!X49="●",[3]回答表!AG79,IF([3]回答表!AA49="●",[3]回答表!AG107,""))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IF([3]回答表!X49="●",[3]回答表!AG80,IF([3]回答表!AA49="●",[3]回答表!AG108,""))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IF([3]回答表!X49="●",[3]回答表!E85,IF([3]回答表!AA49="●",[3]回答表!E113,""))</f>
        <v/>
      </c>
      <c r="V50" s="182"/>
      <c r="W50" s="182"/>
      <c r="X50" s="182"/>
      <c r="Y50" s="182"/>
      <c r="Z50" s="182"/>
      <c r="AA50" s="182"/>
      <c r="AB50" s="182"/>
      <c r="AC50" s="182"/>
      <c r="AD50" s="182"/>
      <c r="AE50" s="183" t="s">
        <v>33</v>
      </c>
      <c r="AF50" s="183"/>
      <c r="AG50" s="183"/>
      <c r="AH50" s="183"/>
      <c r="AI50" s="183"/>
      <c r="AJ50" s="184"/>
      <c r="AK50" s="136"/>
      <c r="AL50" s="136"/>
      <c r="AM50" s="133" t="str">
        <f>IF([3]回答表!X49="●",[3]回答表!B87,IF([3]回答表!AA49="●",[3]回答表!B115,""))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IF([3]回答表!AD49="●","●","")</f>
        <v/>
      </c>
      <c r="O57" s="131"/>
      <c r="P57" s="131"/>
      <c r="Q57" s="132"/>
      <c r="R57" s="119"/>
      <c r="S57" s="119"/>
      <c r="T57" s="119"/>
      <c r="U57" s="133" t="str">
        <f>IF([3]回答表!AD49="●",[3]回答表!B123,"")</f>
        <v/>
      </c>
      <c r="V57" s="134"/>
      <c r="W57" s="134"/>
      <c r="X57" s="134"/>
      <c r="Y57" s="134"/>
      <c r="Z57" s="134"/>
      <c r="AA57" s="134"/>
      <c r="AB57" s="134"/>
      <c r="AC57" s="134"/>
      <c r="AD57" s="134"/>
      <c r="AE57" s="134"/>
      <c r="AF57" s="134"/>
      <c r="AG57" s="134"/>
      <c r="AH57" s="134"/>
      <c r="AI57" s="134"/>
      <c r="AJ57" s="135"/>
      <c r="AK57" s="189"/>
      <c r="AL57" s="189"/>
      <c r="AM57" s="133" t="str">
        <f>IF([3]回答表!AD49="●",[3]回答表!B128,"")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IF([3]回答表!X50="●","●","")</f>
        <v/>
      </c>
      <c r="O68" s="131"/>
      <c r="P68" s="131"/>
      <c r="Q68" s="132"/>
      <c r="R68" s="119"/>
      <c r="S68" s="119"/>
      <c r="T68" s="119"/>
      <c r="U68" s="133" t="str">
        <f>IF([3]回答表!X50="●",[3]回答表!B138,IF([3]回答表!AA50="●",[3]回答表!B159,""))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IF([3]回答表!X50="●",[3]回答表!S144,IF([3]回答表!AA50="●",[3]回答表!S165,""))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IF([3]回答表!X50="●",[3]回答表!J144,IF([3]回答表!AA50="●",[3]回答表!J165,""))</f>
        <v/>
      </c>
      <c r="AN71" s="83"/>
      <c r="AO71" s="83"/>
      <c r="AP71" s="83"/>
      <c r="AQ71" s="83"/>
      <c r="AR71" s="83"/>
      <c r="AS71" s="83"/>
      <c r="AT71" s="153"/>
      <c r="AU71" s="82" t="str">
        <f>IF([3]回答表!X50="●",[3]回答表!J145,IF([3]回答表!AA50="●",[3]回答表!J166,""))</f>
        <v/>
      </c>
      <c r="AV71" s="83"/>
      <c r="AW71" s="83"/>
      <c r="AX71" s="83"/>
      <c r="AY71" s="83"/>
      <c r="AZ71" s="83"/>
      <c r="BA71" s="83"/>
      <c r="BB71" s="153"/>
      <c r="BC71" s="120"/>
      <c r="BD71" s="109"/>
      <c r="BE71" s="109"/>
      <c r="BF71" s="150" t="str">
        <f>IF([3]回答表!X50="●",[3]回答表!V144,IF([3]回答表!AA50="●",[3]回答表!V165,""))</f>
        <v/>
      </c>
      <c r="BG71" s="151"/>
      <c r="BH71" s="151"/>
      <c r="BI71" s="151"/>
      <c r="BJ71" s="150" t="str">
        <f>IF([3]回答表!X50="●",[3]回答表!V145,IF([3]回答表!AA50="●",[3]回答表!V166,""))</f>
        <v/>
      </c>
      <c r="BK71" s="151"/>
      <c r="BL71" s="151"/>
      <c r="BM71" s="151"/>
      <c r="BN71" s="150" t="str">
        <f>IF([3]回答表!X50="●",[3]回答表!V146,IF([3]回答表!AA50="●",[3]回答表!V167,""))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IF([3]回答表!AA50="●","●","")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IF([3]回答表!X50="●",[3]回答表!E149,IF([3]回答表!AA50="●",[3]回答表!E170,""))</f>
        <v/>
      </c>
      <c r="V80" s="182"/>
      <c r="W80" s="182"/>
      <c r="X80" s="182"/>
      <c r="Y80" s="182"/>
      <c r="Z80" s="182"/>
      <c r="AA80" s="182"/>
      <c r="AB80" s="182"/>
      <c r="AC80" s="182"/>
      <c r="AD80" s="182"/>
      <c r="AE80" s="183" t="s">
        <v>33</v>
      </c>
      <c r="AF80" s="183"/>
      <c r="AG80" s="183"/>
      <c r="AH80" s="183"/>
      <c r="AI80" s="183"/>
      <c r="AJ80" s="184"/>
      <c r="AK80" s="136"/>
      <c r="AL80" s="136"/>
      <c r="AM80" s="133" t="str">
        <f>IF([3]回答表!X50="●",[3]回答表!B151,IF([3]回答表!AA50="●",[3]回答表!B172,""))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IF([3]回答表!AD50="●","●","")</f>
        <v>●</v>
      </c>
      <c r="O87" s="131"/>
      <c r="P87" s="131"/>
      <c r="Q87" s="132"/>
      <c r="R87" s="119"/>
      <c r="S87" s="119"/>
      <c r="T87" s="119"/>
      <c r="U87" s="133" t="str">
        <f>IF([3]回答表!AD50="●",[3]回答表!B180,"")</f>
        <v>平成29年度に市営温泉6施設の譲渡について公募形式で譲渡先を募り、平成30年度に6施設のうち3施設を民間企業に譲渡。</v>
      </c>
      <c r="V87" s="134"/>
      <c r="W87" s="134"/>
      <c r="X87" s="134"/>
      <c r="Y87" s="134"/>
      <c r="Z87" s="134"/>
      <c r="AA87" s="134"/>
      <c r="AB87" s="134"/>
      <c r="AC87" s="134"/>
      <c r="AD87" s="134"/>
      <c r="AE87" s="134"/>
      <c r="AF87" s="134"/>
      <c r="AG87" s="134"/>
      <c r="AH87" s="134"/>
      <c r="AI87" s="134"/>
      <c r="AJ87" s="135"/>
      <c r="AK87" s="189"/>
      <c r="AL87" s="189"/>
      <c r="AM87" s="133" t="str">
        <f>IF([3]回答表!AD50="●",[3]回答表!B186,"")</f>
        <v>しかしながら、平成30年度に以前三セクが運営していた温泉施設を民間企業に譲渡した３施設が、令和２年度以降に全て市へ返還され、現在の市営温泉施設３施設とあわせた６施設を、コロナ禍と人口減少社会において民間譲渡および指定管理できるかが課題。</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IF([3]回答表!F18="水道事業",IF([3]回答表!X51="●","●",""),"")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IF([3]回答表!F18="水道事業",IF([3]回答表!X51="●",[3]回答表!B197,IF([3]回答表!AA51="●",[3]回答表!B275,"")),"")</f>
        <v/>
      </c>
      <c r="AN99" s="134"/>
      <c r="AO99" s="134"/>
      <c r="AP99" s="134"/>
      <c r="AQ99" s="134"/>
      <c r="AR99" s="134"/>
      <c r="AS99" s="134"/>
      <c r="AT99" s="134"/>
      <c r="AU99" s="134"/>
      <c r="AV99" s="134"/>
      <c r="AW99" s="134"/>
      <c r="AX99" s="134"/>
      <c r="AY99" s="134"/>
      <c r="AZ99" s="134"/>
      <c r="BA99" s="134"/>
      <c r="BB99" s="134"/>
      <c r="BC99" s="135"/>
      <c r="BD99" s="109"/>
      <c r="BE99" s="109"/>
      <c r="BF99" s="138" t="str">
        <f>IF([3]回答表!F18="水道事業",IF([3]回答表!X51="●",[3]回答表!B256,IF([3]回答表!AA51="●",[3]回答表!B335,"")),"")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IF([3]回答表!F18="水道事業",IF([3]回答表!X51="●",[3]回答表!J205,IF([3]回答表!AA51="●",[3]回答表!J283,"")),"")</f>
        <v/>
      </c>
      <c r="V101" s="83"/>
      <c r="W101" s="83"/>
      <c r="X101" s="83"/>
      <c r="Y101" s="83"/>
      <c r="Z101" s="83"/>
      <c r="AA101" s="83"/>
      <c r="AB101" s="153"/>
      <c r="AC101" s="82" t="str">
        <f>IF([3]回答表!F18="水道事業",IF([3]回答表!X51="●",[3]回答表!J210,IF([3]回答表!AA51="●",[3]回答表!J290,"")),"")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IF([3]回答表!F18="水道事業",IF([3]回答表!X51="●",[3]回答表!E256,IF([3]回答表!AA51="●",[3]回答表!E335,"")),"")</f>
        <v/>
      </c>
      <c r="BG102" s="151"/>
      <c r="BH102" s="151"/>
      <c r="BI102" s="151"/>
      <c r="BJ102" s="150" t="str">
        <f>IF([3]回答表!F18="水道事業",IF([3]回答表!X51="●",[3]回答表!E257,IF([3]回答表!AA51="●",[3]回答表!E336,"")),"")</f>
        <v/>
      </c>
      <c r="BK102" s="151"/>
      <c r="BL102" s="151"/>
      <c r="BM102" s="151"/>
      <c r="BN102" s="150" t="str">
        <f>IF([3]回答表!F18="水道事業",IF([3]回答表!X51="●",[3]回答表!E258,IF([3]回答表!AA51="●",[3]回答表!E337,"")),"")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IF([3]回答表!F18="水道事業",IF([3]回答表!AA51="●","●",""),"")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IF([3]回答表!F18="水道事業",IF([3]回答表!X51="●",[3]回答表!J213,IF([3]回答表!AA51="●",[3]回答表!J293,"")),"")</f>
        <v/>
      </c>
      <c r="V106" s="83"/>
      <c r="W106" s="83"/>
      <c r="X106" s="83"/>
      <c r="Y106" s="83"/>
      <c r="Z106" s="83"/>
      <c r="AA106" s="83"/>
      <c r="AB106" s="153"/>
      <c r="AC106" s="82" t="str">
        <f>IF([3]回答表!F18="水道事業",IF([3]回答表!X51="●",[3]回答表!J217,IF([3]回答表!AA51="●",[3]回答表!J297,"")),"")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IF([3]回答表!F18="水道事業",IF([3]回答表!X51="●",[3]回答表!E265,IF([3]回答表!AA51="●",[3]回答表!E344,"")),"")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IF([3]回答表!F18="水道事業",IF([3]回答表!X51="●",[3]回答表!B267,IF([3]回答表!AA51="●",[3]回答表!B346,"")),"")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IF([3]回答表!F18="水道事業",IF([3]回答表!AD51="●","●",""),"")</f>
        <v/>
      </c>
      <c r="O118" s="131"/>
      <c r="P118" s="131"/>
      <c r="Q118" s="132"/>
      <c r="R118" s="119"/>
      <c r="S118" s="119"/>
      <c r="T118" s="119"/>
      <c r="U118" s="133" t="str">
        <f>IF([3]回答表!F18="水道事業",IF([3]回答表!AD51="●",[3]回答表!B354,""),"")</f>
        <v/>
      </c>
      <c r="V118" s="134"/>
      <c r="W118" s="134"/>
      <c r="X118" s="134"/>
      <c r="Y118" s="134"/>
      <c r="Z118" s="134"/>
      <c r="AA118" s="134"/>
      <c r="AB118" s="134"/>
      <c r="AC118" s="134"/>
      <c r="AD118" s="134"/>
      <c r="AE118" s="134"/>
      <c r="AF118" s="134"/>
      <c r="AG118" s="134"/>
      <c r="AH118" s="134"/>
      <c r="AI118" s="134"/>
      <c r="AJ118" s="135"/>
      <c r="AK118" s="189"/>
      <c r="AL118" s="189"/>
      <c r="AM118" s="133" t="str">
        <f>IF([3]回答表!F18="水道事業",IF([3]回答表!AD51="●",[3]回答表!B360,""),"")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IF([3]回答表!F18="簡易水道事業",IF([3]回答表!X51="●",[3]回答表!B197,IF([3]回答表!AA51="●",[3]回答表!B275,"")),"")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IF([3]回答表!F18="簡易水道事業",IF([3]回答表!X51="●",[3]回答表!B256,IF([3]回答表!AA51="●",[3]回答表!B335,"")),"")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IF([3]回答表!F18="簡易水道事業",IF([3]回答表!X51="●","●",""),"")</f>
        <v/>
      </c>
      <c r="O132" s="131"/>
      <c r="P132" s="131"/>
      <c r="Q132" s="132"/>
      <c r="R132" s="119"/>
      <c r="S132" s="119"/>
      <c r="T132" s="119"/>
      <c r="U132" s="82" t="str">
        <f>IF([3]回答表!F18="簡易水道事業",IF([3]回答表!X51="●",[3]回答表!S224,IF([3]回答表!AA51="●",[3]回答表!S304,"")),"")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IF([3]回答表!F18="簡易水道事業",IF([3]回答表!X51="●",[3]回答表!E256,IF([3]回答表!AA51="●",[3]回答表!E335,"")),"")</f>
        <v/>
      </c>
      <c r="BG133" s="151"/>
      <c r="BH133" s="151"/>
      <c r="BI133" s="151"/>
      <c r="BJ133" s="150" t="str">
        <f>IF([3]回答表!F18="簡易水道事業",IF([3]回答表!X51="●",[3]回答表!E257,IF([3]回答表!AA51="●",[3]回答表!E336,"")),"")</f>
        <v/>
      </c>
      <c r="BK133" s="151"/>
      <c r="BL133" s="151"/>
      <c r="BM133" s="151"/>
      <c r="BN133" s="150" t="str">
        <f>IF([3]回答表!F18="簡易水道事業",IF([3]回答表!X51="●",[3]回答表!E258,IF([3]回答表!AA51="●",[3]回答表!E337,"")),"")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IF([3]回答表!F18="簡易水道事業",IF([3]回答表!X51="●",[3]回答表!S225,IF([3]回答表!AA51="●",[3]回答表!S305,"")),"")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IF([3]回答表!F18="簡易水道事業",IF([3]回答表!AA51="●","●",""),"")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IF([3]回答表!F18="簡易水道事業",IF([3]回答表!X51="●",[3]回答表!S226,IF([3]回答表!AA51="●",[3]回答表!S306,"")),"")</f>
        <v/>
      </c>
      <c r="V142" s="83"/>
      <c r="W142" s="83"/>
      <c r="X142" s="83"/>
      <c r="Y142" s="83"/>
      <c r="Z142" s="83"/>
      <c r="AA142" s="83"/>
      <c r="AB142" s="83"/>
      <c r="AC142" s="83"/>
      <c r="AD142" s="83"/>
      <c r="AE142" s="83"/>
      <c r="AF142" s="83"/>
      <c r="AG142" s="83"/>
      <c r="AH142" s="83"/>
      <c r="AI142" s="83"/>
      <c r="AJ142" s="153"/>
      <c r="AK142" s="68"/>
      <c r="AL142" s="68"/>
      <c r="AM142" s="231" t="str">
        <f>IF([3]回答表!F18="簡易水道事業",IF([3]回答表!X51="●",[3]回答表!Y228,IF([3]回答表!AA51="●",[3]回答表!Y308,"")),"")</f>
        <v/>
      </c>
      <c r="AN142" s="231"/>
      <c r="AO142" s="231"/>
      <c r="AP142" s="231"/>
      <c r="AQ142" s="231"/>
      <c r="AR142" s="231"/>
      <c r="AS142" s="231" t="str">
        <f>IF([3]回答表!F18="簡易水道事業",IF([3]回答表!X51="●",[3]回答表!Y229,IF([3]回答表!AA51="●",[3]回答表!Y309,"")),"")</f>
        <v/>
      </c>
      <c r="AT142" s="231"/>
      <c r="AU142" s="231"/>
      <c r="AV142" s="231"/>
      <c r="AW142" s="231"/>
      <c r="AX142" s="231"/>
      <c r="AY142" s="231" t="str">
        <f>IF([3]回答表!F18="簡易水道事業",IF([3]回答表!X51="●",[3]回答表!Y230,IF([3]回答表!AA51="●",[3]回答表!Y310,"")),"")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IF([3]回答表!F18="簡易水道事業",IF([3]回答表!X51="●",[3]回答表!E265,IF([3]回答表!AA51="●",[3]回答表!E344,"")),"")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IF([3]回答表!F18="簡易水道事業",IF([3]回答表!X51="●",[3]回答表!B267,IF([3]回答表!AA51="●",[3]回答表!B346,"")),"")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IF([3]回答表!F18="簡易水道事業",IF([3]回答表!AD51="●","●",""),"")</f>
        <v/>
      </c>
      <c r="O154" s="131"/>
      <c r="P154" s="131"/>
      <c r="Q154" s="132"/>
      <c r="R154" s="119"/>
      <c r="S154" s="119"/>
      <c r="T154" s="119"/>
      <c r="U154" s="133" t="str">
        <f>IF([3]回答表!F18="簡易水道事業",IF([3]回答表!AD51="●",[3]回答表!B354,""),"")</f>
        <v/>
      </c>
      <c r="V154" s="134"/>
      <c r="W154" s="134"/>
      <c r="X154" s="134"/>
      <c r="Y154" s="134"/>
      <c r="Z154" s="134"/>
      <c r="AA154" s="134"/>
      <c r="AB154" s="134"/>
      <c r="AC154" s="134"/>
      <c r="AD154" s="134"/>
      <c r="AE154" s="134"/>
      <c r="AF154" s="134"/>
      <c r="AG154" s="134"/>
      <c r="AH154" s="134"/>
      <c r="AI154" s="134"/>
      <c r="AJ154" s="135"/>
      <c r="AK154" s="189"/>
      <c r="AL154" s="189"/>
      <c r="AM154" s="133" t="str">
        <f>IF([3]回答表!F18="簡易水道事業",IF([3]回答表!AD51="●",[3]回答表!B360,""),"")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IF([3]回答表!F18="下水道事業",IF([3]回答表!X51="●","●",""),"")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IF([3]回答表!F18="下水道事業",IF([3]回答表!X51="●",[3]回答表!B197,IF([3]回答表!AA51="●",[3]回答表!B275,"")),"")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IF([3]回答表!F18="下水道事業",IF([3]回答表!X51="●",[3]回答表!B256,IF([3]回答表!AA51="●",[3]回答表!B335,"")),"")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IF([3]回答表!F18="下水道事業",IF([3]回答表!X51="●",[3]回答表!N234,IF([3]回答表!AA51="●",[3]回答表!N314,"")),"")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IF([3]回答表!F18="下水道事業",IF([3]回答表!X51="●",[3]回答表!E256,IF([3]回答表!AA51="●",[3]回答表!E335,"")),"")</f>
        <v/>
      </c>
      <c r="BG169" s="151"/>
      <c r="BH169" s="151"/>
      <c r="BI169" s="151"/>
      <c r="BJ169" s="150" t="str">
        <f>IF([3]回答表!F18="下水道事業",IF([3]回答表!X51="●",[3]回答表!E257,IF([3]回答表!AA51="●",[3]回答表!E336,"")),"")</f>
        <v/>
      </c>
      <c r="BK169" s="151"/>
      <c r="BL169" s="151"/>
      <c r="BM169" s="151"/>
      <c r="BN169" s="150" t="str">
        <f>IF([3]回答表!F18="下水道事業",IF([3]回答表!X51="●",[3]回答表!E258,IF([3]回答表!AA51="●",[3]回答表!E337,"")),"")</f>
        <v/>
      </c>
      <c r="BO169" s="151"/>
      <c r="BP169" s="151"/>
      <c r="BQ169" s="152"/>
      <c r="BR169" s="112"/>
      <c r="BX169" s="234" t="str">
        <f>IF([3]回答表!AQ21="下水道事業",IF([3]回答表!BI54="○",[3]回答表!AM200,IF([3]回答表!BL54="○",[3]回答表!AM278,"")),"")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IF([3]回答表!F18="下水道事業",IF([3]回答表!X51="●",[3]回答表!Y236,IF([3]回答表!AA51="●",[3]回答表!Y316,"")),"")</f>
        <v/>
      </c>
      <c r="V174" s="83"/>
      <c r="W174" s="83"/>
      <c r="X174" s="83"/>
      <c r="Y174" s="83"/>
      <c r="Z174" s="83"/>
      <c r="AA174" s="83"/>
      <c r="AB174" s="153"/>
      <c r="AC174" s="82" t="str">
        <f>IF([3]回答表!F18="下水道事業",IF([3]回答表!X51="●",[3]回答表!Y237,IF([3]回答表!AA51="●",[3]回答表!Y317,"")),"")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IF([3]回答表!F18="下水道事業",IF([3]回答表!X51="●",[3]回答表!Y239,IF([3]回答表!AA51="●",[3]回答表!Y319,"")),"")</f>
        <v/>
      </c>
      <c r="V180" s="83"/>
      <c r="W180" s="83"/>
      <c r="X180" s="83"/>
      <c r="Y180" s="83"/>
      <c r="Z180" s="83"/>
      <c r="AA180" s="83"/>
      <c r="AB180" s="153"/>
      <c r="AC180" s="82" t="str">
        <f>IF([3]回答表!F18="下水道事業",IF([3]回答表!X51="●",[3]回答表!Y240,IF([3]回答表!AA51="●",[3]回答表!Y320,"")),"")</f>
        <v/>
      </c>
      <c r="AD180" s="83"/>
      <c r="AE180" s="83"/>
      <c r="AF180" s="83"/>
      <c r="AG180" s="83"/>
      <c r="AH180" s="83"/>
      <c r="AI180" s="83"/>
      <c r="AJ180" s="153"/>
      <c r="AK180" s="82" t="str">
        <f>IF([3]回答表!F18="下水道事業",IF([3]回答表!X51="●",[3]回答表!Y241,IF([3]回答表!AA51="●",[3]回答表!Y321,"")),"")</f>
        <v/>
      </c>
      <c r="AL180" s="83"/>
      <c r="AM180" s="83"/>
      <c r="AN180" s="83"/>
      <c r="AO180" s="83"/>
      <c r="AP180" s="83"/>
      <c r="AQ180" s="83"/>
      <c r="AR180" s="153"/>
      <c r="AS180" s="82" t="str">
        <f>IF([3]回答表!F18="下水道事業",IF([3]回答表!X51="●",[3]回答表!Y242,IF([3]回答表!AA51="●",[3]回答表!Y322,"")),"")</f>
        <v/>
      </c>
      <c r="AT180" s="83"/>
      <c r="AU180" s="83"/>
      <c r="AV180" s="83"/>
      <c r="AW180" s="83"/>
      <c r="AX180" s="83"/>
      <c r="AY180" s="83"/>
      <c r="AZ180" s="153"/>
      <c r="BA180" s="82" t="str">
        <f>IF([3]回答表!F18="下水道事業",IF([3]回答表!X51="●",[3]回答表!Y243,IF([3]回答表!AA51="●",[3]回答表!Y323,"")),"")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IF([3]回答表!F18="下水道事業",IF([3]回答表!AA51="●","●",""),"")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IF([3]回答表!F18="下水道事業",IF([3]回答表!X51="●",[3]回答表!N248,IF([3]回答表!AA51="●",[3]回答表!N328,"")),"")</f>
        <v/>
      </c>
      <c r="V186" s="83"/>
      <c r="W186" s="83"/>
      <c r="X186" s="83"/>
      <c r="Y186" s="83"/>
      <c r="Z186" s="83"/>
      <c r="AA186" s="83"/>
      <c r="AB186" s="153"/>
      <c r="AC186" s="82" t="str">
        <f>IF([3]回答表!F18="下水道事業",IF([3]回答表!X51="●",[3]回答表!N249,IF([3]回答表!AA51="●",[3]回答表!N329,"")),"")</f>
        <v/>
      </c>
      <c r="AD186" s="83"/>
      <c r="AE186" s="83"/>
      <c r="AF186" s="83"/>
      <c r="AG186" s="83"/>
      <c r="AH186" s="83"/>
      <c r="AI186" s="83"/>
      <c r="AJ186" s="153"/>
      <c r="AK186" s="82" t="str">
        <f>IF([3]回答表!F18="下水道事業",IF([3]回答表!X51="●",[3]回答表!N250,IF([3]回答表!AA51="●",[3]回答表!N330,"")),"")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IF([3]回答表!F18="下水道事業",IF([3]回答表!X51="●",[3]回答表!E265,IF([3]回答表!AA51="●",[3]回答表!E344,"")),"")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IF([3]回答表!F18="下水道事業",IF([3]回答表!X51="●",[3]回答表!B267,IF([3]回答表!AA51="●",[3]回答表!B346,"")),"")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IF([3]回答表!F18="下水道事業",IF([3]回答表!AD51="●","●",""),"")</f>
        <v/>
      </c>
      <c r="O198" s="131"/>
      <c r="P198" s="131"/>
      <c r="Q198" s="132"/>
      <c r="R198" s="119"/>
      <c r="S198" s="119"/>
      <c r="T198" s="119"/>
      <c r="U198" s="133" t="str">
        <f>IF([3]回答表!F18="下水道事業",IF([3]回答表!AD51="●",[3]回答表!B354,""),"")</f>
        <v/>
      </c>
      <c r="V198" s="134"/>
      <c r="W198" s="134"/>
      <c r="X198" s="134"/>
      <c r="Y198" s="134"/>
      <c r="Z198" s="134"/>
      <c r="AA198" s="134"/>
      <c r="AB198" s="134"/>
      <c r="AC198" s="134"/>
      <c r="AD198" s="134"/>
      <c r="AE198" s="134"/>
      <c r="AF198" s="134"/>
      <c r="AG198" s="134"/>
      <c r="AH198" s="134"/>
      <c r="AI198" s="134"/>
      <c r="AJ198" s="135"/>
      <c r="AK198" s="189"/>
      <c r="AL198" s="189"/>
      <c r="AM198" s="133" t="str">
        <f>IF([3]回答表!F18="下水道事業",IF([3]回答表!AD51="●",[3]回答表!B360,""),"")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IF([3]回答表!BD18="●",IF([3]回答表!X51="●","●",""),"")</f>
        <v/>
      </c>
      <c r="O210" s="131"/>
      <c r="P210" s="131"/>
      <c r="Q210" s="132"/>
      <c r="R210" s="119"/>
      <c r="S210" s="119"/>
      <c r="T210" s="119"/>
      <c r="U210" s="133" t="str">
        <f>IF([3]回答表!BD18="●",IF([3]回答表!X51="●",[3]回答表!B197,IF([3]回答表!AA51="●",[3]回答表!B275,"")),"")</f>
        <v/>
      </c>
      <c r="V210" s="134"/>
      <c r="W210" s="134"/>
      <c r="X210" s="134"/>
      <c r="Y210" s="134"/>
      <c r="Z210" s="134"/>
      <c r="AA210" s="134"/>
      <c r="AB210" s="134"/>
      <c r="AC210" s="134"/>
      <c r="AD210" s="134"/>
      <c r="AE210" s="134"/>
      <c r="AF210" s="134"/>
      <c r="AG210" s="134"/>
      <c r="AH210" s="134"/>
      <c r="AI210" s="134"/>
      <c r="AJ210" s="135"/>
      <c r="AK210" s="136"/>
      <c r="AL210" s="136"/>
      <c r="AM210" s="138" t="str">
        <f>IF([3]回答表!BD18="●",IF([3]回答表!X51="●",[3]回答表!B256,IF([3]回答表!AA51="●",[3]回答表!B335,"")),"")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IF([3]回答表!BD18="●",IF([3]回答表!X51="●",[3]回答表!E256,IF([3]回答表!AA51="●",[3]回答表!E335,"")),"")</f>
        <v/>
      </c>
      <c r="AN213" s="151"/>
      <c r="AO213" s="151"/>
      <c r="AP213" s="151"/>
      <c r="AQ213" s="150" t="str">
        <f>IF([3]回答表!BD18="●",IF([3]回答表!X51="●",[3]回答表!E257,IF([3]回答表!AA51="●",[3]回答表!E336,"")),"")</f>
        <v/>
      </c>
      <c r="AR213" s="151"/>
      <c r="AS213" s="151"/>
      <c r="AT213" s="151"/>
      <c r="AU213" s="150" t="str">
        <f>IF([3]回答表!BD18="●",IF([3]回答表!X51="●",[3]回答表!E258,IF([3]回答表!AA51="●",[3]回答表!E337,"")),"")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IF([3]回答表!BD18="●",IF([3]回答表!AA51="●","●",""),"")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IF([3]回答表!BD18="●",IF([3]回答表!X51="●",[3]回答表!E265,IF([3]回答表!AA51="●",[3]回答表!E344,"")),"")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IF([3]回答表!BD18="●",IF([3]回答表!X51="●",[3]回答表!B267,IF([3]回答表!AA51="●",[3]回答表!B346,"")),"")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IF([3]回答表!BD18="●",IF([3]回答表!AD51="●","●",""),"")</f>
        <v/>
      </c>
      <c r="O229" s="131"/>
      <c r="P229" s="131"/>
      <c r="Q229" s="132"/>
      <c r="R229" s="119"/>
      <c r="S229" s="119"/>
      <c r="T229" s="119"/>
      <c r="U229" s="133" t="str">
        <f>IF([3]回答表!BD18="●",IF([3]回答表!AD51="●",[3]回答表!B354,""),"")</f>
        <v/>
      </c>
      <c r="V229" s="134"/>
      <c r="W229" s="134"/>
      <c r="X229" s="134"/>
      <c r="Y229" s="134"/>
      <c r="Z229" s="134"/>
      <c r="AA229" s="134"/>
      <c r="AB229" s="134"/>
      <c r="AC229" s="134"/>
      <c r="AD229" s="134"/>
      <c r="AE229" s="134"/>
      <c r="AF229" s="134"/>
      <c r="AG229" s="134"/>
      <c r="AH229" s="134"/>
      <c r="AI229" s="134"/>
      <c r="AJ229" s="135"/>
      <c r="AK229" s="249"/>
      <c r="AL229" s="249"/>
      <c r="AM229" s="133" t="str">
        <f>IF([3]回答表!BD18="●",IF([3]回答表!AD51="●",[3]回答表!B360,""),"")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IF([3]回答表!X52="●","●","")</f>
        <v/>
      </c>
      <c r="O241" s="131"/>
      <c r="P241" s="131"/>
      <c r="Q241" s="132"/>
      <c r="R241" s="119"/>
      <c r="S241" s="119"/>
      <c r="T241" s="119"/>
      <c r="U241" s="133" t="str">
        <f>IF([3]回答表!X52="●",[3]回答表!B371,IF([3]回答表!AA52="●",[3]回答表!B396,""))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IF([3]回答表!X52="●",[3]回答表!U377,IF([3]回答表!AA52="●",[3]回答表!U402,""))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IF([3]回答表!X52="●",[3]回答表!G377,IF([3]回答表!AA52="●",[3]回答表!G402,""))</f>
        <v/>
      </c>
      <c r="AN244" s="83"/>
      <c r="AO244" s="83"/>
      <c r="AP244" s="83"/>
      <c r="AQ244" s="83"/>
      <c r="AR244" s="83"/>
      <c r="AS244" s="83"/>
      <c r="AT244" s="153"/>
      <c r="AU244" s="82" t="str">
        <f>IF([3]回答表!X52="●",[3]回答表!G378,IF([3]回答表!AA52="●",[3]回答表!G403,""))</f>
        <v/>
      </c>
      <c r="AV244" s="83"/>
      <c r="AW244" s="83"/>
      <c r="AX244" s="83"/>
      <c r="AY244" s="83"/>
      <c r="AZ244" s="83"/>
      <c r="BA244" s="83"/>
      <c r="BB244" s="153"/>
      <c r="BC244" s="120"/>
      <c r="BD244" s="109"/>
      <c r="BE244" s="109"/>
      <c r="BF244" s="150" t="str">
        <f>IF([3]回答表!X52="●",[3]回答表!X377,IF([3]回答表!AA52="●",[3]回答表!X402,""))</f>
        <v/>
      </c>
      <c r="BG244" s="151"/>
      <c r="BH244" s="151"/>
      <c r="BI244" s="151"/>
      <c r="BJ244" s="150" t="str">
        <f>IF([3]回答表!X52="●",[3]回答表!X378,IF([3]回答表!AA52="●",[3]回答表!X403,""))</f>
        <v/>
      </c>
      <c r="BK244" s="151"/>
      <c r="BL244" s="151"/>
      <c r="BM244" s="152"/>
      <c r="BN244" s="150" t="str">
        <f>IF([3]回答表!X52="●",[3]回答表!X379,IF([3]回答表!AA52="●",[3]回答表!X404,""))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IF([3]回答表!AA52="●","●","")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IF([3]回答表!X52="●",[3]回答表!E386,IF([3]回答表!AA52="●",[3]回答表!E407,""))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IF([3]回答表!X52="●",[3]回答表!B388,IF([3]回答表!AA52="●",[3]回答表!B409,""))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IF([3]回答表!AD52="●","●","")</f>
        <v>●</v>
      </c>
      <c r="O260" s="131"/>
      <c r="P260" s="131"/>
      <c r="Q260" s="132"/>
      <c r="R260" s="119"/>
      <c r="S260" s="119"/>
      <c r="T260" s="119"/>
      <c r="U260" s="133" t="str">
        <f>IF([3]回答表!AD52="●",[3]回答表!B417,"")</f>
        <v>平成29年度に市営温泉6施設の譲渡について公募形式で譲渡先を募り、平成30年度に6施設のうち3施設を民間企業に譲渡。</v>
      </c>
      <c r="V260" s="134"/>
      <c r="W260" s="134"/>
      <c r="X260" s="134"/>
      <c r="Y260" s="134"/>
      <c r="Z260" s="134"/>
      <c r="AA260" s="134"/>
      <c r="AB260" s="134"/>
      <c r="AC260" s="134"/>
      <c r="AD260" s="134"/>
      <c r="AE260" s="134"/>
      <c r="AF260" s="134"/>
      <c r="AG260" s="134"/>
      <c r="AH260" s="134"/>
      <c r="AI260" s="134"/>
      <c r="AJ260" s="135"/>
      <c r="AK260" s="249"/>
      <c r="AL260" s="249"/>
      <c r="AM260" s="133" t="str">
        <f>IF([3]回答表!AD52="●",[3]回答表!B423,"")</f>
        <v>しかしながら、平成30年度に以前三セクが運営していた温泉施設を民間企業に譲渡した３施設が、令和２年度以降に全て市へ返還され、現在の市営温泉施設３施設とあわせた６施設を、コロナ禍と人口減少社会において民間譲渡および指定管理できるかが課題。</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IF([3]回答表!X53="●","●","")</f>
        <v/>
      </c>
      <c r="O272" s="131"/>
      <c r="P272" s="131"/>
      <c r="Q272" s="132"/>
      <c r="R272" s="119"/>
      <c r="S272" s="119"/>
      <c r="T272" s="119"/>
      <c r="U272" s="133" t="str">
        <f>IF([3]回答表!X53="●",[3]回答表!B434,IF([3]回答表!AA53="●",[3]回答表!B465,""))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IF([3]回答表!X53="●",[3]回答表!B440,"")</f>
        <v/>
      </c>
      <c r="AO272" s="262"/>
      <c r="AP272" s="262"/>
      <c r="AQ272" s="262"/>
      <c r="AR272" s="262"/>
      <c r="AS272" s="262"/>
      <c r="AT272" s="262"/>
      <c r="AU272" s="262"/>
      <c r="AV272" s="262"/>
      <c r="AW272" s="262"/>
      <c r="AX272" s="262"/>
      <c r="AY272" s="262"/>
      <c r="AZ272" s="262"/>
      <c r="BA272" s="262"/>
      <c r="BB272" s="263"/>
      <c r="BC272" s="120"/>
      <c r="BD272" s="109"/>
      <c r="BE272" s="109"/>
      <c r="BF272" s="138" t="str">
        <f>IF([3]回答表!X53="●",[3]回答表!B446,IF([3]回答表!AA53="●",[3]回答表!B471,""))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IF([3]回答表!X53="●",[3]回答表!E446,IF([3]回答表!AA53="●",[3]回答表!E471,""))</f>
        <v/>
      </c>
      <c r="BG275" s="151"/>
      <c r="BH275" s="151"/>
      <c r="BI275" s="151"/>
      <c r="BJ275" s="150" t="str">
        <f>IF([3]回答表!X53="●",[3]回答表!E447,IF([3]回答表!AA53="●",[3]回答表!E472,""))</f>
        <v/>
      </c>
      <c r="BK275" s="151"/>
      <c r="BL275" s="151"/>
      <c r="BM275" s="152"/>
      <c r="BN275" s="150" t="str">
        <f>IF([3]回答表!X53="●",[3]回答表!E448,IF([3]回答表!AA53="●",[3]回答表!E473,""))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IF([3]回答表!AA53="●","●","")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IF([3]回答表!X53="●",[3]回答表!E455,IF([3]回答表!AA53="●",[3]回答表!E476,""))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IF([3]回答表!X53="●",[3]回答表!B457,IF([3]回答表!AA53="●",[3]回答表!B478,""))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IF([3]回答表!AD53="●","●","")</f>
        <v/>
      </c>
      <c r="O291" s="131"/>
      <c r="P291" s="131"/>
      <c r="Q291" s="132"/>
      <c r="R291" s="119"/>
      <c r="S291" s="119"/>
      <c r="T291" s="119"/>
      <c r="U291" s="133" t="str">
        <f>IF([3]回答表!AD53="●",[3]回答表!B486,"")</f>
        <v/>
      </c>
      <c r="V291" s="134"/>
      <c r="W291" s="134"/>
      <c r="X291" s="134"/>
      <c r="Y291" s="134"/>
      <c r="Z291" s="134"/>
      <c r="AA291" s="134"/>
      <c r="AB291" s="134"/>
      <c r="AC291" s="134"/>
      <c r="AD291" s="134"/>
      <c r="AE291" s="134"/>
      <c r="AF291" s="134"/>
      <c r="AG291" s="134"/>
      <c r="AH291" s="134"/>
      <c r="AI291" s="134"/>
      <c r="AJ291" s="135"/>
      <c r="AK291" s="249"/>
      <c r="AL291" s="249"/>
      <c r="AM291" s="133" t="str">
        <f>IF([3]回答表!AD53="●",[3]回答表!B492,"")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IF([3]回答表!X54="●","●","")</f>
        <v/>
      </c>
      <c r="O303" s="131"/>
      <c r="P303" s="131"/>
      <c r="Q303" s="132"/>
      <c r="R303" s="119"/>
      <c r="S303" s="119"/>
      <c r="T303" s="119"/>
      <c r="U303" s="133" t="str">
        <f>IF([3]回答表!X54="●",[3]回答表!B503,IF([3]回答表!AA54="●",[3]回答表!B526,""))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IF([3]回答表!X54="●",[3]回答表!BC510,IF([3]回答表!AA54="●",[3]回答表!BC533,""))</f>
        <v/>
      </c>
      <c r="AR303" s="271"/>
      <c r="AS303" s="271"/>
      <c r="AT303" s="271"/>
      <c r="AU303" s="272" t="s">
        <v>74</v>
      </c>
      <c r="AV303" s="273"/>
      <c r="AW303" s="273"/>
      <c r="AX303" s="274"/>
      <c r="AY303" s="271" t="str">
        <f>IF([3]回答表!X54="●",[3]回答表!BC515,IF([3]回答表!AA54="●",[3]回答表!BC538,""))</f>
        <v/>
      </c>
      <c r="AZ303" s="271"/>
      <c r="BA303" s="271"/>
      <c r="BB303" s="271"/>
      <c r="BC303" s="120"/>
      <c r="BD303" s="109"/>
      <c r="BE303" s="109"/>
      <c r="BF303" s="138" t="str">
        <f>IF([3]回答表!X54="●",[3]回答表!S509,IF([3]回答表!AA54="●",[3]回答表!S532,""))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IF([3]回答表!X54="●",[3]回答表!BC511,IF([3]回答表!AA54="●",[3]回答表!BC534,""))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IF([3]回答表!X54="●",[3]回答表!V509,IF([3]回答表!AA54="●",[3]回答表!V532,""))</f>
        <v/>
      </c>
      <c r="BG306" s="151"/>
      <c r="BH306" s="151"/>
      <c r="BI306" s="151"/>
      <c r="BJ306" s="150" t="str">
        <f>IF([3]回答表!X54="●",[3]回答表!V510,IF([3]回答表!AA54="●",[3]回答表!V533,""))</f>
        <v/>
      </c>
      <c r="BK306" s="151"/>
      <c r="BL306" s="151"/>
      <c r="BM306" s="152"/>
      <c r="BN306" s="150" t="str">
        <f>IF([3]回答表!X54="●",[3]回答表!V511,IF([3]回答表!AA54="●",[3]回答表!V534,""))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IF([3]回答表!X54="●",[3]回答表!BC512,IF([3]回答表!AA54="●",[3]回答表!BC535,""))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IF([3]回答表!X54="●",[3]回答表!BC516,IF([3]回答表!AA54="●",[3]回答表!BC539,""))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IF([3]回答表!AA54="●","●","")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IF([3]回答表!X54="●",[3]回答表!BC513,IF([3]回答表!AA54="●",[3]回答表!BC536,""))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IF([3]回答表!X54="●",[3]回答表!BC514,IF([3]回答表!AA54="●",[3]回答表!BC537,""))</f>
        <v/>
      </c>
      <c r="AR311" s="271"/>
      <c r="AS311" s="271"/>
      <c r="AT311" s="271"/>
      <c r="AU311" s="222" t="s">
        <v>80</v>
      </c>
      <c r="AV311" s="223"/>
      <c r="AW311" s="223"/>
      <c r="AX311" s="224"/>
      <c r="AY311" s="281" t="str">
        <f>IF([3]回答表!X54="●",[3]回答表!BC517,IF([3]回答表!AA54="●",[3]回答表!BC540,""))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IF([3]回答表!X54="●",[3]回答表!E516,IF([3]回答表!AA54="●",[3]回答表!E538,""))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IF([3]回答表!X54="●",[3]回答表!B518,IF([3]回答表!AA54="●",[3]回答表!B540,""))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IF([3]回答表!AD54="●","●","")</f>
        <v/>
      </c>
      <c r="O322" s="131"/>
      <c r="P322" s="131"/>
      <c r="Q322" s="132"/>
      <c r="R322" s="119"/>
      <c r="S322" s="119"/>
      <c r="T322" s="119"/>
      <c r="U322" s="133" t="str">
        <f>IF([3]回答表!AD54="●",[3]回答表!B548,"")</f>
        <v/>
      </c>
      <c r="V322" s="134"/>
      <c r="W322" s="134"/>
      <c r="X322" s="134"/>
      <c r="Y322" s="134"/>
      <c r="Z322" s="134"/>
      <c r="AA322" s="134"/>
      <c r="AB322" s="134"/>
      <c r="AC322" s="134"/>
      <c r="AD322" s="134"/>
      <c r="AE322" s="134"/>
      <c r="AF322" s="134"/>
      <c r="AG322" s="134"/>
      <c r="AH322" s="134"/>
      <c r="AI322" s="134"/>
      <c r="AJ322" s="135"/>
      <c r="AK322" s="189"/>
      <c r="AL322" s="189"/>
      <c r="AM322" s="133" t="str">
        <f>IF([3]回答表!AD54="●",[3]回答表!B554,"")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IF([3]回答表!X55="●","●","")</f>
        <v/>
      </c>
      <c r="O333" s="131"/>
      <c r="P333" s="131"/>
      <c r="Q333" s="132"/>
      <c r="R333" s="119"/>
      <c r="S333" s="119"/>
      <c r="T333" s="119"/>
      <c r="U333" s="133" t="str">
        <f>IF([3]回答表!X55="●",[3]回答表!B565,IF([3]回答表!AA55="●",[3]回答表!B590,""))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IF([3]回答表!X55="●",[3]回答表!B575,IF([3]回答表!AA55="●",[3]回答表!B600,""))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IF([3]回答表!X55="●",[3]回答表!G571,IF([3]回答表!AA55="●",[3]回答表!G596,""))</f>
        <v/>
      </c>
      <c r="AN335" s="83"/>
      <c r="AO335" s="83"/>
      <c r="AP335" s="83"/>
      <c r="AQ335" s="83"/>
      <c r="AR335" s="83"/>
      <c r="AS335" s="83"/>
      <c r="AT335" s="153"/>
      <c r="AU335" s="82" t="str">
        <f>IF([3]回答表!X55="●",[3]回答表!G572,IF([3]回答表!AA55="●",[3]回答表!G597,""))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IF([3]回答表!X55="●",[3]回答表!E575,IF([3]回答表!AA55="●",[3]回答表!E600,""))</f>
        <v/>
      </c>
      <c r="BG336" s="151"/>
      <c r="BH336" s="151"/>
      <c r="BI336" s="151"/>
      <c r="BJ336" s="150" t="str">
        <f>IF([3]回答表!X55="●",[3]回答表!E576,IF([3]回答表!AA55="●",[3]回答表!E601,""))</f>
        <v/>
      </c>
      <c r="BK336" s="151"/>
      <c r="BL336" s="151"/>
      <c r="BM336" s="152"/>
      <c r="BN336" s="150" t="str">
        <f>IF([3]回答表!X55="●",[3]回答表!E577,IF([3]回答表!AA55="●",[3]回答表!E602,""))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IF([3]回答表!AA55="●","●","")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IF([3]回答表!X55="●",[3]回答表!E580,IF([3]回答表!AA55="●",[3]回答表!E605,""))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IF([3]回答表!X55="●",[3]回答表!B582,IF([3]回答表!AA55="●",[3]回答表!B607,""))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IF([3]回答表!AD55="●","●","")</f>
        <v/>
      </c>
      <c r="O352" s="131"/>
      <c r="P352" s="131"/>
      <c r="Q352" s="132"/>
      <c r="R352" s="119"/>
      <c r="S352" s="119"/>
      <c r="T352" s="119"/>
      <c r="U352" s="133" t="str">
        <f>IF([3]回答表!AD55="●",[3]回答表!B615,"")</f>
        <v/>
      </c>
      <c r="V352" s="134"/>
      <c r="W352" s="134"/>
      <c r="X352" s="134"/>
      <c r="Y352" s="134"/>
      <c r="Z352" s="134"/>
      <c r="AA352" s="134"/>
      <c r="AB352" s="134"/>
      <c r="AC352" s="134"/>
      <c r="AD352" s="134"/>
      <c r="AE352" s="134"/>
      <c r="AF352" s="134"/>
      <c r="AG352" s="134"/>
      <c r="AH352" s="134"/>
      <c r="AI352" s="134"/>
      <c r="AJ352" s="135"/>
      <c r="AK352" s="136"/>
      <c r="AL352" s="136"/>
      <c r="AM352" s="133" t="str">
        <f>IF([3]回答表!AD55="●",[3]回答表!B621,"")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IF([3]回答表!R56="●",[3]回答表!B634,"")</f>
        <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21" priority="2">
      <formula>$BB$25="○"</formula>
    </cfRule>
  </conditionalFormatting>
  <conditionalFormatting sqref="BD28:BD30">
    <cfRule type="expression" dxfId="20" priority="1">
      <formula>$BB$25="○"</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0B853-5B5A-4303-9297-A8A28795173D}">
  <dimension ref="A1:CN384"/>
  <sheetViews>
    <sheetView workbookViewId="0">
      <selection sqref="A1:XFD1048576"/>
    </sheetView>
  </sheetViews>
  <sheetFormatPr defaultColWidth="2.875" defaultRowHeight="12.6" customHeight="1"/>
  <cols>
    <col min="1" max="25" width="2.625" customWidth="1"/>
    <col min="26" max="26" width="2.125" customWidth="1"/>
    <col min="27" max="27" width="2.625" hidden="1" customWidth="1"/>
    <col min="28" max="28" width="4.625" customWidth="1"/>
    <col min="29" max="34" width="2.625" customWidth="1"/>
    <col min="35" max="35" width="0.125" customWidth="1"/>
    <col min="36" max="37" width="4.625" customWidth="1"/>
    <col min="38" max="71" width="2.6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IF(COUNTIF([4]回答表!K16,"*")&gt;0,[4]回答表!K16,"")</f>
        <v>横手市</v>
      </c>
      <c r="D11" s="8"/>
      <c r="E11" s="8"/>
      <c r="F11" s="8"/>
      <c r="G11" s="8"/>
      <c r="H11" s="8"/>
      <c r="I11" s="8"/>
      <c r="J11" s="8"/>
      <c r="K11" s="8"/>
      <c r="L11" s="8"/>
      <c r="M11" s="8"/>
      <c r="N11" s="8"/>
      <c r="O11" s="8"/>
      <c r="P11" s="8"/>
      <c r="Q11" s="8"/>
      <c r="R11" s="8"/>
      <c r="S11" s="8"/>
      <c r="T11" s="8"/>
      <c r="U11" s="22" t="str">
        <f>IF(COUNTIF([4]回答表!F18,"*")&gt;0,[4]回答表!F18,"")</f>
        <v>簡易水道事業</v>
      </c>
      <c r="V11" s="23"/>
      <c r="W11" s="23"/>
      <c r="X11" s="23"/>
      <c r="Y11" s="23"/>
      <c r="Z11" s="23"/>
      <c r="AA11" s="23"/>
      <c r="AB11" s="23"/>
      <c r="AC11" s="23"/>
      <c r="AD11" s="23"/>
      <c r="AE11" s="23"/>
      <c r="AF11" s="10"/>
      <c r="AG11" s="10"/>
      <c r="AH11" s="10"/>
      <c r="AI11" s="10"/>
      <c r="AJ11" s="10"/>
      <c r="AK11" s="10"/>
      <c r="AL11" s="10"/>
      <c r="AM11" s="10"/>
      <c r="AN11" s="11"/>
      <c r="AO11" s="24" t="str">
        <f>IF(COUNTIF([4]回答表!W18,"*")&gt;0,[4]回答表!W18,"")</f>
        <v>―</v>
      </c>
      <c r="AP11" s="10"/>
      <c r="AQ11" s="10"/>
      <c r="AR11" s="10"/>
      <c r="AS11" s="10"/>
      <c r="AT11" s="10"/>
      <c r="AU11" s="10"/>
      <c r="AV11" s="10"/>
      <c r="AW11" s="10"/>
      <c r="AX11" s="10"/>
      <c r="AY11" s="10"/>
      <c r="AZ11" s="10"/>
      <c r="BA11" s="10"/>
      <c r="BB11" s="10"/>
      <c r="BC11" s="10"/>
      <c r="BD11" s="10"/>
      <c r="BE11" s="10"/>
      <c r="BF11" s="11"/>
      <c r="BG11" s="21" t="str">
        <f>IF(COUNTIF([4]回答表!F20,"*")&gt;0,[4]回答表!F20,"")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IF([4]回答表!R49="●","●","")</f>
        <v>●</v>
      </c>
      <c r="E24" s="80"/>
      <c r="F24" s="80"/>
      <c r="G24" s="80"/>
      <c r="H24" s="80"/>
      <c r="I24" s="80"/>
      <c r="J24" s="81"/>
      <c r="K24" s="79" t="str">
        <f>IF([4]回答表!R50="●","●","")</f>
        <v/>
      </c>
      <c r="L24" s="80"/>
      <c r="M24" s="80"/>
      <c r="N24" s="80"/>
      <c r="O24" s="80"/>
      <c r="P24" s="80"/>
      <c r="Q24" s="81"/>
      <c r="R24" s="79" t="str">
        <f>IF([4]回答表!R51="●","●","")</f>
        <v/>
      </c>
      <c r="S24" s="80"/>
      <c r="T24" s="80"/>
      <c r="U24" s="80"/>
      <c r="V24" s="80"/>
      <c r="W24" s="80"/>
      <c r="X24" s="81"/>
      <c r="Y24" s="79" t="str">
        <f>IF([4]回答表!R52="●","●","")</f>
        <v/>
      </c>
      <c r="Z24" s="80"/>
      <c r="AA24" s="80"/>
      <c r="AB24" s="80"/>
      <c r="AC24" s="80"/>
      <c r="AD24" s="80"/>
      <c r="AE24" s="81"/>
      <c r="AF24" s="79" t="str">
        <f>IF([4]回答表!R53="●","●","")</f>
        <v/>
      </c>
      <c r="AG24" s="80"/>
      <c r="AH24" s="80"/>
      <c r="AI24" s="80"/>
      <c r="AJ24" s="80"/>
      <c r="AK24" s="80"/>
      <c r="AL24" s="81"/>
      <c r="AM24" s="79" t="str">
        <f>IF([4]回答表!R54="●","●","")</f>
        <v/>
      </c>
      <c r="AN24" s="80"/>
      <c r="AO24" s="80"/>
      <c r="AP24" s="80"/>
      <c r="AQ24" s="80"/>
      <c r="AR24" s="80"/>
      <c r="AS24" s="81"/>
      <c r="AT24" s="79" t="str">
        <f>IF([4]回答表!R55="●","●","")</f>
        <v/>
      </c>
      <c r="AU24" s="80"/>
      <c r="AV24" s="80"/>
      <c r="AW24" s="80"/>
      <c r="AX24" s="80"/>
      <c r="AY24" s="80"/>
      <c r="AZ24" s="81"/>
      <c r="BA24" s="68"/>
      <c r="BB24" s="82" t="str">
        <f>IF([4]回答表!R56="●","●","")</f>
        <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IF([4]回答表!X49="●","●","")</f>
        <v>●</v>
      </c>
      <c r="O36" s="131"/>
      <c r="P36" s="131"/>
      <c r="Q36" s="132"/>
      <c r="R36" s="119"/>
      <c r="S36" s="119"/>
      <c r="T36" s="119"/>
      <c r="U36" s="133" t="str">
        <f>IF([4]回答表!X49="●",[4]回答表!B67,IF([4]回答表!AA49="●",[4]回答表!B95,""))</f>
        <v>20の法適簡易水道事業を廃止し、上水道事業に統合（認可）した。
今後は施設の統廃合により維持管理すべき施設数を削減し、維持管理の効率化を図る。</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IF([4]回答表!X49="●",[4]回答表!S73,IF([4]回答表!AA49="●",[4]回答表!S101,""))</f>
        <v>平成</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IF([4]回答表!X49="●",[4]回答表!G73,IF([4]回答表!AA49="●",[4]回答表!G101,""))</f>
        <v>●</v>
      </c>
      <c r="AN38" s="83"/>
      <c r="AO38" s="83"/>
      <c r="AP38" s="83"/>
      <c r="AQ38" s="83"/>
      <c r="AR38" s="83"/>
      <c r="AS38" s="83"/>
      <c r="AT38" s="153"/>
      <c r="AU38" s="82" t="str">
        <f>IF([4]回答表!X49="●",[4]回答表!G74,IF([4]回答表!AA49="●",[4]回答表!G102,""))</f>
        <v xml:space="preserve">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f>IF([4]回答表!X49="●",[4]回答表!V73,IF([4]回答表!AA49="●",[4]回答表!V101,""))</f>
        <v>29</v>
      </c>
      <c r="BG39" s="16"/>
      <c r="BH39" s="16"/>
      <c r="BI39" s="17"/>
      <c r="BJ39" s="150">
        <f>IF([4]回答表!X49="●",[4]回答表!V74,IF([4]回答表!AA49="●",[4]回答表!V102,""))</f>
        <v>4</v>
      </c>
      <c r="BK39" s="16"/>
      <c r="BL39" s="16"/>
      <c r="BM39" s="17"/>
      <c r="BN39" s="150">
        <f>IF([4]回答表!X49="●",[4]回答表!V75,IF([4]回答表!AA49="●",[4]回答表!V103,""))</f>
        <v>1</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IF([4]回答表!X49="●",[4]回答表!O79,IF([4]回答表!AA49="●",[4]回答表!O107,""))</f>
        <v xml:space="preserve">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IF([4]回答表!X49="●",[4]回答表!O80,IF([4]回答表!AA49="●",[4]回答表!O108,""))</f>
        <v xml:space="preserve">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IF([4]回答表!AA49="●","●","")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IF([4]回答表!X49="●",[4]回答表!O81,IF([4]回答表!AA49="●",[4]回答表!O109,""))</f>
        <v xml:space="preserve">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IF([4]回答表!X49="●",[4]回答表!O82,IF([4]回答表!AA49="●",[4]回答表!O110,""))</f>
        <v xml:space="preserve">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IF([4]回答表!X49="●",[4]回答表!AG79,IF([4]回答表!AA49="●",[4]回答表!AG107,""))</f>
        <v>●</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IF([4]回答表!X49="●",[4]回答表!AG80,IF([4]回答表!AA49="●",[4]回答表!AG108,""))</f>
        <v xml:space="preserve">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f>IF([4]回答表!X49="●",[4]回答表!E85,IF([4]回答表!AA49="●",[4]回答表!E113,""))</f>
        <v>0</v>
      </c>
      <c r="V50" s="182"/>
      <c r="W50" s="182"/>
      <c r="X50" s="182"/>
      <c r="Y50" s="182"/>
      <c r="Z50" s="182"/>
      <c r="AA50" s="182"/>
      <c r="AB50" s="182"/>
      <c r="AC50" s="182"/>
      <c r="AD50" s="182"/>
      <c r="AE50" s="183" t="s">
        <v>33</v>
      </c>
      <c r="AF50" s="183"/>
      <c r="AG50" s="183"/>
      <c r="AH50" s="183"/>
      <c r="AI50" s="183"/>
      <c r="AJ50" s="184"/>
      <c r="AK50" s="136"/>
      <c r="AL50" s="136"/>
      <c r="AM50" s="133">
        <f>IF([4]回答表!X49="●",[4]回答表!B87,IF([4]回答表!AA49="●",[4]回答表!B115,""))</f>
        <v>0</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IF([4]回答表!AD49="●","●","")</f>
        <v/>
      </c>
      <c r="O57" s="131"/>
      <c r="P57" s="131"/>
      <c r="Q57" s="132"/>
      <c r="R57" s="119"/>
      <c r="S57" s="119"/>
      <c r="T57" s="119"/>
      <c r="U57" s="133" t="str">
        <f>IF([4]回答表!AD49="●",[4]回答表!B123,"")</f>
        <v/>
      </c>
      <c r="V57" s="134"/>
      <c r="W57" s="134"/>
      <c r="X57" s="134"/>
      <c r="Y57" s="134"/>
      <c r="Z57" s="134"/>
      <c r="AA57" s="134"/>
      <c r="AB57" s="134"/>
      <c r="AC57" s="134"/>
      <c r="AD57" s="134"/>
      <c r="AE57" s="134"/>
      <c r="AF57" s="134"/>
      <c r="AG57" s="134"/>
      <c r="AH57" s="134"/>
      <c r="AI57" s="134"/>
      <c r="AJ57" s="135"/>
      <c r="AK57" s="189"/>
      <c r="AL57" s="189"/>
      <c r="AM57" s="133" t="str">
        <f>IF([4]回答表!AD49="●",[4]回答表!B128,"")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IF([4]回答表!X50="●","●","")</f>
        <v/>
      </c>
      <c r="O68" s="131"/>
      <c r="P68" s="131"/>
      <c r="Q68" s="132"/>
      <c r="R68" s="119"/>
      <c r="S68" s="119"/>
      <c r="T68" s="119"/>
      <c r="U68" s="133" t="str">
        <f>IF([4]回答表!X50="●",[4]回答表!B138,IF([4]回答表!AA50="●",[4]回答表!B159,""))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IF([4]回答表!X50="●",[4]回答表!S144,IF([4]回答表!AA50="●",[4]回答表!S165,""))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IF([4]回答表!X50="●",[4]回答表!J144,IF([4]回答表!AA50="●",[4]回答表!J165,""))</f>
        <v/>
      </c>
      <c r="AN71" s="83"/>
      <c r="AO71" s="83"/>
      <c r="AP71" s="83"/>
      <c r="AQ71" s="83"/>
      <c r="AR71" s="83"/>
      <c r="AS71" s="83"/>
      <c r="AT71" s="153"/>
      <c r="AU71" s="82" t="str">
        <f>IF([4]回答表!X50="●",[4]回答表!J145,IF([4]回答表!AA50="●",[4]回答表!J166,""))</f>
        <v/>
      </c>
      <c r="AV71" s="83"/>
      <c r="AW71" s="83"/>
      <c r="AX71" s="83"/>
      <c r="AY71" s="83"/>
      <c r="AZ71" s="83"/>
      <c r="BA71" s="83"/>
      <c r="BB71" s="153"/>
      <c r="BC71" s="120"/>
      <c r="BD71" s="109"/>
      <c r="BE71" s="109"/>
      <c r="BF71" s="150" t="str">
        <f>IF([4]回答表!X50="●",[4]回答表!V144,IF([4]回答表!AA50="●",[4]回答表!V165,""))</f>
        <v/>
      </c>
      <c r="BG71" s="151"/>
      <c r="BH71" s="151"/>
      <c r="BI71" s="151"/>
      <c r="BJ71" s="150" t="str">
        <f>IF([4]回答表!X50="●",[4]回答表!V145,IF([4]回答表!AA50="●",[4]回答表!V166,""))</f>
        <v/>
      </c>
      <c r="BK71" s="151"/>
      <c r="BL71" s="151"/>
      <c r="BM71" s="151"/>
      <c r="BN71" s="150" t="str">
        <f>IF([4]回答表!X50="●",[4]回答表!V146,IF([4]回答表!AA50="●",[4]回答表!V167,""))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IF([4]回答表!AA50="●","●","")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IF([4]回答表!X50="●",[4]回答表!E149,IF([4]回答表!AA50="●",[4]回答表!E170,""))</f>
        <v/>
      </c>
      <c r="V80" s="182"/>
      <c r="W80" s="182"/>
      <c r="X80" s="182"/>
      <c r="Y80" s="182"/>
      <c r="Z80" s="182"/>
      <c r="AA80" s="182"/>
      <c r="AB80" s="182"/>
      <c r="AC80" s="182"/>
      <c r="AD80" s="182"/>
      <c r="AE80" s="183" t="s">
        <v>33</v>
      </c>
      <c r="AF80" s="183"/>
      <c r="AG80" s="183"/>
      <c r="AH80" s="183"/>
      <c r="AI80" s="183"/>
      <c r="AJ80" s="184"/>
      <c r="AK80" s="136"/>
      <c r="AL80" s="136"/>
      <c r="AM80" s="133" t="str">
        <f>IF([4]回答表!X50="●",[4]回答表!B151,IF([4]回答表!AA50="●",[4]回答表!B172,""))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IF([4]回答表!AD50="●","●","")</f>
        <v/>
      </c>
      <c r="O87" s="131"/>
      <c r="P87" s="131"/>
      <c r="Q87" s="132"/>
      <c r="R87" s="119"/>
      <c r="S87" s="119"/>
      <c r="T87" s="119"/>
      <c r="U87" s="133" t="str">
        <f>IF([4]回答表!AD50="●",[4]回答表!B180,"")</f>
        <v/>
      </c>
      <c r="V87" s="134"/>
      <c r="W87" s="134"/>
      <c r="X87" s="134"/>
      <c r="Y87" s="134"/>
      <c r="Z87" s="134"/>
      <c r="AA87" s="134"/>
      <c r="AB87" s="134"/>
      <c r="AC87" s="134"/>
      <c r="AD87" s="134"/>
      <c r="AE87" s="134"/>
      <c r="AF87" s="134"/>
      <c r="AG87" s="134"/>
      <c r="AH87" s="134"/>
      <c r="AI87" s="134"/>
      <c r="AJ87" s="135"/>
      <c r="AK87" s="189"/>
      <c r="AL87" s="189"/>
      <c r="AM87" s="133" t="str">
        <f>IF([4]回答表!AD50="●",[4]回答表!B186,"")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IF([4]回答表!F18="水道事業",IF([4]回答表!X51="●","●",""),"")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IF([4]回答表!F18="水道事業",IF([4]回答表!X51="●",[4]回答表!B197,IF([4]回答表!AA51="●",[4]回答表!B275,"")),"")</f>
        <v/>
      </c>
      <c r="AN99" s="134"/>
      <c r="AO99" s="134"/>
      <c r="AP99" s="134"/>
      <c r="AQ99" s="134"/>
      <c r="AR99" s="134"/>
      <c r="AS99" s="134"/>
      <c r="AT99" s="134"/>
      <c r="AU99" s="134"/>
      <c r="AV99" s="134"/>
      <c r="AW99" s="134"/>
      <c r="AX99" s="134"/>
      <c r="AY99" s="134"/>
      <c r="AZ99" s="134"/>
      <c r="BA99" s="134"/>
      <c r="BB99" s="134"/>
      <c r="BC99" s="135"/>
      <c r="BD99" s="109"/>
      <c r="BE99" s="109"/>
      <c r="BF99" s="138" t="str">
        <f>IF([4]回答表!F18="水道事業",IF([4]回答表!X51="●",[4]回答表!B256,IF([4]回答表!AA51="●",[4]回答表!B335,"")),"")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IF([4]回答表!F18="水道事業",IF([4]回答表!X51="●",[4]回答表!J205,IF([4]回答表!AA51="●",[4]回答表!J283,"")),"")</f>
        <v/>
      </c>
      <c r="V101" s="83"/>
      <c r="W101" s="83"/>
      <c r="X101" s="83"/>
      <c r="Y101" s="83"/>
      <c r="Z101" s="83"/>
      <c r="AA101" s="83"/>
      <c r="AB101" s="153"/>
      <c r="AC101" s="82" t="str">
        <f>IF([4]回答表!F18="水道事業",IF([4]回答表!X51="●",[4]回答表!J210,IF([4]回答表!AA51="●",[4]回答表!J290,"")),"")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IF([4]回答表!F18="水道事業",IF([4]回答表!X51="●",[4]回答表!E256,IF([4]回答表!AA51="●",[4]回答表!E335,"")),"")</f>
        <v/>
      </c>
      <c r="BG102" s="151"/>
      <c r="BH102" s="151"/>
      <c r="BI102" s="151"/>
      <c r="BJ102" s="150" t="str">
        <f>IF([4]回答表!F18="水道事業",IF([4]回答表!X51="●",[4]回答表!E257,IF([4]回答表!AA51="●",[4]回答表!E336,"")),"")</f>
        <v/>
      </c>
      <c r="BK102" s="151"/>
      <c r="BL102" s="151"/>
      <c r="BM102" s="151"/>
      <c r="BN102" s="150" t="str">
        <f>IF([4]回答表!F18="水道事業",IF([4]回答表!X51="●",[4]回答表!E258,IF([4]回答表!AA51="●",[4]回答表!E337,"")),"")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IF([4]回答表!F18="水道事業",IF([4]回答表!AA51="●","●",""),"")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IF([4]回答表!F18="水道事業",IF([4]回答表!X51="●",[4]回答表!J213,IF([4]回答表!AA51="●",[4]回答表!J293,"")),"")</f>
        <v/>
      </c>
      <c r="V106" s="83"/>
      <c r="W106" s="83"/>
      <c r="X106" s="83"/>
      <c r="Y106" s="83"/>
      <c r="Z106" s="83"/>
      <c r="AA106" s="83"/>
      <c r="AB106" s="153"/>
      <c r="AC106" s="82" t="str">
        <f>IF([4]回答表!F18="水道事業",IF([4]回答表!X51="●",[4]回答表!J217,IF([4]回答表!AA51="●",[4]回答表!J297,"")),"")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IF([4]回答表!F18="水道事業",IF([4]回答表!X51="●",[4]回答表!E265,IF([4]回答表!AA51="●",[4]回答表!E344,"")),"")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IF([4]回答表!F18="水道事業",IF([4]回答表!X51="●",[4]回答表!B267,IF([4]回答表!AA51="●",[4]回答表!B346,"")),"")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IF([4]回答表!F18="水道事業",IF([4]回答表!AD51="●","●",""),"")</f>
        <v/>
      </c>
      <c r="O118" s="131"/>
      <c r="P118" s="131"/>
      <c r="Q118" s="132"/>
      <c r="R118" s="119"/>
      <c r="S118" s="119"/>
      <c r="T118" s="119"/>
      <c r="U118" s="133" t="str">
        <f>IF([4]回答表!F18="水道事業",IF([4]回答表!AD51="●",[4]回答表!B354,""),"")</f>
        <v/>
      </c>
      <c r="V118" s="134"/>
      <c r="W118" s="134"/>
      <c r="X118" s="134"/>
      <c r="Y118" s="134"/>
      <c r="Z118" s="134"/>
      <c r="AA118" s="134"/>
      <c r="AB118" s="134"/>
      <c r="AC118" s="134"/>
      <c r="AD118" s="134"/>
      <c r="AE118" s="134"/>
      <c r="AF118" s="134"/>
      <c r="AG118" s="134"/>
      <c r="AH118" s="134"/>
      <c r="AI118" s="134"/>
      <c r="AJ118" s="135"/>
      <c r="AK118" s="189"/>
      <c r="AL118" s="189"/>
      <c r="AM118" s="133" t="str">
        <f>IF([4]回答表!F18="水道事業",IF([4]回答表!AD51="●",[4]回答表!B360,""),"")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IF([4]回答表!F18="簡易水道事業",IF([4]回答表!X51="●",[4]回答表!B197,IF([4]回答表!AA51="●",[4]回答表!B275,"")),"")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IF([4]回答表!F18="簡易水道事業",IF([4]回答表!X51="●",[4]回答表!B256,IF([4]回答表!AA51="●",[4]回答表!B335,"")),"")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IF([4]回答表!F18="簡易水道事業",IF([4]回答表!X51="●","●",""),"")</f>
        <v/>
      </c>
      <c r="O132" s="131"/>
      <c r="P132" s="131"/>
      <c r="Q132" s="132"/>
      <c r="R132" s="119"/>
      <c r="S132" s="119"/>
      <c r="T132" s="119"/>
      <c r="U132" s="82" t="str">
        <f>IF([4]回答表!F18="簡易水道事業",IF([4]回答表!X51="●",[4]回答表!S224,IF([4]回答表!AA51="●",[4]回答表!S304,"")),"")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IF([4]回答表!F18="簡易水道事業",IF([4]回答表!X51="●",[4]回答表!E256,IF([4]回答表!AA51="●",[4]回答表!E335,"")),"")</f>
        <v/>
      </c>
      <c r="BG133" s="151"/>
      <c r="BH133" s="151"/>
      <c r="BI133" s="151"/>
      <c r="BJ133" s="150" t="str">
        <f>IF([4]回答表!F18="簡易水道事業",IF([4]回答表!X51="●",[4]回答表!E257,IF([4]回答表!AA51="●",[4]回答表!E336,"")),"")</f>
        <v/>
      </c>
      <c r="BK133" s="151"/>
      <c r="BL133" s="151"/>
      <c r="BM133" s="151"/>
      <c r="BN133" s="150" t="str">
        <f>IF([4]回答表!F18="簡易水道事業",IF([4]回答表!X51="●",[4]回答表!E258,IF([4]回答表!AA51="●",[4]回答表!E337,"")),"")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IF([4]回答表!F18="簡易水道事業",IF([4]回答表!X51="●",[4]回答表!S225,IF([4]回答表!AA51="●",[4]回答表!S305,"")),"")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IF([4]回答表!F18="簡易水道事業",IF([4]回答表!AA51="●","●",""),"")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IF([4]回答表!F18="簡易水道事業",IF([4]回答表!X51="●",[4]回答表!S226,IF([4]回答表!AA51="●",[4]回答表!S306,"")),"")</f>
        <v/>
      </c>
      <c r="V142" s="83"/>
      <c r="W142" s="83"/>
      <c r="X142" s="83"/>
      <c r="Y142" s="83"/>
      <c r="Z142" s="83"/>
      <c r="AA142" s="83"/>
      <c r="AB142" s="83"/>
      <c r="AC142" s="83"/>
      <c r="AD142" s="83"/>
      <c r="AE142" s="83"/>
      <c r="AF142" s="83"/>
      <c r="AG142" s="83"/>
      <c r="AH142" s="83"/>
      <c r="AI142" s="83"/>
      <c r="AJ142" s="153"/>
      <c r="AK142" s="68"/>
      <c r="AL142" s="68"/>
      <c r="AM142" s="231" t="str">
        <f>IF([4]回答表!F18="簡易水道事業",IF([4]回答表!X51="●",[4]回答表!Y228,IF([4]回答表!AA51="●",[4]回答表!Y308,"")),"")</f>
        <v/>
      </c>
      <c r="AN142" s="231"/>
      <c r="AO142" s="231"/>
      <c r="AP142" s="231"/>
      <c r="AQ142" s="231"/>
      <c r="AR142" s="231"/>
      <c r="AS142" s="231" t="str">
        <f>IF([4]回答表!F18="簡易水道事業",IF([4]回答表!X51="●",[4]回答表!Y229,IF([4]回答表!AA51="●",[4]回答表!Y309,"")),"")</f>
        <v/>
      </c>
      <c r="AT142" s="231"/>
      <c r="AU142" s="231"/>
      <c r="AV142" s="231"/>
      <c r="AW142" s="231"/>
      <c r="AX142" s="231"/>
      <c r="AY142" s="231" t="str">
        <f>IF([4]回答表!F18="簡易水道事業",IF([4]回答表!X51="●",[4]回答表!Y230,IF([4]回答表!AA51="●",[4]回答表!Y310,"")),"")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IF([4]回答表!F18="簡易水道事業",IF([4]回答表!X51="●",[4]回答表!E265,IF([4]回答表!AA51="●",[4]回答表!E344,"")),"")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IF([4]回答表!F18="簡易水道事業",IF([4]回答表!X51="●",[4]回答表!B267,IF([4]回答表!AA51="●",[4]回答表!B346,"")),"")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IF([4]回答表!F18="簡易水道事業",IF([4]回答表!AD51="●","●",""),"")</f>
        <v/>
      </c>
      <c r="O154" s="131"/>
      <c r="P154" s="131"/>
      <c r="Q154" s="132"/>
      <c r="R154" s="119"/>
      <c r="S154" s="119"/>
      <c r="T154" s="119"/>
      <c r="U154" s="133" t="str">
        <f>IF([4]回答表!F18="簡易水道事業",IF([4]回答表!AD51="●",[4]回答表!B354,""),"")</f>
        <v/>
      </c>
      <c r="V154" s="134"/>
      <c r="W154" s="134"/>
      <c r="X154" s="134"/>
      <c r="Y154" s="134"/>
      <c r="Z154" s="134"/>
      <c r="AA154" s="134"/>
      <c r="AB154" s="134"/>
      <c r="AC154" s="134"/>
      <c r="AD154" s="134"/>
      <c r="AE154" s="134"/>
      <c r="AF154" s="134"/>
      <c r="AG154" s="134"/>
      <c r="AH154" s="134"/>
      <c r="AI154" s="134"/>
      <c r="AJ154" s="135"/>
      <c r="AK154" s="189"/>
      <c r="AL154" s="189"/>
      <c r="AM154" s="133" t="str">
        <f>IF([4]回答表!F18="簡易水道事業",IF([4]回答表!AD51="●",[4]回答表!B360,""),"")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IF([4]回答表!F18="下水道事業",IF([4]回答表!X51="●","●",""),"")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IF([4]回答表!F18="下水道事業",IF([4]回答表!X51="●",[4]回答表!B197,IF([4]回答表!AA51="●",[4]回答表!B275,"")),"")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IF([4]回答表!F18="下水道事業",IF([4]回答表!X51="●",[4]回答表!B256,IF([4]回答表!AA51="●",[4]回答表!B335,"")),"")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IF([4]回答表!F18="下水道事業",IF([4]回答表!X51="●",[4]回答表!N234,IF([4]回答表!AA51="●",[4]回答表!N314,"")),"")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IF([4]回答表!F18="下水道事業",IF([4]回答表!X51="●",[4]回答表!E256,IF([4]回答表!AA51="●",[4]回答表!E335,"")),"")</f>
        <v/>
      </c>
      <c r="BG169" s="151"/>
      <c r="BH169" s="151"/>
      <c r="BI169" s="151"/>
      <c r="BJ169" s="150" t="str">
        <f>IF([4]回答表!F18="下水道事業",IF([4]回答表!X51="●",[4]回答表!E257,IF([4]回答表!AA51="●",[4]回答表!E336,"")),"")</f>
        <v/>
      </c>
      <c r="BK169" s="151"/>
      <c r="BL169" s="151"/>
      <c r="BM169" s="151"/>
      <c r="BN169" s="150" t="str">
        <f>IF([4]回答表!F18="下水道事業",IF([4]回答表!X51="●",[4]回答表!E258,IF([4]回答表!AA51="●",[4]回答表!E337,"")),"")</f>
        <v/>
      </c>
      <c r="BO169" s="151"/>
      <c r="BP169" s="151"/>
      <c r="BQ169" s="152"/>
      <c r="BR169" s="112"/>
      <c r="BX169" s="234" t="str">
        <f>IF([4]回答表!AQ21="下水道事業",IF([4]回答表!BI54="○",[4]回答表!AM200,IF([4]回答表!BL54="○",[4]回答表!AM278,"")),"")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IF([4]回答表!F18="下水道事業",IF([4]回答表!X51="●",[4]回答表!Y236,IF([4]回答表!AA51="●",[4]回答表!Y316,"")),"")</f>
        <v/>
      </c>
      <c r="V174" s="83"/>
      <c r="W174" s="83"/>
      <c r="X174" s="83"/>
      <c r="Y174" s="83"/>
      <c r="Z174" s="83"/>
      <c r="AA174" s="83"/>
      <c r="AB174" s="153"/>
      <c r="AC174" s="82" t="str">
        <f>IF([4]回答表!F18="下水道事業",IF([4]回答表!X51="●",[4]回答表!Y237,IF([4]回答表!AA51="●",[4]回答表!Y317,"")),"")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IF([4]回答表!F18="下水道事業",IF([4]回答表!X51="●",[4]回答表!Y239,IF([4]回答表!AA51="●",[4]回答表!Y319,"")),"")</f>
        <v/>
      </c>
      <c r="V180" s="83"/>
      <c r="W180" s="83"/>
      <c r="X180" s="83"/>
      <c r="Y180" s="83"/>
      <c r="Z180" s="83"/>
      <c r="AA180" s="83"/>
      <c r="AB180" s="153"/>
      <c r="AC180" s="82" t="str">
        <f>IF([4]回答表!F18="下水道事業",IF([4]回答表!X51="●",[4]回答表!Y240,IF([4]回答表!AA51="●",[4]回答表!Y320,"")),"")</f>
        <v/>
      </c>
      <c r="AD180" s="83"/>
      <c r="AE180" s="83"/>
      <c r="AF180" s="83"/>
      <c r="AG180" s="83"/>
      <c r="AH180" s="83"/>
      <c r="AI180" s="83"/>
      <c r="AJ180" s="153"/>
      <c r="AK180" s="82" t="str">
        <f>IF([4]回答表!F18="下水道事業",IF([4]回答表!X51="●",[4]回答表!Y241,IF([4]回答表!AA51="●",[4]回答表!Y321,"")),"")</f>
        <v/>
      </c>
      <c r="AL180" s="83"/>
      <c r="AM180" s="83"/>
      <c r="AN180" s="83"/>
      <c r="AO180" s="83"/>
      <c r="AP180" s="83"/>
      <c r="AQ180" s="83"/>
      <c r="AR180" s="153"/>
      <c r="AS180" s="82" t="str">
        <f>IF([4]回答表!F18="下水道事業",IF([4]回答表!X51="●",[4]回答表!Y242,IF([4]回答表!AA51="●",[4]回答表!Y322,"")),"")</f>
        <v/>
      </c>
      <c r="AT180" s="83"/>
      <c r="AU180" s="83"/>
      <c r="AV180" s="83"/>
      <c r="AW180" s="83"/>
      <c r="AX180" s="83"/>
      <c r="AY180" s="83"/>
      <c r="AZ180" s="153"/>
      <c r="BA180" s="82" t="str">
        <f>IF([4]回答表!F18="下水道事業",IF([4]回答表!X51="●",[4]回答表!Y243,IF([4]回答表!AA51="●",[4]回答表!Y323,"")),"")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IF([4]回答表!F18="下水道事業",IF([4]回答表!AA51="●","●",""),"")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IF([4]回答表!F18="下水道事業",IF([4]回答表!X51="●",[4]回答表!N248,IF([4]回答表!AA51="●",[4]回答表!N328,"")),"")</f>
        <v/>
      </c>
      <c r="V186" s="83"/>
      <c r="W186" s="83"/>
      <c r="X186" s="83"/>
      <c r="Y186" s="83"/>
      <c r="Z186" s="83"/>
      <c r="AA186" s="83"/>
      <c r="AB186" s="153"/>
      <c r="AC186" s="82" t="str">
        <f>IF([4]回答表!F18="下水道事業",IF([4]回答表!X51="●",[4]回答表!N249,IF([4]回答表!AA51="●",[4]回答表!N329,"")),"")</f>
        <v/>
      </c>
      <c r="AD186" s="83"/>
      <c r="AE186" s="83"/>
      <c r="AF186" s="83"/>
      <c r="AG186" s="83"/>
      <c r="AH186" s="83"/>
      <c r="AI186" s="83"/>
      <c r="AJ186" s="153"/>
      <c r="AK186" s="82" t="str">
        <f>IF([4]回答表!F18="下水道事業",IF([4]回答表!X51="●",[4]回答表!N250,IF([4]回答表!AA51="●",[4]回答表!N330,"")),"")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IF([4]回答表!F18="下水道事業",IF([4]回答表!X51="●",[4]回答表!E265,IF([4]回答表!AA51="●",[4]回答表!E344,"")),"")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IF([4]回答表!F18="下水道事業",IF([4]回答表!X51="●",[4]回答表!B267,IF([4]回答表!AA51="●",[4]回答表!B346,"")),"")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IF([4]回答表!F18="下水道事業",IF([4]回答表!AD51="●","●",""),"")</f>
        <v/>
      </c>
      <c r="O198" s="131"/>
      <c r="P198" s="131"/>
      <c r="Q198" s="132"/>
      <c r="R198" s="119"/>
      <c r="S198" s="119"/>
      <c r="T198" s="119"/>
      <c r="U198" s="133" t="str">
        <f>IF([4]回答表!F18="下水道事業",IF([4]回答表!AD51="●",[4]回答表!B354,""),"")</f>
        <v/>
      </c>
      <c r="V198" s="134"/>
      <c r="W198" s="134"/>
      <c r="X198" s="134"/>
      <c r="Y198" s="134"/>
      <c r="Z198" s="134"/>
      <c r="AA198" s="134"/>
      <c r="AB198" s="134"/>
      <c r="AC198" s="134"/>
      <c r="AD198" s="134"/>
      <c r="AE198" s="134"/>
      <c r="AF198" s="134"/>
      <c r="AG198" s="134"/>
      <c r="AH198" s="134"/>
      <c r="AI198" s="134"/>
      <c r="AJ198" s="135"/>
      <c r="AK198" s="189"/>
      <c r="AL198" s="189"/>
      <c r="AM198" s="133" t="str">
        <f>IF([4]回答表!F18="下水道事業",IF([4]回答表!AD51="●",[4]回答表!B360,""),"")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IF([4]回答表!BD18="●",IF([4]回答表!X51="●","●",""),"")</f>
        <v/>
      </c>
      <c r="O210" s="131"/>
      <c r="P210" s="131"/>
      <c r="Q210" s="132"/>
      <c r="R210" s="119"/>
      <c r="S210" s="119"/>
      <c r="T210" s="119"/>
      <c r="U210" s="133" t="str">
        <f>IF([4]回答表!BD18="●",IF([4]回答表!X51="●",[4]回答表!B197,IF([4]回答表!AA51="●",[4]回答表!B275,"")),"")</f>
        <v/>
      </c>
      <c r="V210" s="134"/>
      <c r="W210" s="134"/>
      <c r="X210" s="134"/>
      <c r="Y210" s="134"/>
      <c r="Z210" s="134"/>
      <c r="AA210" s="134"/>
      <c r="AB210" s="134"/>
      <c r="AC210" s="134"/>
      <c r="AD210" s="134"/>
      <c r="AE210" s="134"/>
      <c r="AF210" s="134"/>
      <c r="AG210" s="134"/>
      <c r="AH210" s="134"/>
      <c r="AI210" s="134"/>
      <c r="AJ210" s="135"/>
      <c r="AK210" s="136"/>
      <c r="AL210" s="136"/>
      <c r="AM210" s="138" t="str">
        <f>IF([4]回答表!BD18="●",IF([4]回答表!X51="●",[4]回答表!B256,IF([4]回答表!AA51="●",[4]回答表!B335,"")),"")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IF([4]回答表!BD18="●",IF([4]回答表!X51="●",[4]回答表!E256,IF([4]回答表!AA51="●",[4]回答表!E335,"")),"")</f>
        <v/>
      </c>
      <c r="AN213" s="151"/>
      <c r="AO213" s="151"/>
      <c r="AP213" s="151"/>
      <c r="AQ213" s="150" t="str">
        <f>IF([4]回答表!BD18="●",IF([4]回答表!X51="●",[4]回答表!E257,IF([4]回答表!AA51="●",[4]回答表!E336,"")),"")</f>
        <v/>
      </c>
      <c r="AR213" s="151"/>
      <c r="AS213" s="151"/>
      <c r="AT213" s="151"/>
      <c r="AU213" s="150" t="str">
        <f>IF([4]回答表!BD18="●",IF([4]回答表!X51="●",[4]回答表!E258,IF([4]回答表!AA51="●",[4]回答表!E337,"")),"")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IF([4]回答表!BD18="●",IF([4]回答表!AA51="●","●",""),"")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IF([4]回答表!BD18="●",IF([4]回答表!X51="●",[4]回答表!E265,IF([4]回答表!AA51="●",[4]回答表!E344,"")),"")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IF([4]回答表!BD18="●",IF([4]回答表!X51="●",[4]回答表!B267,IF([4]回答表!AA51="●",[4]回答表!B346,"")),"")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IF([4]回答表!BD18="●",IF([4]回答表!AD51="●","●",""),"")</f>
        <v/>
      </c>
      <c r="O229" s="131"/>
      <c r="P229" s="131"/>
      <c r="Q229" s="132"/>
      <c r="R229" s="119"/>
      <c r="S229" s="119"/>
      <c r="T229" s="119"/>
      <c r="U229" s="133" t="str">
        <f>IF([4]回答表!BD18="●",IF([4]回答表!AD51="●",[4]回答表!B354,""),"")</f>
        <v/>
      </c>
      <c r="V229" s="134"/>
      <c r="W229" s="134"/>
      <c r="X229" s="134"/>
      <c r="Y229" s="134"/>
      <c r="Z229" s="134"/>
      <c r="AA229" s="134"/>
      <c r="AB229" s="134"/>
      <c r="AC229" s="134"/>
      <c r="AD229" s="134"/>
      <c r="AE229" s="134"/>
      <c r="AF229" s="134"/>
      <c r="AG229" s="134"/>
      <c r="AH229" s="134"/>
      <c r="AI229" s="134"/>
      <c r="AJ229" s="135"/>
      <c r="AK229" s="249"/>
      <c r="AL229" s="249"/>
      <c r="AM229" s="133" t="str">
        <f>IF([4]回答表!BD18="●",IF([4]回答表!AD51="●",[4]回答表!B360,""),"")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IF([4]回答表!X52="●","●","")</f>
        <v/>
      </c>
      <c r="O241" s="131"/>
      <c r="P241" s="131"/>
      <c r="Q241" s="132"/>
      <c r="R241" s="119"/>
      <c r="S241" s="119"/>
      <c r="T241" s="119"/>
      <c r="U241" s="133" t="str">
        <f>IF([4]回答表!X52="●",[4]回答表!B371,IF([4]回答表!AA52="●",[4]回答表!B396,""))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IF([4]回答表!X52="●",[4]回答表!U377,IF([4]回答表!AA52="●",[4]回答表!U402,""))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IF([4]回答表!X52="●",[4]回答表!G377,IF([4]回答表!AA52="●",[4]回答表!G402,""))</f>
        <v/>
      </c>
      <c r="AN244" s="83"/>
      <c r="AO244" s="83"/>
      <c r="AP244" s="83"/>
      <c r="AQ244" s="83"/>
      <c r="AR244" s="83"/>
      <c r="AS244" s="83"/>
      <c r="AT244" s="153"/>
      <c r="AU244" s="82" t="str">
        <f>IF([4]回答表!X52="●",[4]回答表!G378,IF([4]回答表!AA52="●",[4]回答表!G403,""))</f>
        <v/>
      </c>
      <c r="AV244" s="83"/>
      <c r="AW244" s="83"/>
      <c r="AX244" s="83"/>
      <c r="AY244" s="83"/>
      <c r="AZ244" s="83"/>
      <c r="BA244" s="83"/>
      <c r="BB244" s="153"/>
      <c r="BC244" s="120"/>
      <c r="BD244" s="109"/>
      <c r="BE244" s="109"/>
      <c r="BF244" s="150" t="str">
        <f>IF([4]回答表!X52="●",[4]回答表!X377,IF([4]回答表!AA52="●",[4]回答表!X402,""))</f>
        <v/>
      </c>
      <c r="BG244" s="151"/>
      <c r="BH244" s="151"/>
      <c r="BI244" s="151"/>
      <c r="BJ244" s="150" t="str">
        <f>IF([4]回答表!X52="●",[4]回答表!X378,IF([4]回答表!AA52="●",[4]回答表!X403,""))</f>
        <v/>
      </c>
      <c r="BK244" s="151"/>
      <c r="BL244" s="151"/>
      <c r="BM244" s="152"/>
      <c r="BN244" s="150" t="str">
        <f>IF([4]回答表!X52="●",[4]回答表!X379,IF([4]回答表!AA52="●",[4]回答表!X404,""))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IF([4]回答表!AA52="●","●","")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IF([4]回答表!X52="●",[4]回答表!E386,IF([4]回答表!AA52="●",[4]回答表!E407,""))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IF([4]回答表!X52="●",[4]回答表!B388,IF([4]回答表!AA52="●",[4]回答表!B409,""))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IF([4]回答表!AD52="●","●","")</f>
        <v/>
      </c>
      <c r="O260" s="131"/>
      <c r="P260" s="131"/>
      <c r="Q260" s="132"/>
      <c r="R260" s="119"/>
      <c r="S260" s="119"/>
      <c r="T260" s="119"/>
      <c r="U260" s="133" t="str">
        <f>IF([4]回答表!AD52="●",[4]回答表!B417,"")</f>
        <v/>
      </c>
      <c r="V260" s="134"/>
      <c r="W260" s="134"/>
      <c r="X260" s="134"/>
      <c r="Y260" s="134"/>
      <c r="Z260" s="134"/>
      <c r="AA260" s="134"/>
      <c r="AB260" s="134"/>
      <c r="AC260" s="134"/>
      <c r="AD260" s="134"/>
      <c r="AE260" s="134"/>
      <c r="AF260" s="134"/>
      <c r="AG260" s="134"/>
      <c r="AH260" s="134"/>
      <c r="AI260" s="134"/>
      <c r="AJ260" s="135"/>
      <c r="AK260" s="249"/>
      <c r="AL260" s="249"/>
      <c r="AM260" s="133" t="str">
        <f>IF([4]回答表!AD52="●",[4]回答表!B423,"")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IF([4]回答表!X53="●","●","")</f>
        <v/>
      </c>
      <c r="O272" s="131"/>
      <c r="P272" s="131"/>
      <c r="Q272" s="132"/>
      <c r="R272" s="119"/>
      <c r="S272" s="119"/>
      <c r="T272" s="119"/>
      <c r="U272" s="133" t="str">
        <f>IF([4]回答表!X53="●",[4]回答表!B434,IF([4]回答表!AA53="●",[4]回答表!B465,""))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IF([4]回答表!X53="●",[4]回答表!B440,"")</f>
        <v/>
      </c>
      <c r="AO272" s="262"/>
      <c r="AP272" s="262"/>
      <c r="AQ272" s="262"/>
      <c r="AR272" s="262"/>
      <c r="AS272" s="262"/>
      <c r="AT272" s="262"/>
      <c r="AU272" s="262"/>
      <c r="AV272" s="262"/>
      <c r="AW272" s="262"/>
      <c r="AX272" s="262"/>
      <c r="AY272" s="262"/>
      <c r="AZ272" s="262"/>
      <c r="BA272" s="262"/>
      <c r="BB272" s="263"/>
      <c r="BC272" s="120"/>
      <c r="BD272" s="109"/>
      <c r="BE272" s="109"/>
      <c r="BF272" s="138" t="str">
        <f>IF([4]回答表!X53="●",[4]回答表!B446,IF([4]回答表!AA53="●",[4]回答表!B471,""))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IF([4]回答表!X53="●",[4]回答表!E446,IF([4]回答表!AA53="●",[4]回答表!E471,""))</f>
        <v/>
      </c>
      <c r="BG275" s="151"/>
      <c r="BH275" s="151"/>
      <c r="BI275" s="151"/>
      <c r="BJ275" s="150" t="str">
        <f>IF([4]回答表!X53="●",[4]回答表!E447,IF([4]回答表!AA53="●",[4]回答表!E472,""))</f>
        <v/>
      </c>
      <c r="BK275" s="151"/>
      <c r="BL275" s="151"/>
      <c r="BM275" s="152"/>
      <c r="BN275" s="150" t="str">
        <f>IF([4]回答表!X53="●",[4]回答表!E448,IF([4]回答表!AA53="●",[4]回答表!E473,""))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IF([4]回答表!AA53="●","●","")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IF([4]回答表!X53="●",[4]回答表!E455,IF([4]回答表!AA53="●",[4]回答表!E476,""))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IF([4]回答表!X53="●",[4]回答表!B457,IF([4]回答表!AA53="●",[4]回答表!B478,""))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IF([4]回答表!AD53="●","●","")</f>
        <v/>
      </c>
      <c r="O291" s="131"/>
      <c r="P291" s="131"/>
      <c r="Q291" s="132"/>
      <c r="R291" s="119"/>
      <c r="S291" s="119"/>
      <c r="T291" s="119"/>
      <c r="U291" s="133" t="str">
        <f>IF([4]回答表!AD53="●",[4]回答表!B486,"")</f>
        <v/>
      </c>
      <c r="V291" s="134"/>
      <c r="W291" s="134"/>
      <c r="X291" s="134"/>
      <c r="Y291" s="134"/>
      <c r="Z291" s="134"/>
      <c r="AA291" s="134"/>
      <c r="AB291" s="134"/>
      <c r="AC291" s="134"/>
      <c r="AD291" s="134"/>
      <c r="AE291" s="134"/>
      <c r="AF291" s="134"/>
      <c r="AG291" s="134"/>
      <c r="AH291" s="134"/>
      <c r="AI291" s="134"/>
      <c r="AJ291" s="135"/>
      <c r="AK291" s="249"/>
      <c r="AL291" s="249"/>
      <c r="AM291" s="133" t="str">
        <f>IF([4]回答表!AD53="●",[4]回答表!B492,"")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IF([4]回答表!X54="●","●","")</f>
        <v/>
      </c>
      <c r="O303" s="131"/>
      <c r="P303" s="131"/>
      <c r="Q303" s="132"/>
      <c r="R303" s="119"/>
      <c r="S303" s="119"/>
      <c r="T303" s="119"/>
      <c r="U303" s="133" t="str">
        <f>IF([4]回答表!X54="●",[4]回答表!B503,IF([4]回答表!AA54="●",[4]回答表!B526,""))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IF([4]回答表!X54="●",[4]回答表!BC510,IF([4]回答表!AA54="●",[4]回答表!BC533,""))</f>
        <v/>
      </c>
      <c r="AR303" s="271"/>
      <c r="AS303" s="271"/>
      <c r="AT303" s="271"/>
      <c r="AU303" s="272" t="s">
        <v>74</v>
      </c>
      <c r="AV303" s="273"/>
      <c r="AW303" s="273"/>
      <c r="AX303" s="274"/>
      <c r="AY303" s="271" t="str">
        <f>IF([4]回答表!X54="●",[4]回答表!BC515,IF([4]回答表!AA54="●",[4]回答表!BC538,""))</f>
        <v/>
      </c>
      <c r="AZ303" s="271"/>
      <c r="BA303" s="271"/>
      <c r="BB303" s="271"/>
      <c r="BC303" s="120"/>
      <c r="BD303" s="109"/>
      <c r="BE303" s="109"/>
      <c r="BF303" s="138" t="str">
        <f>IF([4]回答表!X54="●",[4]回答表!S509,IF([4]回答表!AA54="●",[4]回答表!S532,""))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IF([4]回答表!X54="●",[4]回答表!BC511,IF([4]回答表!AA54="●",[4]回答表!BC534,""))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IF([4]回答表!X54="●",[4]回答表!V509,IF([4]回答表!AA54="●",[4]回答表!V532,""))</f>
        <v/>
      </c>
      <c r="BG306" s="151"/>
      <c r="BH306" s="151"/>
      <c r="BI306" s="151"/>
      <c r="BJ306" s="150" t="str">
        <f>IF([4]回答表!X54="●",[4]回答表!V510,IF([4]回答表!AA54="●",[4]回答表!V533,""))</f>
        <v/>
      </c>
      <c r="BK306" s="151"/>
      <c r="BL306" s="151"/>
      <c r="BM306" s="152"/>
      <c r="BN306" s="150" t="str">
        <f>IF([4]回答表!X54="●",[4]回答表!V511,IF([4]回答表!AA54="●",[4]回答表!V534,""))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IF([4]回答表!X54="●",[4]回答表!BC512,IF([4]回答表!AA54="●",[4]回答表!BC535,""))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IF([4]回答表!X54="●",[4]回答表!BC516,IF([4]回答表!AA54="●",[4]回答表!BC539,""))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IF([4]回答表!AA54="●","●","")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IF([4]回答表!X54="●",[4]回答表!BC513,IF([4]回答表!AA54="●",[4]回答表!BC536,""))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IF([4]回答表!X54="●",[4]回答表!BC514,IF([4]回答表!AA54="●",[4]回答表!BC537,""))</f>
        <v/>
      </c>
      <c r="AR311" s="271"/>
      <c r="AS311" s="271"/>
      <c r="AT311" s="271"/>
      <c r="AU311" s="222" t="s">
        <v>80</v>
      </c>
      <c r="AV311" s="223"/>
      <c r="AW311" s="223"/>
      <c r="AX311" s="224"/>
      <c r="AY311" s="281" t="str">
        <f>IF([4]回答表!X54="●",[4]回答表!BC517,IF([4]回答表!AA54="●",[4]回答表!BC540,""))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IF([4]回答表!X54="●",[4]回答表!E516,IF([4]回答表!AA54="●",[4]回答表!E538,""))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IF([4]回答表!X54="●",[4]回答表!B518,IF([4]回答表!AA54="●",[4]回答表!B540,""))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IF([4]回答表!AD54="●","●","")</f>
        <v/>
      </c>
      <c r="O322" s="131"/>
      <c r="P322" s="131"/>
      <c r="Q322" s="132"/>
      <c r="R322" s="119"/>
      <c r="S322" s="119"/>
      <c r="T322" s="119"/>
      <c r="U322" s="133" t="str">
        <f>IF([4]回答表!AD54="●",[4]回答表!B548,"")</f>
        <v/>
      </c>
      <c r="V322" s="134"/>
      <c r="W322" s="134"/>
      <c r="X322" s="134"/>
      <c r="Y322" s="134"/>
      <c r="Z322" s="134"/>
      <c r="AA322" s="134"/>
      <c r="AB322" s="134"/>
      <c r="AC322" s="134"/>
      <c r="AD322" s="134"/>
      <c r="AE322" s="134"/>
      <c r="AF322" s="134"/>
      <c r="AG322" s="134"/>
      <c r="AH322" s="134"/>
      <c r="AI322" s="134"/>
      <c r="AJ322" s="135"/>
      <c r="AK322" s="189"/>
      <c r="AL322" s="189"/>
      <c r="AM322" s="133" t="str">
        <f>IF([4]回答表!AD54="●",[4]回答表!B554,"")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IF([4]回答表!X55="●","●","")</f>
        <v/>
      </c>
      <c r="O333" s="131"/>
      <c r="P333" s="131"/>
      <c r="Q333" s="132"/>
      <c r="R333" s="119"/>
      <c r="S333" s="119"/>
      <c r="T333" s="119"/>
      <c r="U333" s="133" t="str">
        <f>IF([4]回答表!X55="●",[4]回答表!B565,IF([4]回答表!AA55="●",[4]回答表!B590,""))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IF([4]回答表!X55="●",[4]回答表!B575,IF([4]回答表!AA55="●",[4]回答表!B600,""))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IF([4]回答表!X55="●",[4]回答表!G571,IF([4]回答表!AA55="●",[4]回答表!G596,""))</f>
        <v/>
      </c>
      <c r="AN335" s="83"/>
      <c r="AO335" s="83"/>
      <c r="AP335" s="83"/>
      <c r="AQ335" s="83"/>
      <c r="AR335" s="83"/>
      <c r="AS335" s="83"/>
      <c r="AT335" s="153"/>
      <c r="AU335" s="82" t="str">
        <f>IF([4]回答表!X55="●",[4]回答表!G572,IF([4]回答表!AA55="●",[4]回答表!G597,""))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IF([4]回答表!X55="●",[4]回答表!E575,IF([4]回答表!AA55="●",[4]回答表!E600,""))</f>
        <v/>
      </c>
      <c r="BG336" s="151"/>
      <c r="BH336" s="151"/>
      <c r="BI336" s="151"/>
      <c r="BJ336" s="150" t="str">
        <f>IF([4]回答表!X55="●",[4]回答表!E576,IF([4]回答表!AA55="●",[4]回答表!E601,""))</f>
        <v/>
      </c>
      <c r="BK336" s="151"/>
      <c r="BL336" s="151"/>
      <c r="BM336" s="152"/>
      <c r="BN336" s="150" t="str">
        <f>IF([4]回答表!X55="●",[4]回答表!E577,IF([4]回答表!AA55="●",[4]回答表!E602,""))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IF([4]回答表!AA55="●","●","")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IF([4]回答表!X55="●",[4]回答表!E580,IF([4]回答表!AA55="●",[4]回答表!E605,""))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IF([4]回答表!X55="●",[4]回答表!B582,IF([4]回答表!AA55="●",[4]回答表!B607,""))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IF([4]回答表!AD55="●","●","")</f>
        <v/>
      </c>
      <c r="O352" s="131"/>
      <c r="P352" s="131"/>
      <c r="Q352" s="132"/>
      <c r="R352" s="119"/>
      <c r="S352" s="119"/>
      <c r="T352" s="119"/>
      <c r="U352" s="133" t="str">
        <f>IF([4]回答表!AD55="●",[4]回答表!B615,"")</f>
        <v/>
      </c>
      <c r="V352" s="134"/>
      <c r="W352" s="134"/>
      <c r="X352" s="134"/>
      <c r="Y352" s="134"/>
      <c r="Z352" s="134"/>
      <c r="AA352" s="134"/>
      <c r="AB352" s="134"/>
      <c r="AC352" s="134"/>
      <c r="AD352" s="134"/>
      <c r="AE352" s="134"/>
      <c r="AF352" s="134"/>
      <c r="AG352" s="134"/>
      <c r="AH352" s="134"/>
      <c r="AI352" s="134"/>
      <c r="AJ352" s="135"/>
      <c r="AK352" s="136"/>
      <c r="AL352" s="136"/>
      <c r="AM352" s="133" t="str">
        <f>IF([4]回答表!AD55="●",[4]回答表!B621,"")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IF([4]回答表!R56="●",[4]回答表!B634,"")</f>
        <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9" priority="2">
      <formula>$BB$25="○"</formula>
    </cfRule>
  </conditionalFormatting>
  <conditionalFormatting sqref="BD28:BD30">
    <cfRule type="expression" dxfId="18" priority="1">
      <formula>$BB$25="○"</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95236-B1B6-4EEB-8B19-546F9D287DA3}">
  <dimension ref="A1:CN384"/>
  <sheetViews>
    <sheetView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IF(COUNTIF([5]回答表!K16,"*")&gt;0,[5]回答表!K16,"")</f>
        <v>横手市</v>
      </c>
      <c r="D11" s="8"/>
      <c r="E11" s="8"/>
      <c r="F11" s="8"/>
      <c r="G11" s="8"/>
      <c r="H11" s="8"/>
      <c r="I11" s="8"/>
      <c r="J11" s="8"/>
      <c r="K11" s="8"/>
      <c r="L11" s="8"/>
      <c r="M11" s="8"/>
      <c r="N11" s="8"/>
      <c r="O11" s="8"/>
      <c r="P11" s="8"/>
      <c r="Q11" s="8"/>
      <c r="R11" s="8"/>
      <c r="S11" s="8"/>
      <c r="T11" s="8"/>
      <c r="U11" s="22" t="str">
        <f>IF(COUNTIF([5]回答表!F18,"*")&gt;0,[5]回答表!F18,"")</f>
        <v>介護サービス事業</v>
      </c>
      <c r="V11" s="23"/>
      <c r="W11" s="23"/>
      <c r="X11" s="23"/>
      <c r="Y11" s="23"/>
      <c r="Z11" s="23"/>
      <c r="AA11" s="23"/>
      <c r="AB11" s="23"/>
      <c r="AC11" s="23"/>
      <c r="AD11" s="23"/>
      <c r="AE11" s="23"/>
      <c r="AF11" s="10"/>
      <c r="AG11" s="10"/>
      <c r="AH11" s="10"/>
      <c r="AI11" s="10"/>
      <c r="AJ11" s="10"/>
      <c r="AK11" s="10"/>
      <c r="AL11" s="10"/>
      <c r="AM11" s="10"/>
      <c r="AN11" s="11"/>
      <c r="AO11" s="24" t="str">
        <f>IF(COUNTIF([5]回答表!W18,"*")&gt;0,[5]回答表!W18,"")</f>
        <v>老人短期入所施設</v>
      </c>
      <c r="AP11" s="10"/>
      <c r="AQ11" s="10"/>
      <c r="AR11" s="10"/>
      <c r="AS11" s="10"/>
      <c r="AT11" s="10"/>
      <c r="AU11" s="10"/>
      <c r="AV11" s="10"/>
      <c r="AW11" s="10"/>
      <c r="AX11" s="10"/>
      <c r="AY11" s="10"/>
      <c r="AZ11" s="10"/>
      <c r="BA11" s="10"/>
      <c r="BB11" s="10"/>
      <c r="BC11" s="10"/>
      <c r="BD11" s="10"/>
      <c r="BE11" s="10"/>
      <c r="BF11" s="11"/>
      <c r="BG11" s="21" t="str">
        <f>IF(COUNTIF([5]回答表!F20,"*")&gt;0,[5]回答表!F20,"")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IF([5]回答表!R49="●","●","")</f>
        <v/>
      </c>
      <c r="E24" s="80"/>
      <c r="F24" s="80"/>
      <c r="G24" s="80"/>
      <c r="H24" s="80"/>
      <c r="I24" s="80"/>
      <c r="J24" s="81"/>
      <c r="K24" s="79" t="str">
        <f>IF([5]回答表!R50="●","●","")</f>
        <v/>
      </c>
      <c r="L24" s="80"/>
      <c r="M24" s="80"/>
      <c r="N24" s="80"/>
      <c r="O24" s="80"/>
      <c r="P24" s="80"/>
      <c r="Q24" s="81"/>
      <c r="R24" s="79" t="str">
        <f>IF([5]回答表!R51="●","●","")</f>
        <v/>
      </c>
      <c r="S24" s="80"/>
      <c r="T24" s="80"/>
      <c r="U24" s="80"/>
      <c r="V24" s="80"/>
      <c r="W24" s="80"/>
      <c r="X24" s="81"/>
      <c r="Y24" s="79" t="str">
        <f>IF([5]回答表!R52="●","●","")</f>
        <v/>
      </c>
      <c r="Z24" s="80"/>
      <c r="AA24" s="80"/>
      <c r="AB24" s="80"/>
      <c r="AC24" s="80"/>
      <c r="AD24" s="80"/>
      <c r="AE24" s="81"/>
      <c r="AF24" s="79" t="str">
        <f>IF([5]回答表!R53="●","●","")</f>
        <v/>
      </c>
      <c r="AG24" s="80"/>
      <c r="AH24" s="80"/>
      <c r="AI24" s="80"/>
      <c r="AJ24" s="80"/>
      <c r="AK24" s="80"/>
      <c r="AL24" s="81"/>
      <c r="AM24" s="79" t="str">
        <f>IF([5]回答表!R54="●","●","")</f>
        <v/>
      </c>
      <c r="AN24" s="80"/>
      <c r="AO24" s="80"/>
      <c r="AP24" s="80"/>
      <c r="AQ24" s="80"/>
      <c r="AR24" s="80"/>
      <c r="AS24" s="81"/>
      <c r="AT24" s="79" t="str">
        <f>IF([5]回答表!R55="●","●","")</f>
        <v/>
      </c>
      <c r="AU24" s="80"/>
      <c r="AV24" s="80"/>
      <c r="AW24" s="80"/>
      <c r="AX24" s="80"/>
      <c r="AY24" s="80"/>
      <c r="AZ24" s="81"/>
      <c r="BA24" s="68"/>
      <c r="BB24" s="82" t="str">
        <f>IF([5]回答表!R56="●","●","")</f>
        <v>●</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IF([5]回答表!X49="●","●","")</f>
        <v/>
      </c>
      <c r="O36" s="131"/>
      <c r="P36" s="131"/>
      <c r="Q36" s="132"/>
      <c r="R36" s="119"/>
      <c r="S36" s="119"/>
      <c r="T36" s="119"/>
      <c r="U36" s="133" t="str">
        <f>IF([5]回答表!X49="●",[5]回答表!B67,IF([5]回答表!AA49="●",[5]回答表!B95,""))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IF([5]回答表!X49="●",[5]回答表!S73,IF([5]回答表!AA49="●",[5]回答表!S101,""))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IF([5]回答表!X49="●",[5]回答表!G73,IF([5]回答表!AA49="●",[5]回答表!G101,""))</f>
        <v/>
      </c>
      <c r="AN38" s="83"/>
      <c r="AO38" s="83"/>
      <c r="AP38" s="83"/>
      <c r="AQ38" s="83"/>
      <c r="AR38" s="83"/>
      <c r="AS38" s="83"/>
      <c r="AT38" s="153"/>
      <c r="AU38" s="82" t="str">
        <f>IF([5]回答表!X49="●",[5]回答表!G74,IF([5]回答表!AA49="●",[5]回答表!G102,""))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IF([5]回答表!X49="●",[5]回答表!V73,IF([5]回答表!AA49="●",[5]回答表!V101,""))</f>
        <v/>
      </c>
      <c r="BG39" s="16"/>
      <c r="BH39" s="16"/>
      <c r="BI39" s="17"/>
      <c r="BJ39" s="150" t="str">
        <f>IF([5]回答表!X49="●",[5]回答表!V74,IF([5]回答表!AA49="●",[5]回答表!V102,""))</f>
        <v/>
      </c>
      <c r="BK39" s="16"/>
      <c r="BL39" s="16"/>
      <c r="BM39" s="17"/>
      <c r="BN39" s="150" t="str">
        <f>IF([5]回答表!X49="●",[5]回答表!V75,IF([5]回答表!AA49="●",[5]回答表!V103,""))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IF([5]回答表!X49="●",[5]回答表!O79,IF([5]回答表!AA49="●",[5]回答表!O107,""))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IF([5]回答表!X49="●",[5]回答表!O80,IF([5]回答表!AA49="●",[5]回答表!O108,""))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IF([5]回答表!AA49="●","●","")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IF([5]回答表!X49="●",[5]回答表!O81,IF([5]回答表!AA49="●",[5]回答表!O109,""))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IF([5]回答表!X49="●",[5]回答表!O82,IF([5]回答表!AA49="●",[5]回答表!O110,""))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IF([5]回答表!X49="●",[5]回答表!AG79,IF([5]回答表!AA49="●",[5]回答表!AG107,""))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IF([5]回答表!X49="●",[5]回答表!AG80,IF([5]回答表!AA49="●",[5]回答表!AG108,""))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IF([5]回答表!X49="●",[5]回答表!E85,IF([5]回答表!AA49="●",[5]回答表!E113,""))</f>
        <v/>
      </c>
      <c r="V50" s="182"/>
      <c r="W50" s="182"/>
      <c r="X50" s="182"/>
      <c r="Y50" s="182"/>
      <c r="Z50" s="182"/>
      <c r="AA50" s="182"/>
      <c r="AB50" s="182"/>
      <c r="AC50" s="182"/>
      <c r="AD50" s="182"/>
      <c r="AE50" s="183" t="s">
        <v>33</v>
      </c>
      <c r="AF50" s="183"/>
      <c r="AG50" s="183"/>
      <c r="AH50" s="183"/>
      <c r="AI50" s="183"/>
      <c r="AJ50" s="184"/>
      <c r="AK50" s="136"/>
      <c r="AL50" s="136"/>
      <c r="AM50" s="133" t="str">
        <f>IF([5]回答表!X49="●",[5]回答表!B87,IF([5]回答表!AA49="●",[5]回答表!B115,""))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IF([5]回答表!AD49="●","●","")</f>
        <v/>
      </c>
      <c r="O57" s="131"/>
      <c r="P57" s="131"/>
      <c r="Q57" s="132"/>
      <c r="R57" s="119"/>
      <c r="S57" s="119"/>
      <c r="T57" s="119"/>
      <c r="U57" s="133" t="str">
        <f>IF([5]回答表!AD49="●",[5]回答表!B123,"")</f>
        <v/>
      </c>
      <c r="V57" s="134"/>
      <c r="W57" s="134"/>
      <c r="X57" s="134"/>
      <c r="Y57" s="134"/>
      <c r="Z57" s="134"/>
      <c r="AA57" s="134"/>
      <c r="AB57" s="134"/>
      <c r="AC57" s="134"/>
      <c r="AD57" s="134"/>
      <c r="AE57" s="134"/>
      <c r="AF57" s="134"/>
      <c r="AG57" s="134"/>
      <c r="AH57" s="134"/>
      <c r="AI57" s="134"/>
      <c r="AJ57" s="135"/>
      <c r="AK57" s="189"/>
      <c r="AL57" s="189"/>
      <c r="AM57" s="133" t="str">
        <f>IF([5]回答表!AD49="●",[5]回答表!B128,"")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IF([5]回答表!X50="●","●","")</f>
        <v/>
      </c>
      <c r="O68" s="131"/>
      <c r="P68" s="131"/>
      <c r="Q68" s="132"/>
      <c r="R68" s="119"/>
      <c r="S68" s="119"/>
      <c r="T68" s="119"/>
      <c r="U68" s="133" t="str">
        <f>IF([5]回答表!X50="●",[5]回答表!B138,IF([5]回答表!AA50="●",[5]回答表!B159,""))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IF([5]回答表!X50="●",[5]回答表!S144,IF([5]回答表!AA50="●",[5]回答表!S165,""))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IF([5]回答表!X50="●",[5]回答表!J144,IF([5]回答表!AA50="●",[5]回答表!J165,""))</f>
        <v/>
      </c>
      <c r="AN71" s="83"/>
      <c r="AO71" s="83"/>
      <c r="AP71" s="83"/>
      <c r="AQ71" s="83"/>
      <c r="AR71" s="83"/>
      <c r="AS71" s="83"/>
      <c r="AT71" s="153"/>
      <c r="AU71" s="82" t="str">
        <f>IF([5]回答表!X50="●",[5]回答表!J145,IF([5]回答表!AA50="●",[5]回答表!J166,""))</f>
        <v/>
      </c>
      <c r="AV71" s="83"/>
      <c r="AW71" s="83"/>
      <c r="AX71" s="83"/>
      <c r="AY71" s="83"/>
      <c r="AZ71" s="83"/>
      <c r="BA71" s="83"/>
      <c r="BB71" s="153"/>
      <c r="BC71" s="120"/>
      <c r="BD71" s="109"/>
      <c r="BE71" s="109"/>
      <c r="BF71" s="150" t="str">
        <f>IF([5]回答表!X50="●",[5]回答表!V144,IF([5]回答表!AA50="●",[5]回答表!V165,""))</f>
        <v/>
      </c>
      <c r="BG71" s="151"/>
      <c r="BH71" s="151"/>
      <c r="BI71" s="151"/>
      <c r="BJ71" s="150" t="str">
        <f>IF([5]回答表!X50="●",[5]回答表!V145,IF([5]回答表!AA50="●",[5]回答表!V166,""))</f>
        <v/>
      </c>
      <c r="BK71" s="151"/>
      <c r="BL71" s="151"/>
      <c r="BM71" s="151"/>
      <c r="BN71" s="150" t="str">
        <f>IF([5]回答表!X50="●",[5]回答表!V146,IF([5]回答表!AA50="●",[5]回答表!V167,""))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IF([5]回答表!AA50="●","●","")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IF([5]回答表!X50="●",[5]回答表!E149,IF([5]回答表!AA50="●",[5]回答表!E170,""))</f>
        <v/>
      </c>
      <c r="V80" s="182"/>
      <c r="W80" s="182"/>
      <c r="X80" s="182"/>
      <c r="Y80" s="182"/>
      <c r="Z80" s="182"/>
      <c r="AA80" s="182"/>
      <c r="AB80" s="182"/>
      <c r="AC80" s="182"/>
      <c r="AD80" s="182"/>
      <c r="AE80" s="183" t="s">
        <v>33</v>
      </c>
      <c r="AF80" s="183"/>
      <c r="AG80" s="183"/>
      <c r="AH80" s="183"/>
      <c r="AI80" s="183"/>
      <c r="AJ80" s="184"/>
      <c r="AK80" s="136"/>
      <c r="AL80" s="136"/>
      <c r="AM80" s="133" t="str">
        <f>IF([5]回答表!X50="●",[5]回答表!B151,IF([5]回答表!AA50="●",[5]回答表!B172,""))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IF([5]回答表!AD50="●","●","")</f>
        <v/>
      </c>
      <c r="O87" s="131"/>
      <c r="P87" s="131"/>
      <c r="Q87" s="132"/>
      <c r="R87" s="119"/>
      <c r="S87" s="119"/>
      <c r="T87" s="119"/>
      <c r="U87" s="133" t="str">
        <f>IF([5]回答表!AD50="●",[5]回答表!B180,"")</f>
        <v/>
      </c>
      <c r="V87" s="134"/>
      <c r="W87" s="134"/>
      <c r="X87" s="134"/>
      <c r="Y87" s="134"/>
      <c r="Z87" s="134"/>
      <c r="AA87" s="134"/>
      <c r="AB87" s="134"/>
      <c r="AC87" s="134"/>
      <c r="AD87" s="134"/>
      <c r="AE87" s="134"/>
      <c r="AF87" s="134"/>
      <c r="AG87" s="134"/>
      <c r="AH87" s="134"/>
      <c r="AI87" s="134"/>
      <c r="AJ87" s="135"/>
      <c r="AK87" s="189"/>
      <c r="AL87" s="189"/>
      <c r="AM87" s="133" t="str">
        <f>IF([5]回答表!AD50="●",[5]回答表!B186,"")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IF([5]回答表!F18="水道事業",IF([5]回答表!X51="●","●",""),"")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IF([5]回答表!F18="水道事業",IF([5]回答表!X51="●",[5]回答表!B197,IF([5]回答表!AA51="●",[5]回答表!B275,"")),"")</f>
        <v/>
      </c>
      <c r="AN99" s="134"/>
      <c r="AO99" s="134"/>
      <c r="AP99" s="134"/>
      <c r="AQ99" s="134"/>
      <c r="AR99" s="134"/>
      <c r="AS99" s="134"/>
      <c r="AT99" s="134"/>
      <c r="AU99" s="134"/>
      <c r="AV99" s="134"/>
      <c r="AW99" s="134"/>
      <c r="AX99" s="134"/>
      <c r="AY99" s="134"/>
      <c r="AZ99" s="134"/>
      <c r="BA99" s="134"/>
      <c r="BB99" s="134"/>
      <c r="BC99" s="135"/>
      <c r="BD99" s="109"/>
      <c r="BE99" s="109"/>
      <c r="BF99" s="138" t="str">
        <f>IF([5]回答表!F18="水道事業",IF([5]回答表!X51="●",[5]回答表!B256,IF([5]回答表!AA51="●",[5]回答表!B335,"")),"")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IF([5]回答表!F18="水道事業",IF([5]回答表!X51="●",[5]回答表!J205,IF([5]回答表!AA51="●",[5]回答表!J283,"")),"")</f>
        <v/>
      </c>
      <c r="V101" s="83"/>
      <c r="W101" s="83"/>
      <c r="X101" s="83"/>
      <c r="Y101" s="83"/>
      <c r="Z101" s="83"/>
      <c r="AA101" s="83"/>
      <c r="AB101" s="153"/>
      <c r="AC101" s="82" t="str">
        <f>IF([5]回答表!F18="水道事業",IF([5]回答表!X51="●",[5]回答表!J210,IF([5]回答表!AA51="●",[5]回答表!J290,"")),"")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IF([5]回答表!F18="水道事業",IF([5]回答表!X51="●",[5]回答表!E256,IF([5]回答表!AA51="●",[5]回答表!E335,"")),"")</f>
        <v/>
      </c>
      <c r="BG102" s="151"/>
      <c r="BH102" s="151"/>
      <c r="BI102" s="151"/>
      <c r="BJ102" s="150" t="str">
        <f>IF([5]回答表!F18="水道事業",IF([5]回答表!X51="●",[5]回答表!E257,IF([5]回答表!AA51="●",[5]回答表!E336,"")),"")</f>
        <v/>
      </c>
      <c r="BK102" s="151"/>
      <c r="BL102" s="151"/>
      <c r="BM102" s="151"/>
      <c r="BN102" s="150" t="str">
        <f>IF([5]回答表!F18="水道事業",IF([5]回答表!X51="●",[5]回答表!E258,IF([5]回答表!AA51="●",[5]回答表!E337,"")),"")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IF([5]回答表!F18="水道事業",IF([5]回答表!AA51="●","●",""),"")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IF([5]回答表!F18="水道事業",IF([5]回答表!X51="●",[5]回答表!J213,IF([5]回答表!AA51="●",[5]回答表!J293,"")),"")</f>
        <v/>
      </c>
      <c r="V106" s="83"/>
      <c r="W106" s="83"/>
      <c r="X106" s="83"/>
      <c r="Y106" s="83"/>
      <c r="Z106" s="83"/>
      <c r="AA106" s="83"/>
      <c r="AB106" s="153"/>
      <c r="AC106" s="82" t="str">
        <f>IF([5]回答表!F18="水道事業",IF([5]回答表!X51="●",[5]回答表!J217,IF([5]回答表!AA51="●",[5]回答表!J297,"")),"")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IF([5]回答表!F18="水道事業",IF([5]回答表!X51="●",[5]回答表!E265,IF([5]回答表!AA51="●",[5]回答表!E344,"")),"")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IF([5]回答表!F18="水道事業",IF([5]回答表!X51="●",[5]回答表!B267,IF([5]回答表!AA51="●",[5]回答表!B346,"")),"")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IF([5]回答表!F18="水道事業",IF([5]回答表!AD51="●","●",""),"")</f>
        <v/>
      </c>
      <c r="O118" s="131"/>
      <c r="P118" s="131"/>
      <c r="Q118" s="132"/>
      <c r="R118" s="119"/>
      <c r="S118" s="119"/>
      <c r="T118" s="119"/>
      <c r="U118" s="133" t="str">
        <f>IF([5]回答表!F18="水道事業",IF([5]回答表!AD51="●",[5]回答表!B354,""),"")</f>
        <v/>
      </c>
      <c r="V118" s="134"/>
      <c r="W118" s="134"/>
      <c r="X118" s="134"/>
      <c r="Y118" s="134"/>
      <c r="Z118" s="134"/>
      <c r="AA118" s="134"/>
      <c r="AB118" s="134"/>
      <c r="AC118" s="134"/>
      <c r="AD118" s="134"/>
      <c r="AE118" s="134"/>
      <c r="AF118" s="134"/>
      <c r="AG118" s="134"/>
      <c r="AH118" s="134"/>
      <c r="AI118" s="134"/>
      <c r="AJ118" s="135"/>
      <c r="AK118" s="189"/>
      <c r="AL118" s="189"/>
      <c r="AM118" s="133" t="str">
        <f>IF([5]回答表!F18="水道事業",IF([5]回答表!AD51="●",[5]回答表!B360,""),"")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IF([5]回答表!F18="簡易水道事業",IF([5]回答表!X51="●",[5]回答表!B197,IF([5]回答表!AA51="●",[5]回答表!B275,"")),"")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IF([5]回答表!F18="簡易水道事業",IF([5]回答表!X51="●",[5]回答表!B256,IF([5]回答表!AA51="●",[5]回答表!B335,"")),"")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IF([5]回答表!F18="簡易水道事業",IF([5]回答表!X51="●","●",""),"")</f>
        <v/>
      </c>
      <c r="O132" s="131"/>
      <c r="P132" s="131"/>
      <c r="Q132" s="132"/>
      <c r="R132" s="119"/>
      <c r="S132" s="119"/>
      <c r="T132" s="119"/>
      <c r="U132" s="82" t="str">
        <f>IF([5]回答表!F18="簡易水道事業",IF([5]回答表!X51="●",[5]回答表!S224,IF([5]回答表!AA51="●",[5]回答表!S304,"")),"")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IF([5]回答表!F18="簡易水道事業",IF([5]回答表!X51="●",[5]回答表!E256,IF([5]回答表!AA51="●",[5]回答表!E335,"")),"")</f>
        <v/>
      </c>
      <c r="BG133" s="151"/>
      <c r="BH133" s="151"/>
      <c r="BI133" s="151"/>
      <c r="BJ133" s="150" t="str">
        <f>IF([5]回答表!F18="簡易水道事業",IF([5]回答表!X51="●",[5]回答表!E257,IF([5]回答表!AA51="●",[5]回答表!E336,"")),"")</f>
        <v/>
      </c>
      <c r="BK133" s="151"/>
      <c r="BL133" s="151"/>
      <c r="BM133" s="151"/>
      <c r="BN133" s="150" t="str">
        <f>IF([5]回答表!F18="簡易水道事業",IF([5]回答表!X51="●",[5]回答表!E258,IF([5]回答表!AA51="●",[5]回答表!E337,"")),"")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IF([5]回答表!F18="簡易水道事業",IF([5]回答表!X51="●",[5]回答表!S225,IF([5]回答表!AA51="●",[5]回答表!S305,"")),"")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IF([5]回答表!F18="簡易水道事業",IF([5]回答表!AA51="●","●",""),"")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IF([5]回答表!F18="簡易水道事業",IF([5]回答表!X51="●",[5]回答表!S226,IF([5]回答表!AA51="●",[5]回答表!S306,"")),"")</f>
        <v/>
      </c>
      <c r="V142" s="83"/>
      <c r="W142" s="83"/>
      <c r="X142" s="83"/>
      <c r="Y142" s="83"/>
      <c r="Z142" s="83"/>
      <c r="AA142" s="83"/>
      <c r="AB142" s="83"/>
      <c r="AC142" s="83"/>
      <c r="AD142" s="83"/>
      <c r="AE142" s="83"/>
      <c r="AF142" s="83"/>
      <c r="AG142" s="83"/>
      <c r="AH142" s="83"/>
      <c r="AI142" s="83"/>
      <c r="AJ142" s="153"/>
      <c r="AK142" s="68"/>
      <c r="AL142" s="68"/>
      <c r="AM142" s="231" t="str">
        <f>IF([5]回答表!F18="簡易水道事業",IF([5]回答表!X51="●",[5]回答表!Y228,IF([5]回答表!AA51="●",[5]回答表!Y308,"")),"")</f>
        <v/>
      </c>
      <c r="AN142" s="231"/>
      <c r="AO142" s="231"/>
      <c r="AP142" s="231"/>
      <c r="AQ142" s="231"/>
      <c r="AR142" s="231"/>
      <c r="AS142" s="231" t="str">
        <f>IF([5]回答表!F18="簡易水道事業",IF([5]回答表!X51="●",[5]回答表!Y229,IF([5]回答表!AA51="●",[5]回答表!Y309,"")),"")</f>
        <v/>
      </c>
      <c r="AT142" s="231"/>
      <c r="AU142" s="231"/>
      <c r="AV142" s="231"/>
      <c r="AW142" s="231"/>
      <c r="AX142" s="231"/>
      <c r="AY142" s="231" t="str">
        <f>IF([5]回答表!F18="簡易水道事業",IF([5]回答表!X51="●",[5]回答表!Y230,IF([5]回答表!AA51="●",[5]回答表!Y310,"")),"")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IF([5]回答表!F18="簡易水道事業",IF([5]回答表!X51="●",[5]回答表!E265,IF([5]回答表!AA51="●",[5]回答表!E344,"")),"")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IF([5]回答表!F18="簡易水道事業",IF([5]回答表!X51="●",[5]回答表!B267,IF([5]回答表!AA51="●",[5]回答表!B346,"")),"")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IF([5]回答表!F18="簡易水道事業",IF([5]回答表!AD51="●","●",""),"")</f>
        <v/>
      </c>
      <c r="O154" s="131"/>
      <c r="P154" s="131"/>
      <c r="Q154" s="132"/>
      <c r="R154" s="119"/>
      <c r="S154" s="119"/>
      <c r="T154" s="119"/>
      <c r="U154" s="133" t="str">
        <f>IF([5]回答表!F18="簡易水道事業",IF([5]回答表!AD51="●",[5]回答表!B354,""),"")</f>
        <v/>
      </c>
      <c r="V154" s="134"/>
      <c r="W154" s="134"/>
      <c r="X154" s="134"/>
      <c r="Y154" s="134"/>
      <c r="Z154" s="134"/>
      <c r="AA154" s="134"/>
      <c r="AB154" s="134"/>
      <c r="AC154" s="134"/>
      <c r="AD154" s="134"/>
      <c r="AE154" s="134"/>
      <c r="AF154" s="134"/>
      <c r="AG154" s="134"/>
      <c r="AH154" s="134"/>
      <c r="AI154" s="134"/>
      <c r="AJ154" s="135"/>
      <c r="AK154" s="189"/>
      <c r="AL154" s="189"/>
      <c r="AM154" s="133" t="str">
        <f>IF([5]回答表!F18="簡易水道事業",IF([5]回答表!AD51="●",[5]回答表!B360,""),"")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IF([5]回答表!F18="下水道事業",IF([5]回答表!X51="●","●",""),"")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IF([5]回答表!F18="下水道事業",IF([5]回答表!X51="●",[5]回答表!B197,IF([5]回答表!AA51="●",[5]回答表!B275,"")),"")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IF([5]回答表!F18="下水道事業",IF([5]回答表!X51="●",[5]回答表!B256,IF([5]回答表!AA51="●",[5]回答表!B335,"")),"")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IF([5]回答表!F18="下水道事業",IF([5]回答表!X51="●",[5]回答表!N234,IF([5]回答表!AA51="●",[5]回答表!N314,"")),"")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IF([5]回答表!F18="下水道事業",IF([5]回答表!X51="●",[5]回答表!E256,IF([5]回答表!AA51="●",[5]回答表!E335,"")),"")</f>
        <v/>
      </c>
      <c r="BG169" s="151"/>
      <c r="BH169" s="151"/>
      <c r="BI169" s="151"/>
      <c r="BJ169" s="150" t="str">
        <f>IF([5]回答表!F18="下水道事業",IF([5]回答表!X51="●",[5]回答表!E257,IF([5]回答表!AA51="●",[5]回答表!E336,"")),"")</f>
        <v/>
      </c>
      <c r="BK169" s="151"/>
      <c r="BL169" s="151"/>
      <c r="BM169" s="151"/>
      <c r="BN169" s="150" t="str">
        <f>IF([5]回答表!F18="下水道事業",IF([5]回答表!X51="●",[5]回答表!E258,IF([5]回答表!AA51="●",[5]回答表!E337,"")),"")</f>
        <v/>
      </c>
      <c r="BO169" s="151"/>
      <c r="BP169" s="151"/>
      <c r="BQ169" s="152"/>
      <c r="BR169" s="112"/>
      <c r="BX169" s="234" t="str">
        <f>IF([5]回答表!AQ21="下水道事業",IF([5]回答表!BI54="○",[5]回答表!AM200,IF([5]回答表!BL54="○",[5]回答表!AM278,"")),"")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IF([5]回答表!F18="下水道事業",IF([5]回答表!X51="●",[5]回答表!Y236,IF([5]回答表!AA51="●",[5]回答表!Y316,"")),"")</f>
        <v/>
      </c>
      <c r="V174" s="83"/>
      <c r="W174" s="83"/>
      <c r="X174" s="83"/>
      <c r="Y174" s="83"/>
      <c r="Z174" s="83"/>
      <c r="AA174" s="83"/>
      <c r="AB174" s="153"/>
      <c r="AC174" s="82" t="str">
        <f>IF([5]回答表!F18="下水道事業",IF([5]回答表!X51="●",[5]回答表!Y237,IF([5]回答表!AA51="●",[5]回答表!Y317,"")),"")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IF([5]回答表!F18="下水道事業",IF([5]回答表!X51="●",[5]回答表!Y239,IF([5]回答表!AA51="●",[5]回答表!Y319,"")),"")</f>
        <v/>
      </c>
      <c r="V180" s="83"/>
      <c r="W180" s="83"/>
      <c r="X180" s="83"/>
      <c r="Y180" s="83"/>
      <c r="Z180" s="83"/>
      <c r="AA180" s="83"/>
      <c r="AB180" s="153"/>
      <c r="AC180" s="82" t="str">
        <f>IF([5]回答表!F18="下水道事業",IF([5]回答表!X51="●",[5]回答表!Y240,IF([5]回答表!AA51="●",[5]回答表!Y320,"")),"")</f>
        <v/>
      </c>
      <c r="AD180" s="83"/>
      <c r="AE180" s="83"/>
      <c r="AF180" s="83"/>
      <c r="AG180" s="83"/>
      <c r="AH180" s="83"/>
      <c r="AI180" s="83"/>
      <c r="AJ180" s="153"/>
      <c r="AK180" s="82" t="str">
        <f>IF([5]回答表!F18="下水道事業",IF([5]回答表!X51="●",[5]回答表!Y241,IF([5]回答表!AA51="●",[5]回答表!Y321,"")),"")</f>
        <v/>
      </c>
      <c r="AL180" s="83"/>
      <c r="AM180" s="83"/>
      <c r="AN180" s="83"/>
      <c r="AO180" s="83"/>
      <c r="AP180" s="83"/>
      <c r="AQ180" s="83"/>
      <c r="AR180" s="153"/>
      <c r="AS180" s="82" t="str">
        <f>IF([5]回答表!F18="下水道事業",IF([5]回答表!X51="●",[5]回答表!Y242,IF([5]回答表!AA51="●",[5]回答表!Y322,"")),"")</f>
        <v/>
      </c>
      <c r="AT180" s="83"/>
      <c r="AU180" s="83"/>
      <c r="AV180" s="83"/>
      <c r="AW180" s="83"/>
      <c r="AX180" s="83"/>
      <c r="AY180" s="83"/>
      <c r="AZ180" s="153"/>
      <c r="BA180" s="82" t="str">
        <f>IF([5]回答表!F18="下水道事業",IF([5]回答表!X51="●",[5]回答表!Y243,IF([5]回答表!AA51="●",[5]回答表!Y323,"")),"")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IF([5]回答表!F18="下水道事業",IF([5]回答表!AA51="●","●",""),"")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IF([5]回答表!F18="下水道事業",IF([5]回答表!X51="●",[5]回答表!N248,IF([5]回答表!AA51="●",[5]回答表!N328,"")),"")</f>
        <v/>
      </c>
      <c r="V186" s="83"/>
      <c r="W186" s="83"/>
      <c r="X186" s="83"/>
      <c r="Y186" s="83"/>
      <c r="Z186" s="83"/>
      <c r="AA186" s="83"/>
      <c r="AB186" s="153"/>
      <c r="AC186" s="82" t="str">
        <f>IF([5]回答表!F18="下水道事業",IF([5]回答表!X51="●",[5]回答表!N249,IF([5]回答表!AA51="●",[5]回答表!N329,"")),"")</f>
        <v/>
      </c>
      <c r="AD186" s="83"/>
      <c r="AE186" s="83"/>
      <c r="AF186" s="83"/>
      <c r="AG186" s="83"/>
      <c r="AH186" s="83"/>
      <c r="AI186" s="83"/>
      <c r="AJ186" s="153"/>
      <c r="AK186" s="82" t="str">
        <f>IF([5]回答表!F18="下水道事業",IF([5]回答表!X51="●",[5]回答表!N250,IF([5]回答表!AA51="●",[5]回答表!N330,"")),"")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IF([5]回答表!F18="下水道事業",IF([5]回答表!X51="●",[5]回答表!E265,IF([5]回答表!AA51="●",[5]回答表!E344,"")),"")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IF([5]回答表!F18="下水道事業",IF([5]回答表!X51="●",[5]回答表!B267,IF([5]回答表!AA51="●",[5]回答表!B346,"")),"")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IF([5]回答表!F18="下水道事業",IF([5]回答表!AD51="●","●",""),"")</f>
        <v/>
      </c>
      <c r="O198" s="131"/>
      <c r="P198" s="131"/>
      <c r="Q198" s="132"/>
      <c r="R198" s="119"/>
      <c r="S198" s="119"/>
      <c r="T198" s="119"/>
      <c r="U198" s="133" t="str">
        <f>IF([5]回答表!F18="下水道事業",IF([5]回答表!AD51="●",[5]回答表!B354,""),"")</f>
        <v/>
      </c>
      <c r="V198" s="134"/>
      <c r="W198" s="134"/>
      <c r="X198" s="134"/>
      <c r="Y198" s="134"/>
      <c r="Z198" s="134"/>
      <c r="AA198" s="134"/>
      <c r="AB198" s="134"/>
      <c r="AC198" s="134"/>
      <c r="AD198" s="134"/>
      <c r="AE198" s="134"/>
      <c r="AF198" s="134"/>
      <c r="AG198" s="134"/>
      <c r="AH198" s="134"/>
      <c r="AI198" s="134"/>
      <c r="AJ198" s="135"/>
      <c r="AK198" s="189"/>
      <c r="AL198" s="189"/>
      <c r="AM198" s="133" t="str">
        <f>IF([5]回答表!F18="下水道事業",IF([5]回答表!AD51="●",[5]回答表!B360,""),"")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IF([5]回答表!BD18="●",IF([5]回答表!X51="●","●",""),"")</f>
        <v/>
      </c>
      <c r="O210" s="131"/>
      <c r="P210" s="131"/>
      <c r="Q210" s="132"/>
      <c r="R210" s="119"/>
      <c r="S210" s="119"/>
      <c r="T210" s="119"/>
      <c r="U210" s="133" t="str">
        <f>IF([5]回答表!BD18="●",IF([5]回答表!X51="●",[5]回答表!B197,IF([5]回答表!AA51="●",[5]回答表!B275,"")),"")</f>
        <v/>
      </c>
      <c r="V210" s="134"/>
      <c r="W210" s="134"/>
      <c r="X210" s="134"/>
      <c r="Y210" s="134"/>
      <c r="Z210" s="134"/>
      <c r="AA210" s="134"/>
      <c r="AB210" s="134"/>
      <c r="AC210" s="134"/>
      <c r="AD210" s="134"/>
      <c r="AE210" s="134"/>
      <c r="AF210" s="134"/>
      <c r="AG210" s="134"/>
      <c r="AH210" s="134"/>
      <c r="AI210" s="134"/>
      <c r="AJ210" s="135"/>
      <c r="AK210" s="136"/>
      <c r="AL210" s="136"/>
      <c r="AM210" s="138" t="str">
        <f>IF([5]回答表!BD18="●",IF([5]回答表!X51="●",[5]回答表!B256,IF([5]回答表!AA51="●",[5]回答表!B335,"")),"")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IF([5]回答表!BD18="●",IF([5]回答表!X51="●",[5]回答表!E256,IF([5]回答表!AA51="●",[5]回答表!E335,"")),"")</f>
        <v/>
      </c>
      <c r="AN213" s="151"/>
      <c r="AO213" s="151"/>
      <c r="AP213" s="151"/>
      <c r="AQ213" s="150" t="str">
        <f>IF([5]回答表!BD18="●",IF([5]回答表!X51="●",[5]回答表!E257,IF([5]回答表!AA51="●",[5]回答表!E336,"")),"")</f>
        <v/>
      </c>
      <c r="AR213" s="151"/>
      <c r="AS213" s="151"/>
      <c r="AT213" s="151"/>
      <c r="AU213" s="150" t="str">
        <f>IF([5]回答表!BD18="●",IF([5]回答表!X51="●",[5]回答表!E258,IF([5]回答表!AA51="●",[5]回答表!E337,"")),"")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IF([5]回答表!BD18="●",IF([5]回答表!AA51="●","●",""),"")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IF([5]回答表!BD18="●",IF([5]回答表!X51="●",[5]回答表!E265,IF([5]回答表!AA51="●",[5]回答表!E344,"")),"")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IF([5]回答表!BD18="●",IF([5]回答表!X51="●",[5]回答表!B267,IF([5]回答表!AA51="●",[5]回答表!B346,"")),"")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IF([5]回答表!BD18="●",IF([5]回答表!AD51="●","●",""),"")</f>
        <v/>
      </c>
      <c r="O229" s="131"/>
      <c r="P229" s="131"/>
      <c r="Q229" s="132"/>
      <c r="R229" s="119"/>
      <c r="S229" s="119"/>
      <c r="T229" s="119"/>
      <c r="U229" s="133" t="str">
        <f>IF([5]回答表!BD18="●",IF([5]回答表!AD51="●",[5]回答表!B354,""),"")</f>
        <v/>
      </c>
      <c r="V229" s="134"/>
      <c r="W229" s="134"/>
      <c r="X229" s="134"/>
      <c r="Y229" s="134"/>
      <c r="Z229" s="134"/>
      <c r="AA229" s="134"/>
      <c r="AB229" s="134"/>
      <c r="AC229" s="134"/>
      <c r="AD229" s="134"/>
      <c r="AE229" s="134"/>
      <c r="AF229" s="134"/>
      <c r="AG229" s="134"/>
      <c r="AH229" s="134"/>
      <c r="AI229" s="134"/>
      <c r="AJ229" s="135"/>
      <c r="AK229" s="249"/>
      <c r="AL229" s="249"/>
      <c r="AM229" s="133" t="str">
        <f>IF([5]回答表!BD18="●",IF([5]回答表!AD51="●",[5]回答表!B360,""),"")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IF([5]回答表!X52="●","●","")</f>
        <v/>
      </c>
      <c r="O241" s="131"/>
      <c r="P241" s="131"/>
      <c r="Q241" s="132"/>
      <c r="R241" s="119"/>
      <c r="S241" s="119"/>
      <c r="T241" s="119"/>
      <c r="U241" s="133" t="str">
        <f>IF([5]回答表!X52="●",[5]回答表!B371,IF([5]回答表!AA52="●",[5]回答表!B396,""))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IF([5]回答表!X52="●",[5]回答表!U377,IF([5]回答表!AA52="●",[5]回答表!U402,""))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IF([5]回答表!X52="●",[5]回答表!G377,IF([5]回答表!AA52="●",[5]回答表!G402,""))</f>
        <v/>
      </c>
      <c r="AN244" s="83"/>
      <c r="AO244" s="83"/>
      <c r="AP244" s="83"/>
      <c r="AQ244" s="83"/>
      <c r="AR244" s="83"/>
      <c r="AS244" s="83"/>
      <c r="AT244" s="153"/>
      <c r="AU244" s="82" t="str">
        <f>IF([5]回答表!X52="●",[5]回答表!G378,IF([5]回答表!AA52="●",[5]回答表!G403,""))</f>
        <v/>
      </c>
      <c r="AV244" s="83"/>
      <c r="AW244" s="83"/>
      <c r="AX244" s="83"/>
      <c r="AY244" s="83"/>
      <c r="AZ244" s="83"/>
      <c r="BA244" s="83"/>
      <c r="BB244" s="153"/>
      <c r="BC244" s="120"/>
      <c r="BD244" s="109"/>
      <c r="BE244" s="109"/>
      <c r="BF244" s="150" t="str">
        <f>IF([5]回答表!X52="●",[5]回答表!X377,IF([5]回答表!AA52="●",[5]回答表!X402,""))</f>
        <v/>
      </c>
      <c r="BG244" s="151"/>
      <c r="BH244" s="151"/>
      <c r="BI244" s="151"/>
      <c r="BJ244" s="150" t="str">
        <f>IF([5]回答表!X52="●",[5]回答表!X378,IF([5]回答表!AA52="●",[5]回答表!X403,""))</f>
        <v/>
      </c>
      <c r="BK244" s="151"/>
      <c r="BL244" s="151"/>
      <c r="BM244" s="152"/>
      <c r="BN244" s="150" t="str">
        <f>IF([5]回答表!X52="●",[5]回答表!X379,IF([5]回答表!AA52="●",[5]回答表!X404,""))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IF([5]回答表!AA52="●","●","")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IF([5]回答表!X52="●",[5]回答表!E386,IF([5]回答表!AA52="●",[5]回答表!E407,""))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IF([5]回答表!X52="●",[5]回答表!B388,IF([5]回答表!AA52="●",[5]回答表!B409,""))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IF([5]回答表!AD52="●","●","")</f>
        <v/>
      </c>
      <c r="O260" s="131"/>
      <c r="P260" s="131"/>
      <c r="Q260" s="132"/>
      <c r="R260" s="119"/>
      <c r="S260" s="119"/>
      <c r="T260" s="119"/>
      <c r="U260" s="133" t="str">
        <f>IF([5]回答表!AD52="●",[5]回答表!B417,"")</f>
        <v/>
      </c>
      <c r="V260" s="134"/>
      <c r="W260" s="134"/>
      <c r="X260" s="134"/>
      <c r="Y260" s="134"/>
      <c r="Z260" s="134"/>
      <c r="AA260" s="134"/>
      <c r="AB260" s="134"/>
      <c r="AC260" s="134"/>
      <c r="AD260" s="134"/>
      <c r="AE260" s="134"/>
      <c r="AF260" s="134"/>
      <c r="AG260" s="134"/>
      <c r="AH260" s="134"/>
      <c r="AI260" s="134"/>
      <c r="AJ260" s="135"/>
      <c r="AK260" s="249"/>
      <c r="AL260" s="249"/>
      <c r="AM260" s="133" t="str">
        <f>IF([5]回答表!AD52="●",[5]回答表!B423,"")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IF([5]回答表!X53="●","●","")</f>
        <v/>
      </c>
      <c r="O272" s="131"/>
      <c r="P272" s="131"/>
      <c r="Q272" s="132"/>
      <c r="R272" s="119"/>
      <c r="S272" s="119"/>
      <c r="T272" s="119"/>
      <c r="U272" s="133" t="str">
        <f>IF([5]回答表!X53="●",[5]回答表!B434,IF([5]回答表!AA53="●",[5]回答表!B465,""))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IF([5]回答表!X53="●",[5]回答表!B440,"")</f>
        <v/>
      </c>
      <c r="AO272" s="262"/>
      <c r="AP272" s="262"/>
      <c r="AQ272" s="262"/>
      <c r="AR272" s="262"/>
      <c r="AS272" s="262"/>
      <c r="AT272" s="262"/>
      <c r="AU272" s="262"/>
      <c r="AV272" s="262"/>
      <c r="AW272" s="262"/>
      <c r="AX272" s="262"/>
      <c r="AY272" s="262"/>
      <c r="AZ272" s="262"/>
      <c r="BA272" s="262"/>
      <c r="BB272" s="263"/>
      <c r="BC272" s="120"/>
      <c r="BD272" s="109"/>
      <c r="BE272" s="109"/>
      <c r="BF272" s="138" t="str">
        <f>IF([5]回答表!X53="●",[5]回答表!B446,IF([5]回答表!AA53="●",[5]回答表!B471,""))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IF([5]回答表!X53="●",[5]回答表!E446,IF([5]回答表!AA53="●",[5]回答表!E471,""))</f>
        <v/>
      </c>
      <c r="BG275" s="151"/>
      <c r="BH275" s="151"/>
      <c r="BI275" s="151"/>
      <c r="BJ275" s="150" t="str">
        <f>IF([5]回答表!X53="●",[5]回答表!E447,IF([5]回答表!AA53="●",[5]回答表!E472,""))</f>
        <v/>
      </c>
      <c r="BK275" s="151"/>
      <c r="BL275" s="151"/>
      <c r="BM275" s="152"/>
      <c r="BN275" s="150" t="str">
        <f>IF([5]回答表!X53="●",[5]回答表!E448,IF([5]回答表!AA53="●",[5]回答表!E473,""))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IF([5]回答表!AA53="●","●","")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IF([5]回答表!X53="●",[5]回答表!E455,IF([5]回答表!AA53="●",[5]回答表!E476,""))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IF([5]回答表!X53="●",[5]回答表!B457,IF([5]回答表!AA53="●",[5]回答表!B478,""))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IF([5]回答表!AD53="●","●","")</f>
        <v/>
      </c>
      <c r="O291" s="131"/>
      <c r="P291" s="131"/>
      <c r="Q291" s="132"/>
      <c r="R291" s="119"/>
      <c r="S291" s="119"/>
      <c r="T291" s="119"/>
      <c r="U291" s="133" t="str">
        <f>IF([5]回答表!AD53="●",[5]回答表!B486,"")</f>
        <v/>
      </c>
      <c r="V291" s="134"/>
      <c r="W291" s="134"/>
      <c r="X291" s="134"/>
      <c r="Y291" s="134"/>
      <c r="Z291" s="134"/>
      <c r="AA291" s="134"/>
      <c r="AB291" s="134"/>
      <c r="AC291" s="134"/>
      <c r="AD291" s="134"/>
      <c r="AE291" s="134"/>
      <c r="AF291" s="134"/>
      <c r="AG291" s="134"/>
      <c r="AH291" s="134"/>
      <c r="AI291" s="134"/>
      <c r="AJ291" s="135"/>
      <c r="AK291" s="249"/>
      <c r="AL291" s="249"/>
      <c r="AM291" s="133" t="str">
        <f>IF([5]回答表!AD53="●",[5]回答表!B492,"")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IF([5]回答表!X54="●","●","")</f>
        <v/>
      </c>
      <c r="O303" s="131"/>
      <c r="P303" s="131"/>
      <c r="Q303" s="132"/>
      <c r="R303" s="119"/>
      <c r="S303" s="119"/>
      <c r="T303" s="119"/>
      <c r="U303" s="133" t="str">
        <f>IF([5]回答表!X54="●",[5]回答表!B503,IF([5]回答表!AA54="●",[5]回答表!B526,""))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IF([5]回答表!X54="●",[5]回答表!BC510,IF([5]回答表!AA54="●",[5]回答表!BC533,""))</f>
        <v/>
      </c>
      <c r="AR303" s="271"/>
      <c r="AS303" s="271"/>
      <c r="AT303" s="271"/>
      <c r="AU303" s="272" t="s">
        <v>74</v>
      </c>
      <c r="AV303" s="273"/>
      <c r="AW303" s="273"/>
      <c r="AX303" s="274"/>
      <c r="AY303" s="271" t="str">
        <f>IF([5]回答表!X54="●",[5]回答表!BC515,IF([5]回答表!AA54="●",[5]回答表!BC538,""))</f>
        <v/>
      </c>
      <c r="AZ303" s="271"/>
      <c r="BA303" s="271"/>
      <c r="BB303" s="271"/>
      <c r="BC303" s="120"/>
      <c r="BD303" s="109"/>
      <c r="BE303" s="109"/>
      <c r="BF303" s="138" t="str">
        <f>IF([5]回答表!X54="●",[5]回答表!S509,IF([5]回答表!AA54="●",[5]回答表!S532,""))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IF([5]回答表!X54="●",[5]回答表!BC511,IF([5]回答表!AA54="●",[5]回答表!BC534,""))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IF([5]回答表!X54="●",[5]回答表!V509,IF([5]回答表!AA54="●",[5]回答表!V532,""))</f>
        <v/>
      </c>
      <c r="BG306" s="151"/>
      <c r="BH306" s="151"/>
      <c r="BI306" s="151"/>
      <c r="BJ306" s="150" t="str">
        <f>IF([5]回答表!X54="●",[5]回答表!V510,IF([5]回答表!AA54="●",[5]回答表!V533,""))</f>
        <v/>
      </c>
      <c r="BK306" s="151"/>
      <c r="BL306" s="151"/>
      <c r="BM306" s="152"/>
      <c r="BN306" s="150" t="str">
        <f>IF([5]回答表!X54="●",[5]回答表!V511,IF([5]回答表!AA54="●",[5]回答表!V534,""))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IF([5]回答表!X54="●",[5]回答表!BC512,IF([5]回答表!AA54="●",[5]回答表!BC535,""))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IF([5]回答表!X54="●",[5]回答表!BC516,IF([5]回答表!AA54="●",[5]回答表!BC539,""))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IF([5]回答表!AA54="●","●","")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IF([5]回答表!X54="●",[5]回答表!BC513,IF([5]回答表!AA54="●",[5]回答表!BC536,""))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IF([5]回答表!X54="●",[5]回答表!BC514,IF([5]回答表!AA54="●",[5]回答表!BC537,""))</f>
        <v/>
      </c>
      <c r="AR311" s="271"/>
      <c r="AS311" s="271"/>
      <c r="AT311" s="271"/>
      <c r="AU311" s="222" t="s">
        <v>80</v>
      </c>
      <c r="AV311" s="223"/>
      <c r="AW311" s="223"/>
      <c r="AX311" s="224"/>
      <c r="AY311" s="281" t="str">
        <f>IF([5]回答表!X54="●",[5]回答表!BC517,IF([5]回答表!AA54="●",[5]回答表!BC540,""))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IF([5]回答表!X54="●",[5]回答表!E516,IF([5]回答表!AA54="●",[5]回答表!E538,""))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IF([5]回答表!X54="●",[5]回答表!B518,IF([5]回答表!AA54="●",[5]回答表!B540,""))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IF([5]回答表!AD54="●","●","")</f>
        <v/>
      </c>
      <c r="O322" s="131"/>
      <c r="P322" s="131"/>
      <c r="Q322" s="132"/>
      <c r="R322" s="119"/>
      <c r="S322" s="119"/>
      <c r="T322" s="119"/>
      <c r="U322" s="133" t="str">
        <f>IF([5]回答表!AD54="●",[5]回答表!B548,"")</f>
        <v/>
      </c>
      <c r="V322" s="134"/>
      <c r="W322" s="134"/>
      <c r="X322" s="134"/>
      <c r="Y322" s="134"/>
      <c r="Z322" s="134"/>
      <c r="AA322" s="134"/>
      <c r="AB322" s="134"/>
      <c r="AC322" s="134"/>
      <c r="AD322" s="134"/>
      <c r="AE322" s="134"/>
      <c r="AF322" s="134"/>
      <c r="AG322" s="134"/>
      <c r="AH322" s="134"/>
      <c r="AI322" s="134"/>
      <c r="AJ322" s="135"/>
      <c r="AK322" s="189"/>
      <c r="AL322" s="189"/>
      <c r="AM322" s="133" t="str">
        <f>IF([5]回答表!AD54="●",[5]回答表!B554,"")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IF([5]回答表!X55="●","●","")</f>
        <v/>
      </c>
      <c r="O333" s="131"/>
      <c r="P333" s="131"/>
      <c r="Q333" s="132"/>
      <c r="R333" s="119"/>
      <c r="S333" s="119"/>
      <c r="T333" s="119"/>
      <c r="U333" s="133" t="str">
        <f>IF([5]回答表!X55="●",[5]回答表!B565,IF([5]回答表!AA55="●",[5]回答表!B590,""))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IF([5]回答表!X55="●",[5]回答表!B575,IF([5]回答表!AA55="●",[5]回答表!B600,""))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IF([5]回答表!X55="●",[5]回答表!G571,IF([5]回答表!AA55="●",[5]回答表!G596,""))</f>
        <v/>
      </c>
      <c r="AN335" s="83"/>
      <c r="AO335" s="83"/>
      <c r="AP335" s="83"/>
      <c r="AQ335" s="83"/>
      <c r="AR335" s="83"/>
      <c r="AS335" s="83"/>
      <c r="AT335" s="153"/>
      <c r="AU335" s="82" t="str">
        <f>IF([5]回答表!X55="●",[5]回答表!G572,IF([5]回答表!AA55="●",[5]回答表!G597,""))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IF([5]回答表!X55="●",[5]回答表!E575,IF([5]回答表!AA55="●",[5]回答表!E600,""))</f>
        <v/>
      </c>
      <c r="BG336" s="151"/>
      <c r="BH336" s="151"/>
      <c r="BI336" s="151"/>
      <c r="BJ336" s="150" t="str">
        <f>IF([5]回答表!X55="●",[5]回答表!E576,IF([5]回答表!AA55="●",[5]回答表!E601,""))</f>
        <v/>
      </c>
      <c r="BK336" s="151"/>
      <c r="BL336" s="151"/>
      <c r="BM336" s="152"/>
      <c r="BN336" s="150" t="str">
        <f>IF([5]回答表!X55="●",[5]回答表!E577,IF([5]回答表!AA55="●",[5]回答表!E602,""))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IF([5]回答表!AA55="●","●","")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IF([5]回答表!X55="●",[5]回答表!E580,IF([5]回答表!AA55="●",[5]回答表!E605,""))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IF([5]回答表!X55="●",[5]回答表!B582,IF([5]回答表!AA55="●",[5]回答表!B607,""))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IF([5]回答表!AD55="●","●","")</f>
        <v/>
      </c>
      <c r="O352" s="131"/>
      <c r="P352" s="131"/>
      <c r="Q352" s="132"/>
      <c r="R352" s="119"/>
      <c r="S352" s="119"/>
      <c r="T352" s="119"/>
      <c r="U352" s="133" t="str">
        <f>IF([5]回答表!AD55="●",[5]回答表!B615,"")</f>
        <v/>
      </c>
      <c r="V352" s="134"/>
      <c r="W352" s="134"/>
      <c r="X352" s="134"/>
      <c r="Y352" s="134"/>
      <c r="Z352" s="134"/>
      <c r="AA352" s="134"/>
      <c r="AB352" s="134"/>
      <c r="AC352" s="134"/>
      <c r="AD352" s="134"/>
      <c r="AE352" s="134"/>
      <c r="AF352" s="134"/>
      <c r="AG352" s="134"/>
      <c r="AH352" s="134"/>
      <c r="AI352" s="134"/>
      <c r="AJ352" s="135"/>
      <c r="AK352" s="136"/>
      <c r="AL352" s="136"/>
      <c r="AM352" s="133" t="str">
        <f>IF([5]回答表!AD55="●",[5]回答表!B621,"")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IF([5]回答表!R56="●",[5]回答表!B634,"")</f>
        <v>多様化する住民のニーズ及び、民間事業所では受け入れ難いケースを、迅速かつ公平な立場でサービス提供を行う事ができるのも、市直営施設の強みと考えている。そのため、現行の経営体制や手法を今後も継続していく予定。
しかし、慢性的な介護職の不足等を鑑みれば、指定管理制度の導入や業務の一部を民間委託するなどの抜本的改革も、今後は必要になってくると思われる。</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7" priority="2">
      <formula>$BB$25="○"</formula>
    </cfRule>
  </conditionalFormatting>
  <conditionalFormatting sqref="BD28:BD30">
    <cfRule type="expression" dxfId="16" priority="1">
      <formula>$BB$25="○"</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C374D-70E1-4757-8857-B09EF98E8BFA}">
  <dimension ref="A1:CN384"/>
  <sheetViews>
    <sheetView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IF(COUNTIF([6]回答表!K16,"*")&gt;0,[6]回答表!K16,"")</f>
        <v>横手市</v>
      </c>
      <c r="D11" s="8"/>
      <c r="E11" s="8"/>
      <c r="F11" s="8"/>
      <c r="G11" s="8"/>
      <c r="H11" s="8"/>
      <c r="I11" s="8"/>
      <c r="J11" s="8"/>
      <c r="K11" s="8"/>
      <c r="L11" s="8"/>
      <c r="M11" s="8"/>
      <c r="N11" s="8"/>
      <c r="O11" s="8"/>
      <c r="P11" s="8"/>
      <c r="Q11" s="8"/>
      <c r="R11" s="8"/>
      <c r="S11" s="8"/>
      <c r="T11" s="8"/>
      <c r="U11" s="22" t="str">
        <f>IF(COUNTIF([6]回答表!F18,"*")&gt;0,[6]回答表!F18,"")</f>
        <v>介護サービス事業</v>
      </c>
      <c r="V11" s="23"/>
      <c r="W11" s="23"/>
      <c r="X11" s="23"/>
      <c r="Y11" s="23"/>
      <c r="Z11" s="23"/>
      <c r="AA11" s="23"/>
      <c r="AB11" s="23"/>
      <c r="AC11" s="23"/>
      <c r="AD11" s="23"/>
      <c r="AE11" s="23"/>
      <c r="AF11" s="10"/>
      <c r="AG11" s="10"/>
      <c r="AH11" s="10"/>
      <c r="AI11" s="10"/>
      <c r="AJ11" s="10"/>
      <c r="AK11" s="10"/>
      <c r="AL11" s="10"/>
      <c r="AM11" s="10"/>
      <c r="AN11" s="11"/>
      <c r="AO11" s="24" t="str">
        <f>IF(COUNTIF([6]回答表!W18,"*")&gt;0,[6]回答表!W18,"")</f>
        <v>老人デイサービスセンター</v>
      </c>
      <c r="AP11" s="10"/>
      <c r="AQ11" s="10"/>
      <c r="AR11" s="10"/>
      <c r="AS11" s="10"/>
      <c r="AT11" s="10"/>
      <c r="AU11" s="10"/>
      <c r="AV11" s="10"/>
      <c r="AW11" s="10"/>
      <c r="AX11" s="10"/>
      <c r="AY11" s="10"/>
      <c r="AZ11" s="10"/>
      <c r="BA11" s="10"/>
      <c r="BB11" s="10"/>
      <c r="BC11" s="10"/>
      <c r="BD11" s="10"/>
      <c r="BE11" s="10"/>
      <c r="BF11" s="11"/>
      <c r="BG11" s="21" t="str">
        <f>IF(COUNTIF([6]回答表!F20,"*")&gt;0,[6]回答表!F20,"")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IF([6]回答表!R49="●","●","")</f>
        <v/>
      </c>
      <c r="E24" s="80"/>
      <c r="F24" s="80"/>
      <c r="G24" s="80"/>
      <c r="H24" s="80"/>
      <c r="I24" s="80"/>
      <c r="J24" s="81"/>
      <c r="K24" s="79" t="str">
        <f>IF([6]回答表!R50="●","●","")</f>
        <v/>
      </c>
      <c r="L24" s="80"/>
      <c r="M24" s="80"/>
      <c r="N24" s="80"/>
      <c r="O24" s="80"/>
      <c r="P24" s="80"/>
      <c r="Q24" s="81"/>
      <c r="R24" s="79" t="str">
        <f>IF([6]回答表!R51="●","●","")</f>
        <v/>
      </c>
      <c r="S24" s="80"/>
      <c r="T24" s="80"/>
      <c r="U24" s="80"/>
      <c r="V24" s="80"/>
      <c r="W24" s="80"/>
      <c r="X24" s="81"/>
      <c r="Y24" s="79" t="str">
        <f>IF([6]回答表!R52="●","●","")</f>
        <v/>
      </c>
      <c r="Z24" s="80"/>
      <c r="AA24" s="80"/>
      <c r="AB24" s="80"/>
      <c r="AC24" s="80"/>
      <c r="AD24" s="80"/>
      <c r="AE24" s="81"/>
      <c r="AF24" s="79" t="str">
        <f>IF([6]回答表!R53="●","●","")</f>
        <v/>
      </c>
      <c r="AG24" s="80"/>
      <c r="AH24" s="80"/>
      <c r="AI24" s="80"/>
      <c r="AJ24" s="80"/>
      <c r="AK24" s="80"/>
      <c r="AL24" s="81"/>
      <c r="AM24" s="79" t="str">
        <f>IF([6]回答表!R54="●","●","")</f>
        <v/>
      </c>
      <c r="AN24" s="80"/>
      <c r="AO24" s="80"/>
      <c r="AP24" s="80"/>
      <c r="AQ24" s="80"/>
      <c r="AR24" s="80"/>
      <c r="AS24" s="81"/>
      <c r="AT24" s="79" t="str">
        <f>IF([6]回答表!R55="●","●","")</f>
        <v/>
      </c>
      <c r="AU24" s="80"/>
      <c r="AV24" s="80"/>
      <c r="AW24" s="80"/>
      <c r="AX24" s="80"/>
      <c r="AY24" s="80"/>
      <c r="AZ24" s="81"/>
      <c r="BA24" s="68"/>
      <c r="BB24" s="82" t="str">
        <f>IF([6]回答表!R56="●","●","")</f>
        <v>●</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IF([6]回答表!X49="●","●","")</f>
        <v/>
      </c>
      <c r="O36" s="131"/>
      <c r="P36" s="131"/>
      <c r="Q36" s="132"/>
      <c r="R36" s="119"/>
      <c r="S36" s="119"/>
      <c r="T36" s="119"/>
      <c r="U36" s="133" t="str">
        <f>IF([6]回答表!X49="●",[6]回答表!B67,IF([6]回答表!AA49="●",[6]回答表!B95,""))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IF([6]回答表!X49="●",[6]回答表!S73,IF([6]回答表!AA49="●",[6]回答表!S101,""))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IF([6]回答表!X49="●",[6]回答表!G73,IF([6]回答表!AA49="●",[6]回答表!G101,""))</f>
        <v/>
      </c>
      <c r="AN38" s="83"/>
      <c r="AO38" s="83"/>
      <c r="AP38" s="83"/>
      <c r="AQ38" s="83"/>
      <c r="AR38" s="83"/>
      <c r="AS38" s="83"/>
      <c r="AT38" s="153"/>
      <c r="AU38" s="82" t="str">
        <f>IF([6]回答表!X49="●",[6]回答表!G74,IF([6]回答表!AA49="●",[6]回答表!G102,""))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IF([6]回答表!X49="●",[6]回答表!V73,IF([6]回答表!AA49="●",[6]回答表!V101,""))</f>
        <v/>
      </c>
      <c r="BG39" s="16"/>
      <c r="BH39" s="16"/>
      <c r="BI39" s="17"/>
      <c r="BJ39" s="150" t="str">
        <f>IF([6]回答表!X49="●",[6]回答表!V74,IF([6]回答表!AA49="●",[6]回答表!V102,""))</f>
        <v/>
      </c>
      <c r="BK39" s="16"/>
      <c r="BL39" s="16"/>
      <c r="BM39" s="17"/>
      <c r="BN39" s="150" t="str">
        <f>IF([6]回答表!X49="●",[6]回答表!V75,IF([6]回答表!AA49="●",[6]回答表!V103,""))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IF([6]回答表!X49="●",[6]回答表!O79,IF([6]回答表!AA49="●",[6]回答表!O107,""))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IF([6]回答表!X49="●",[6]回答表!O80,IF([6]回答表!AA49="●",[6]回答表!O108,""))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IF([6]回答表!AA49="●","●","")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IF([6]回答表!X49="●",[6]回答表!O81,IF([6]回答表!AA49="●",[6]回答表!O109,""))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IF([6]回答表!X49="●",[6]回答表!O82,IF([6]回答表!AA49="●",[6]回答表!O110,""))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IF([6]回答表!X49="●",[6]回答表!AG79,IF([6]回答表!AA49="●",[6]回答表!AG107,""))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IF([6]回答表!X49="●",[6]回答表!AG80,IF([6]回答表!AA49="●",[6]回答表!AG108,""))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IF([6]回答表!X49="●",[6]回答表!E85,IF([6]回答表!AA49="●",[6]回答表!E113,""))</f>
        <v/>
      </c>
      <c r="V50" s="182"/>
      <c r="W50" s="182"/>
      <c r="X50" s="182"/>
      <c r="Y50" s="182"/>
      <c r="Z50" s="182"/>
      <c r="AA50" s="182"/>
      <c r="AB50" s="182"/>
      <c r="AC50" s="182"/>
      <c r="AD50" s="182"/>
      <c r="AE50" s="183" t="s">
        <v>33</v>
      </c>
      <c r="AF50" s="183"/>
      <c r="AG50" s="183"/>
      <c r="AH50" s="183"/>
      <c r="AI50" s="183"/>
      <c r="AJ50" s="184"/>
      <c r="AK50" s="136"/>
      <c r="AL50" s="136"/>
      <c r="AM50" s="133" t="str">
        <f>IF([6]回答表!X49="●",[6]回答表!B87,IF([6]回答表!AA49="●",[6]回答表!B115,""))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IF([6]回答表!AD49="●","●","")</f>
        <v/>
      </c>
      <c r="O57" s="131"/>
      <c r="P57" s="131"/>
      <c r="Q57" s="132"/>
      <c r="R57" s="119"/>
      <c r="S57" s="119"/>
      <c r="T57" s="119"/>
      <c r="U57" s="133" t="str">
        <f>IF([6]回答表!AD49="●",[6]回答表!B123,"")</f>
        <v/>
      </c>
      <c r="V57" s="134"/>
      <c r="W57" s="134"/>
      <c r="X57" s="134"/>
      <c r="Y57" s="134"/>
      <c r="Z57" s="134"/>
      <c r="AA57" s="134"/>
      <c r="AB57" s="134"/>
      <c r="AC57" s="134"/>
      <c r="AD57" s="134"/>
      <c r="AE57" s="134"/>
      <c r="AF57" s="134"/>
      <c r="AG57" s="134"/>
      <c r="AH57" s="134"/>
      <c r="AI57" s="134"/>
      <c r="AJ57" s="135"/>
      <c r="AK57" s="189"/>
      <c r="AL57" s="189"/>
      <c r="AM57" s="133" t="str">
        <f>IF([6]回答表!AD49="●",[6]回答表!B128,"")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IF([6]回答表!X50="●","●","")</f>
        <v/>
      </c>
      <c r="O68" s="131"/>
      <c r="P68" s="131"/>
      <c r="Q68" s="132"/>
      <c r="R68" s="119"/>
      <c r="S68" s="119"/>
      <c r="T68" s="119"/>
      <c r="U68" s="133" t="str">
        <f>IF([6]回答表!X50="●",[6]回答表!B138,IF([6]回答表!AA50="●",[6]回答表!B159,""))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IF([6]回答表!X50="●",[6]回答表!S144,IF([6]回答表!AA50="●",[6]回答表!S165,""))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IF([6]回答表!X50="●",[6]回答表!J144,IF([6]回答表!AA50="●",[6]回答表!J165,""))</f>
        <v/>
      </c>
      <c r="AN71" s="83"/>
      <c r="AO71" s="83"/>
      <c r="AP71" s="83"/>
      <c r="AQ71" s="83"/>
      <c r="AR71" s="83"/>
      <c r="AS71" s="83"/>
      <c r="AT71" s="153"/>
      <c r="AU71" s="82" t="str">
        <f>IF([6]回答表!X50="●",[6]回答表!J145,IF([6]回答表!AA50="●",[6]回答表!J166,""))</f>
        <v/>
      </c>
      <c r="AV71" s="83"/>
      <c r="AW71" s="83"/>
      <c r="AX71" s="83"/>
      <c r="AY71" s="83"/>
      <c r="AZ71" s="83"/>
      <c r="BA71" s="83"/>
      <c r="BB71" s="153"/>
      <c r="BC71" s="120"/>
      <c r="BD71" s="109"/>
      <c r="BE71" s="109"/>
      <c r="BF71" s="150" t="str">
        <f>IF([6]回答表!X50="●",[6]回答表!V144,IF([6]回答表!AA50="●",[6]回答表!V165,""))</f>
        <v/>
      </c>
      <c r="BG71" s="151"/>
      <c r="BH71" s="151"/>
      <c r="BI71" s="151"/>
      <c r="BJ71" s="150" t="str">
        <f>IF([6]回答表!X50="●",[6]回答表!V145,IF([6]回答表!AA50="●",[6]回答表!V166,""))</f>
        <v/>
      </c>
      <c r="BK71" s="151"/>
      <c r="BL71" s="151"/>
      <c r="BM71" s="151"/>
      <c r="BN71" s="150" t="str">
        <f>IF([6]回答表!X50="●",[6]回答表!V146,IF([6]回答表!AA50="●",[6]回答表!V167,""))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IF([6]回答表!AA50="●","●","")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IF([6]回答表!X50="●",[6]回答表!E149,IF([6]回答表!AA50="●",[6]回答表!E170,""))</f>
        <v/>
      </c>
      <c r="V80" s="182"/>
      <c r="W80" s="182"/>
      <c r="X80" s="182"/>
      <c r="Y80" s="182"/>
      <c r="Z80" s="182"/>
      <c r="AA80" s="182"/>
      <c r="AB80" s="182"/>
      <c r="AC80" s="182"/>
      <c r="AD80" s="182"/>
      <c r="AE80" s="183" t="s">
        <v>33</v>
      </c>
      <c r="AF80" s="183"/>
      <c r="AG80" s="183"/>
      <c r="AH80" s="183"/>
      <c r="AI80" s="183"/>
      <c r="AJ80" s="184"/>
      <c r="AK80" s="136"/>
      <c r="AL80" s="136"/>
      <c r="AM80" s="133" t="str">
        <f>IF([6]回答表!X50="●",[6]回答表!B151,IF([6]回答表!AA50="●",[6]回答表!B172,""))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IF([6]回答表!AD50="●","●","")</f>
        <v/>
      </c>
      <c r="O87" s="131"/>
      <c r="P87" s="131"/>
      <c r="Q87" s="132"/>
      <c r="R87" s="119"/>
      <c r="S87" s="119"/>
      <c r="T87" s="119"/>
      <c r="U87" s="133" t="str">
        <f>IF([6]回答表!AD50="●",[6]回答表!B180,"")</f>
        <v/>
      </c>
      <c r="V87" s="134"/>
      <c r="W87" s="134"/>
      <c r="X87" s="134"/>
      <c r="Y87" s="134"/>
      <c r="Z87" s="134"/>
      <c r="AA87" s="134"/>
      <c r="AB87" s="134"/>
      <c r="AC87" s="134"/>
      <c r="AD87" s="134"/>
      <c r="AE87" s="134"/>
      <c r="AF87" s="134"/>
      <c r="AG87" s="134"/>
      <c r="AH87" s="134"/>
      <c r="AI87" s="134"/>
      <c r="AJ87" s="135"/>
      <c r="AK87" s="189"/>
      <c r="AL87" s="189"/>
      <c r="AM87" s="133" t="str">
        <f>IF([6]回答表!AD50="●",[6]回答表!B186,"")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IF([6]回答表!F18="水道事業",IF([6]回答表!X51="●","●",""),"")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IF([6]回答表!F18="水道事業",IF([6]回答表!X51="●",[6]回答表!B197,IF([6]回答表!AA51="●",[6]回答表!B275,"")),"")</f>
        <v/>
      </c>
      <c r="AN99" s="134"/>
      <c r="AO99" s="134"/>
      <c r="AP99" s="134"/>
      <c r="AQ99" s="134"/>
      <c r="AR99" s="134"/>
      <c r="AS99" s="134"/>
      <c r="AT99" s="134"/>
      <c r="AU99" s="134"/>
      <c r="AV99" s="134"/>
      <c r="AW99" s="134"/>
      <c r="AX99" s="134"/>
      <c r="AY99" s="134"/>
      <c r="AZ99" s="134"/>
      <c r="BA99" s="134"/>
      <c r="BB99" s="134"/>
      <c r="BC99" s="135"/>
      <c r="BD99" s="109"/>
      <c r="BE99" s="109"/>
      <c r="BF99" s="138" t="str">
        <f>IF([6]回答表!F18="水道事業",IF([6]回答表!X51="●",[6]回答表!B256,IF([6]回答表!AA51="●",[6]回答表!B335,"")),"")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IF([6]回答表!F18="水道事業",IF([6]回答表!X51="●",[6]回答表!J205,IF([6]回答表!AA51="●",[6]回答表!J283,"")),"")</f>
        <v/>
      </c>
      <c r="V101" s="83"/>
      <c r="W101" s="83"/>
      <c r="X101" s="83"/>
      <c r="Y101" s="83"/>
      <c r="Z101" s="83"/>
      <c r="AA101" s="83"/>
      <c r="AB101" s="153"/>
      <c r="AC101" s="82" t="str">
        <f>IF([6]回答表!F18="水道事業",IF([6]回答表!X51="●",[6]回答表!J210,IF([6]回答表!AA51="●",[6]回答表!J290,"")),"")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IF([6]回答表!F18="水道事業",IF([6]回答表!X51="●",[6]回答表!E256,IF([6]回答表!AA51="●",[6]回答表!E335,"")),"")</f>
        <v/>
      </c>
      <c r="BG102" s="151"/>
      <c r="BH102" s="151"/>
      <c r="BI102" s="151"/>
      <c r="BJ102" s="150" t="str">
        <f>IF([6]回答表!F18="水道事業",IF([6]回答表!X51="●",[6]回答表!E257,IF([6]回答表!AA51="●",[6]回答表!E336,"")),"")</f>
        <v/>
      </c>
      <c r="BK102" s="151"/>
      <c r="BL102" s="151"/>
      <c r="BM102" s="151"/>
      <c r="BN102" s="150" t="str">
        <f>IF([6]回答表!F18="水道事業",IF([6]回答表!X51="●",[6]回答表!E258,IF([6]回答表!AA51="●",[6]回答表!E337,"")),"")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IF([6]回答表!F18="水道事業",IF([6]回答表!AA51="●","●",""),"")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IF([6]回答表!F18="水道事業",IF([6]回答表!X51="●",[6]回答表!J213,IF([6]回答表!AA51="●",[6]回答表!J293,"")),"")</f>
        <v/>
      </c>
      <c r="V106" s="83"/>
      <c r="W106" s="83"/>
      <c r="X106" s="83"/>
      <c r="Y106" s="83"/>
      <c r="Z106" s="83"/>
      <c r="AA106" s="83"/>
      <c r="AB106" s="153"/>
      <c r="AC106" s="82" t="str">
        <f>IF([6]回答表!F18="水道事業",IF([6]回答表!X51="●",[6]回答表!J217,IF([6]回答表!AA51="●",[6]回答表!J297,"")),"")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IF([6]回答表!F18="水道事業",IF([6]回答表!X51="●",[6]回答表!E265,IF([6]回答表!AA51="●",[6]回答表!E344,"")),"")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IF([6]回答表!F18="水道事業",IF([6]回答表!X51="●",[6]回答表!B267,IF([6]回答表!AA51="●",[6]回答表!B346,"")),"")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IF([6]回答表!F18="水道事業",IF([6]回答表!AD51="●","●",""),"")</f>
        <v/>
      </c>
      <c r="O118" s="131"/>
      <c r="P118" s="131"/>
      <c r="Q118" s="132"/>
      <c r="R118" s="119"/>
      <c r="S118" s="119"/>
      <c r="T118" s="119"/>
      <c r="U118" s="133" t="str">
        <f>IF([6]回答表!F18="水道事業",IF([6]回答表!AD51="●",[6]回答表!B354,""),"")</f>
        <v/>
      </c>
      <c r="V118" s="134"/>
      <c r="W118" s="134"/>
      <c r="X118" s="134"/>
      <c r="Y118" s="134"/>
      <c r="Z118" s="134"/>
      <c r="AA118" s="134"/>
      <c r="AB118" s="134"/>
      <c r="AC118" s="134"/>
      <c r="AD118" s="134"/>
      <c r="AE118" s="134"/>
      <c r="AF118" s="134"/>
      <c r="AG118" s="134"/>
      <c r="AH118" s="134"/>
      <c r="AI118" s="134"/>
      <c r="AJ118" s="135"/>
      <c r="AK118" s="189"/>
      <c r="AL118" s="189"/>
      <c r="AM118" s="133" t="str">
        <f>IF([6]回答表!F18="水道事業",IF([6]回答表!AD51="●",[6]回答表!B360,""),"")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IF([6]回答表!F18="簡易水道事業",IF([6]回答表!X51="●",[6]回答表!B197,IF([6]回答表!AA51="●",[6]回答表!B275,"")),"")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IF([6]回答表!F18="簡易水道事業",IF([6]回答表!X51="●",[6]回答表!B256,IF([6]回答表!AA51="●",[6]回答表!B335,"")),"")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IF([6]回答表!F18="簡易水道事業",IF([6]回答表!X51="●","●",""),"")</f>
        <v/>
      </c>
      <c r="O132" s="131"/>
      <c r="P132" s="131"/>
      <c r="Q132" s="132"/>
      <c r="R132" s="119"/>
      <c r="S132" s="119"/>
      <c r="T132" s="119"/>
      <c r="U132" s="82" t="str">
        <f>IF([6]回答表!F18="簡易水道事業",IF([6]回答表!X51="●",[6]回答表!S224,IF([6]回答表!AA51="●",[6]回答表!S304,"")),"")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IF([6]回答表!F18="簡易水道事業",IF([6]回答表!X51="●",[6]回答表!E256,IF([6]回答表!AA51="●",[6]回答表!E335,"")),"")</f>
        <v/>
      </c>
      <c r="BG133" s="151"/>
      <c r="BH133" s="151"/>
      <c r="BI133" s="151"/>
      <c r="BJ133" s="150" t="str">
        <f>IF([6]回答表!F18="簡易水道事業",IF([6]回答表!X51="●",[6]回答表!E257,IF([6]回答表!AA51="●",[6]回答表!E336,"")),"")</f>
        <v/>
      </c>
      <c r="BK133" s="151"/>
      <c r="BL133" s="151"/>
      <c r="BM133" s="151"/>
      <c r="BN133" s="150" t="str">
        <f>IF([6]回答表!F18="簡易水道事業",IF([6]回答表!X51="●",[6]回答表!E258,IF([6]回答表!AA51="●",[6]回答表!E337,"")),"")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IF([6]回答表!F18="簡易水道事業",IF([6]回答表!X51="●",[6]回答表!S225,IF([6]回答表!AA51="●",[6]回答表!S305,"")),"")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IF([6]回答表!F18="簡易水道事業",IF([6]回答表!AA51="●","●",""),"")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IF([6]回答表!F18="簡易水道事業",IF([6]回答表!X51="●",[6]回答表!S226,IF([6]回答表!AA51="●",[6]回答表!S306,"")),"")</f>
        <v/>
      </c>
      <c r="V142" s="83"/>
      <c r="W142" s="83"/>
      <c r="X142" s="83"/>
      <c r="Y142" s="83"/>
      <c r="Z142" s="83"/>
      <c r="AA142" s="83"/>
      <c r="AB142" s="83"/>
      <c r="AC142" s="83"/>
      <c r="AD142" s="83"/>
      <c r="AE142" s="83"/>
      <c r="AF142" s="83"/>
      <c r="AG142" s="83"/>
      <c r="AH142" s="83"/>
      <c r="AI142" s="83"/>
      <c r="AJ142" s="153"/>
      <c r="AK142" s="68"/>
      <c r="AL142" s="68"/>
      <c r="AM142" s="231" t="str">
        <f>IF([6]回答表!F18="簡易水道事業",IF([6]回答表!X51="●",[6]回答表!Y228,IF([6]回答表!AA51="●",[6]回答表!Y308,"")),"")</f>
        <v/>
      </c>
      <c r="AN142" s="231"/>
      <c r="AO142" s="231"/>
      <c r="AP142" s="231"/>
      <c r="AQ142" s="231"/>
      <c r="AR142" s="231"/>
      <c r="AS142" s="231" t="str">
        <f>IF([6]回答表!F18="簡易水道事業",IF([6]回答表!X51="●",[6]回答表!Y229,IF([6]回答表!AA51="●",[6]回答表!Y309,"")),"")</f>
        <v/>
      </c>
      <c r="AT142" s="231"/>
      <c r="AU142" s="231"/>
      <c r="AV142" s="231"/>
      <c r="AW142" s="231"/>
      <c r="AX142" s="231"/>
      <c r="AY142" s="231" t="str">
        <f>IF([6]回答表!F18="簡易水道事業",IF([6]回答表!X51="●",[6]回答表!Y230,IF([6]回答表!AA51="●",[6]回答表!Y310,"")),"")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IF([6]回答表!F18="簡易水道事業",IF([6]回答表!X51="●",[6]回答表!E265,IF([6]回答表!AA51="●",[6]回答表!E344,"")),"")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IF([6]回答表!F18="簡易水道事業",IF([6]回答表!X51="●",[6]回答表!B267,IF([6]回答表!AA51="●",[6]回答表!B346,"")),"")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IF([6]回答表!F18="簡易水道事業",IF([6]回答表!AD51="●","●",""),"")</f>
        <v/>
      </c>
      <c r="O154" s="131"/>
      <c r="P154" s="131"/>
      <c r="Q154" s="132"/>
      <c r="R154" s="119"/>
      <c r="S154" s="119"/>
      <c r="T154" s="119"/>
      <c r="U154" s="133" t="str">
        <f>IF([6]回答表!F18="簡易水道事業",IF([6]回答表!AD51="●",[6]回答表!B354,""),"")</f>
        <v/>
      </c>
      <c r="V154" s="134"/>
      <c r="W154" s="134"/>
      <c r="X154" s="134"/>
      <c r="Y154" s="134"/>
      <c r="Z154" s="134"/>
      <c r="AA154" s="134"/>
      <c r="AB154" s="134"/>
      <c r="AC154" s="134"/>
      <c r="AD154" s="134"/>
      <c r="AE154" s="134"/>
      <c r="AF154" s="134"/>
      <c r="AG154" s="134"/>
      <c r="AH154" s="134"/>
      <c r="AI154" s="134"/>
      <c r="AJ154" s="135"/>
      <c r="AK154" s="189"/>
      <c r="AL154" s="189"/>
      <c r="AM154" s="133" t="str">
        <f>IF([6]回答表!F18="簡易水道事業",IF([6]回答表!AD51="●",[6]回答表!B360,""),"")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IF([6]回答表!F18="下水道事業",IF([6]回答表!X51="●","●",""),"")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IF([6]回答表!F18="下水道事業",IF([6]回答表!X51="●",[6]回答表!B197,IF([6]回答表!AA51="●",[6]回答表!B275,"")),"")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IF([6]回答表!F18="下水道事業",IF([6]回答表!X51="●",[6]回答表!B256,IF([6]回答表!AA51="●",[6]回答表!B335,"")),"")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IF([6]回答表!F18="下水道事業",IF([6]回答表!X51="●",[6]回答表!N234,IF([6]回答表!AA51="●",[6]回答表!N314,"")),"")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IF([6]回答表!F18="下水道事業",IF([6]回答表!X51="●",[6]回答表!E256,IF([6]回答表!AA51="●",[6]回答表!E335,"")),"")</f>
        <v/>
      </c>
      <c r="BG169" s="151"/>
      <c r="BH169" s="151"/>
      <c r="BI169" s="151"/>
      <c r="BJ169" s="150" t="str">
        <f>IF([6]回答表!F18="下水道事業",IF([6]回答表!X51="●",[6]回答表!E257,IF([6]回答表!AA51="●",[6]回答表!E336,"")),"")</f>
        <v/>
      </c>
      <c r="BK169" s="151"/>
      <c r="BL169" s="151"/>
      <c r="BM169" s="151"/>
      <c r="BN169" s="150" t="str">
        <f>IF([6]回答表!F18="下水道事業",IF([6]回答表!X51="●",[6]回答表!E258,IF([6]回答表!AA51="●",[6]回答表!E337,"")),"")</f>
        <v/>
      </c>
      <c r="BO169" s="151"/>
      <c r="BP169" s="151"/>
      <c r="BQ169" s="152"/>
      <c r="BR169" s="112"/>
      <c r="BX169" s="234" t="str">
        <f>IF([6]回答表!AQ21="下水道事業",IF([6]回答表!BI54="○",[6]回答表!AM200,IF([6]回答表!BL54="○",[6]回答表!AM278,"")),"")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IF([6]回答表!F18="下水道事業",IF([6]回答表!X51="●",[6]回答表!Y236,IF([6]回答表!AA51="●",[6]回答表!Y316,"")),"")</f>
        <v/>
      </c>
      <c r="V174" s="83"/>
      <c r="W174" s="83"/>
      <c r="X174" s="83"/>
      <c r="Y174" s="83"/>
      <c r="Z174" s="83"/>
      <c r="AA174" s="83"/>
      <c r="AB174" s="153"/>
      <c r="AC174" s="82" t="str">
        <f>IF([6]回答表!F18="下水道事業",IF([6]回答表!X51="●",[6]回答表!Y237,IF([6]回答表!AA51="●",[6]回答表!Y317,"")),"")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IF([6]回答表!F18="下水道事業",IF([6]回答表!X51="●",[6]回答表!Y239,IF([6]回答表!AA51="●",[6]回答表!Y319,"")),"")</f>
        <v/>
      </c>
      <c r="V180" s="83"/>
      <c r="W180" s="83"/>
      <c r="X180" s="83"/>
      <c r="Y180" s="83"/>
      <c r="Z180" s="83"/>
      <c r="AA180" s="83"/>
      <c r="AB180" s="153"/>
      <c r="AC180" s="82" t="str">
        <f>IF([6]回答表!F18="下水道事業",IF([6]回答表!X51="●",[6]回答表!Y240,IF([6]回答表!AA51="●",[6]回答表!Y320,"")),"")</f>
        <v/>
      </c>
      <c r="AD180" s="83"/>
      <c r="AE180" s="83"/>
      <c r="AF180" s="83"/>
      <c r="AG180" s="83"/>
      <c r="AH180" s="83"/>
      <c r="AI180" s="83"/>
      <c r="AJ180" s="153"/>
      <c r="AK180" s="82" t="str">
        <f>IF([6]回答表!F18="下水道事業",IF([6]回答表!X51="●",[6]回答表!Y241,IF([6]回答表!AA51="●",[6]回答表!Y321,"")),"")</f>
        <v/>
      </c>
      <c r="AL180" s="83"/>
      <c r="AM180" s="83"/>
      <c r="AN180" s="83"/>
      <c r="AO180" s="83"/>
      <c r="AP180" s="83"/>
      <c r="AQ180" s="83"/>
      <c r="AR180" s="153"/>
      <c r="AS180" s="82" t="str">
        <f>IF([6]回答表!F18="下水道事業",IF([6]回答表!X51="●",[6]回答表!Y242,IF([6]回答表!AA51="●",[6]回答表!Y322,"")),"")</f>
        <v/>
      </c>
      <c r="AT180" s="83"/>
      <c r="AU180" s="83"/>
      <c r="AV180" s="83"/>
      <c r="AW180" s="83"/>
      <c r="AX180" s="83"/>
      <c r="AY180" s="83"/>
      <c r="AZ180" s="153"/>
      <c r="BA180" s="82" t="str">
        <f>IF([6]回答表!F18="下水道事業",IF([6]回答表!X51="●",[6]回答表!Y243,IF([6]回答表!AA51="●",[6]回答表!Y323,"")),"")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IF([6]回答表!F18="下水道事業",IF([6]回答表!AA51="●","●",""),"")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IF([6]回答表!F18="下水道事業",IF([6]回答表!X51="●",[6]回答表!N248,IF([6]回答表!AA51="●",[6]回答表!N328,"")),"")</f>
        <v/>
      </c>
      <c r="V186" s="83"/>
      <c r="W186" s="83"/>
      <c r="X186" s="83"/>
      <c r="Y186" s="83"/>
      <c r="Z186" s="83"/>
      <c r="AA186" s="83"/>
      <c r="AB186" s="153"/>
      <c r="AC186" s="82" t="str">
        <f>IF([6]回答表!F18="下水道事業",IF([6]回答表!X51="●",[6]回答表!N249,IF([6]回答表!AA51="●",[6]回答表!N329,"")),"")</f>
        <v/>
      </c>
      <c r="AD186" s="83"/>
      <c r="AE186" s="83"/>
      <c r="AF186" s="83"/>
      <c r="AG186" s="83"/>
      <c r="AH186" s="83"/>
      <c r="AI186" s="83"/>
      <c r="AJ186" s="153"/>
      <c r="AK186" s="82" t="str">
        <f>IF([6]回答表!F18="下水道事業",IF([6]回答表!X51="●",[6]回答表!N250,IF([6]回答表!AA51="●",[6]回答表!N330,"")),"")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IF([6]回答表!F18="下水道事業",IF([6]回答表!X51="●",[6]回答表!E265,IF([6]回答表!AA51="●",[6]回答表!E344,"")),"")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IF([6]回答表!F18="下水道事業",IF([6]回答表!X51="●",[6]回答表!B267,IF([6]回答表!AA51="●",[6]回答表!B346,"")),"")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IF([6]回答表!F18="下水道事業",IF([6]回答表!AD51="●","●",""),"")</f>
        <v/>
      </c>
      <c r="O198" s="131"/>
      <c r="P198" s="131"/>
      <c r="Q198" s="132"/>
      <c r="R198" s="119"/>
      <c r="S198" s="119"/>
      <c r="T198" s="119"/>
      <c r="U198" s="133" t="str">
        <f>IF([6]回答表!F18="下水道事業",IF([6]回答表!AD51="●",[6]回答表!B354,""),"")</f>
        <v/>
      </c>
      <c r="V198" s="134"/>
      <c r="W198" s="134"/>
      <c r="X198" s="134"/>
      <c r="Y198" s="134"/>
      <c r="Z198" s="134"/>
      <c r="AA198" s="134"/>
      <c r="AB198" s="134"/>
      <c r="AC198" s="134"/>
      <c r="AD198" s="134"/>
      <c r="AE198" s="134"/>
      <c r="AF198" s="134"/>
      <c r="AG198" s="134"/>
      <c r="AH198" s="134"/>
      <c r="AI198" s="134"/>
      <c r="AJ198" s="135"/>
      <c r="AK198" s="189"/>
      <c r="AL198" s="189"/>
      <c r="AM198" s="133" t="str">
        <f>IF([6]回答表!F18="下水道事業",IF([6]回答表!AD51="●",[6]回答表!B360,""),"")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IF([6]回答表!BD18="●",IF([6]回答表!X51="●","●",""),"")</f>
        <v/>
      </c>
      <c r="O210" s="131"/>
      <c r="P210" s="131"/>
      <c r="Q210" s="132"/>
      <c r="R210" s="119"/>
      <c r="S210" s="119"/>
      <c r="T210" s="119"/>
      <c r="U210" s="133" t="str">
        <f>IF([6]回答表!BD18="●",IF([6]回答表!X51="●",[6]回答表!B197,IF([6]回答表!AA51="●",[6]回答表!B275,"")),"")</f>
        <v/>
      </c>
      <c r="V210" s="134"/>
      <c r="W210" s="134"/>
      <c r="X210" s="134"/>
      <c r="Y210" s="134"/>
      <c r="Z210" s="134"/>
      <c r="AA210" s="134"/>
      <c r="AB210" s="134"/>
      <c r="AC210" s="134"/>
      <c r="AD210" s="134"/>
      <c r="AE210" s="134"/>
      <c r="AF210" s="134"/>
      <c r="AG210" s="134"/>
      <c r="AH210" s="134"/>
      <c r="AI210" s="134"/>
      <c r="AJ210" s="135"/>
      <c r="AK210" s="136"/>
      <c r="AL210" s="136"/>
      <c r="AM210" s="138" t="str">
        <f>IF([6]回答表!BD18="●",IF([6]回答表!X51="●",[6]回答表!B256,IF([6]回答表!AA51="●",[6]回答表!B335,"")),"")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IF([6]回答表!BD18="●",IF([6]回答表!X51="●",[6]回答表!E256,IF([6]回答表!AA51="●",[6]回答表!E335,"")),"")</f>
        <v/>
      </c>
      <c r="AN213" s="151"/>
      <c r="AO213" s="151"/>
      <c r="AP213" s="151"/>
      <c r="AQ213" s="150" t="str">
        <f>IF([6]回答表!BD18="●",IF([6]回答表!X51="●",[6]回答表!E257,IF([6]回答表!AA51="●",[6]回答表!E336,"")),"")</f>
        <v/>
      </c>
      <c r="AR213" s="151"/>
      <c r="AS213" s="151"/>
      <c r="AT213" s="151"/>
      <c r="AU213" s="150" t="str">
        <f>IF([6]回答表!BD18="●",IF([6]回答表!X51="●",[6]回答表!E258,IF([6]回答表!AA51="●",[6]回答表!E337,"")),"")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IF([6]回答表!BD18="●",IF([6]回答表!AA51="●","●",""),"")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IF([6]回答表!BD18="●",IF([6]回答表!X51="●",[6]回答表!E265,IF([6]回答表!AA51="●",[6]回答表!E344,"")),"")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IF([6]回答表!BD18="●",IF([6]回答表!X51="●",[6]回答表!B267,IF([6]回答表!AA51="●",[6]回答表!B346,"")),"")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IF([6]回答表!BD18="●",IF([6]回答表!AD51="●","●",""),"")</f>
        <v/>
      </c>
      <c r="O229" s="131"/>
      <c r="P229" s="131"/>
      <c r="Q229" s="132"/>
      <c r="R229" s="119"/>
      <c r="S229" s="119"/>
      <c r="T229" s="119"/>
      <c r="U229" s="133" t="str">
        <f>IF([6]回答表!BD18="●",IF([6]回答表!AD51="●",[6]回答表!B354,""),"")</f>
        <v/>
      </c>
      <c r="V229" s="134"/>
      <c r="W229" s="134"/>
      <c r="X229" s="134"/>
      <c r="Y229" s="134"/>
      <c r="Z229" s="134"/>
      <c r="AA229" s="134"/>
      <c r="AB229" s="134"/>
      <c r="AC229" s="134"/>
      <c r="AD229" s="134"/>
      <c r="AE229" s="134"/>
      <c r="AF229" s="134"/>
      <c r="AG229" s="134"/>
      <c r="AH229" s="134"/>
      <c r="AI229" s="134"/>
      <c r="AJ229" s="135"/>
      <c r="AK229" s="249"/>
      <c r="AL229" s="249"/>
      <c r="AM229" s="133" t="str">
        <f>IF([6]回答表!BD18="●",IF([6]回答表!AD51="●",[6]回答表!B360,""),"")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IF([6]回答表!X52="●","●","")</f>
        <v/>
      </c>
      <c r="O241" s="131"/>
      <c r="P241" s="131"/>
      <c r="Q241" s="132"/>
      <c r="R241" s="119"/>
      <c r="S241" s="119"/>
      <c r="T241" s="119"/>
      <c r="U241" s="133" t="str">
        <f>IF([6]回答表!X52="●",[6]回答表!B371,IF([6]回答表!AA52="●",[6]回答表!B396,""))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IF([6]回答表!X52="●",[6]回答表!U377,IF([6]回答表!AA52="●",[6]回答表!U402,""))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IF([6]回答表!X52="●",[6]回答表!G377,IF([6]回答表!AA52="●",[6]回答表!G402,""))</f>
        <v/>
      </c>
      <c r="AN244" s="83"/>
      <c r="AO244" s="83"/>
      <c r="AP244" s="83"/>
      <c r="AQ244" s="83"/>
      <c r="AR244" s="83"/>
      <c r="AS244" s="83"/>
      <c r="AT244" s="153"/>
      <c r="AU244" s="82" t="str">
        <f>IF([6]回答表!X52="●",[6]回答表!G378,IF([6]回答表!AA52="●",[6]回答表!G403,""))</f>
        <v/>
      </c>
      <c r="AV244" s="83"/>
      <c r="AW244" s="83"/>
      <c r="AX244" s="83"/>
      <c r="AY244" s="83"/>
      <c r="AZ244" s="83"/>
      <c r="BA244" s="83"/>
      <c r="BB244" s="153"/>
      <c r="BC244" s="120"/>
      <c r="BD244" s="109"/>
      <c r="BE244" s="109"/>
      <c r="BF244" s="150" t="str">
        <f>IF([6]回答表!X52="●",[6]回答表!X377,IF([6]回答表!AA52="●",[6]回答表!X402,""))</f>
        <v/>
      </c>
      <c r="BG244" s="151"/>
      <c r="BH244" s="151"/>
      <c r="BI244" s="151"/>
      <c r="BJ244" s="150" t="str">
        <f>IF([6]回答表!X52="●",[6]回答表!X378,IF([6]回答表!AA52="●",[6]回答表!X403,""))</f>
        <v/>
      </c>
      <c r="BK244" s="151"/>
      <c r="BL244" s="151"/>
      <c r="BM244" s="152"/>
      <c r="BN244" s="150" t="str">
        <f>IF([6]回答表!X52="●",[6]回答表!X379,IF([6]回答表!AA52="●",[6]回答表!X404,""))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IF([6]回答表!AA52="●","●","")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IF([6]回答表!X52="●",[6]回答表!E386,IF([6]回答表!AA52="●",[6]回答表!E407,""))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IF([6]回答表!X52="●",[6]回答表!B388,IF([6]回答表!AA52="●",[6]回答表!B409,""))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IF([6]回答表!AD52="●","●","")</f>
        <v/>
      </c>
      <c r="O260" s="131"/>
      <c r="P260" s="131"/>
      <c r="Q260" s="132"/>
      <c r="R260" s="119"/>
      <c r="S260" s="119"/>
      <c r="T260" s="119"/>
      <c r="U260" s="133" t="str">
        <f>IF([6]回答表!AD52="●",[6]回答表!B417,"")</f>
        <v/>
      </c>
      <c r="V260" s="134"/>
      <c r="W260" s="134"/>
      <c r="X260" s="134"/>
      <c r="Y260" s="134"/>
      <c r="Z260" s="134"/>
      <c r="AA260" s="134"/>
      <c r="AB260" s="134"/>
      <c r="AC260" s="134"/>
      <c r="AD260" s="134"/>
      <c r="AE260" s="134"/>
      <c r="AF260" s="134"/>
      <c r="AG260" s="134"/>
      <c r="AH260" s="134"/>
      <c r="AI260" s="134"/>
      <c r="AJ260" s="135"/>
      <c r="AK260" s="249"/>
      <c r="AL260" s="249"/>
      <c r="AM260" s="133" t="str">
        <f>IF([6]回答表!AD52="●",[6]回答表!B423,"")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IF([6]回答表!X53="●","●","")</f>
        <v/>
      </c>
      <c r="O272" s="131"/>
      <c r="P272" s="131"/>
      <c r="Q272" s="132"/>
      <c r="R272" s="119"/>
      <c r="S272" s="119"/>
      <c r="T272" s="119"/>
      <c r="U272" s="133" t="str">
        <f>IF([6]回答表!X53="●",[6]回答表!B434,IF([6]回答表!AA53="●",[6]回答表!B465,""))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IF([6]回答表!X53="●",[6]回答表!B440,"")</f>
        <v/>
      </c>
      <c r="AO272" s="262"/>
      <c r="AP272" s="262"/>
      <c r="AQ272" s="262"/>
      <c r="AR272" s="262"/>
      <c r="AS272" s="262"/>
      <c r="AT272" s="262"/>
      <c r="AU272" s="262"/>
      <c r="AV272" s="262"/>
      <c r="AW272" s="262"/>
      <c r="AX272" s="262"/>
      <c r="AY272" s="262"/>
      <c r="AZ272" s="262"/>
      <c r="BA272" s="262"/>
      <c r="BB272" s="263"/>
      <c r="BC272" s="120"/>
      <c r="BD272" s="109"/>
      <c r="BE272" s="109"/>
      <c r="BF272" s="138" t="str">
        <f>IF([6]回答表!X53="●",[6]回答表!B446,IF([6]回答表!AA53="●",[6]回答表!B471,""))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IF([6]回答表!X53="●",[6]回答表!E446,IF([6]回答表!AA53="●",[6]回答表!E471,""))</f>
        <v/>
      </c>
      <c r="BG275" s="151"/>
      <c r="BH275" s="151"/>
      <c r="BI275" s="151"/>
      <c r="BJ275" s="150" t="str">
        <f>IF([6]回答表!X53="●",[6]回答表!E447,IF([6]回答表!AA53="●",[6]回答表!E472,""))</f>
        <v/>
      </c>
      <c r="BK275" s="151"/>
      <c r="BL275" s="151"/>
      <c r="BM275" s="152"/>
      <c r="BN275" s="150" t="str">
        <f>IF([6]回答表!X53="●",[6]回答表!E448,IF([6]回答表!AA53="●",[6]回答表!E473,""))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IF([6]回答表!AA53="●","●","")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IF([6]回答表!X53="●",[6]回答表!E455,IF([6]回答表!AA53="●",[6]回答表!E476,""))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IF([6]回答表!X53="●",[6]回答表!B457,IF([6]回答表!AA53="●",[6]回答表!B478,""))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IF([6]回答表!AD53="●","●","")</f>
        <v/>
      </c>
      <c r="O291" s="131"/>
      <c r="P291" s="131"/>
      <c r="Q291" s="132"/>
      <c r="R291" s="119"/>
      <c r="S291" s="119"/>
      <c r="T291" s="119"/>
      <c r="U291" s="133" t="str">
        <f>IF([6]回答表!AD53="●",[6]回答表!B486,"")</f>
        <v/>
      </c>
      <c r="V291" s="134"/>
      <c r="W291" s="134"/>
      <c r="X291" s="134"/>
      <c r="Y291" s="134"/>
      <c r="Z291" s="134"/>
      <c r="AA291" s="134"/>
      <c r="AB291" s="134"/>
      <c r="AC291" s="134"/>
      <c r="AD291" s="134"/>
      <c r="AE291" s="134"/>
      <c r="AF291" s="134"/>
      <c r="AG291" s="134"/>
      <c r="AH291" s="134"/>
      <c r="AI291" s="134"/>
      <c r="AJ291" s="135"/>
      <c r="AK291" s="249"/>
      <c r="AL291" s="249"/>
      <c r="AM291" s="133" t="str">
        <f>IF([6]回答表!AD53="●",[6]回答表!B492,"")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IF([6]回答表!X54="●","●","")</f>
        <v/>
      </c>
      <c r="O303" s="131"/>
      <c r="P303" s="131"/>
      <c r="Q303" s="132"/>
      <c r="R303" s="119"/>
      <c r="S303" s="119"/>
      <c r="T303" s="119"/>
      <c r="U303" s="133" t="str">
        <f>IF([6]回答表!X54="●",[6]回答表!B503,IF([6]回答表!AA54="●",[6]回答表!B526,""))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IF([6]回答表!X54="●",[6]回答表!BC510,IF([6]回答表!AA54="●",[6]回答表!BC533,""))</f>
        <v/>
      </c>
      <c r="AR303" s="271"/>
      <c r="AS303" s="271"/>
      <c r="AT303" s="271"/>
      <c r="AU303" s="272" t="s">
        <v>74</v>
      </c>
      <c r="AV303" s="273"/>
      <c r="AW303" s="273"/>
      <c r="AX303" s="274"/>
      <c r="AY303" s="271" t="str">
        <f>IF([6]回答表!X54="●",[6]回答表!BC515,IF([6]回答表!AA54="●",[6]回答表!BC538,""))</f>
        <v/>
      </c>
      <c r="AZ303" s="271"/>
      <c r="BA303" s="271"/>
      <c r="BB303" s="271"/>
      <c r="BC303" s="120"/>
      <c r="BD303" s="109"/>
      <c r="BE303" s="109"/>
      <c r="BF303" s="138" t="str">
        <f>IF([6]回答表!X54="●",[6]回答表!S509,IF([6]回答表!AA54="●",[6]回答表!S532,""))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IF([6]回答表!X54="●",[6]回答表!BC511,IF([6]回答表!AA54="●",[6]回答表!BC534,""))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IF([6]回答表!X54="●",[6]回答表!V509,IF([6]回答表!AA54="●",[6]回答表!V532,""))</f>
        <v/>
      </c>
      <c r="BG306" s="151"/>
      <c r="BH306" s="151"/>
      <c r="BI306" s="151"/>
      <c r="BJ306" s="150" t="str">
        <f>IF([6]回答表!X54="●",[6]回答表!V510,IF([6]回答表!AA54="●",[6]回答表!V533,""))</f>
        <v/>
      </c>
      <c r="BK306" s="151"/>
      <c r="BL306" s="151"/>
      <c r="BM306" s="152"/>
      <c r="BN306" s="150" t="str">
        <f>IF([6]回答表!X54="●",[6]回答表!V511,IF([6]回答表!AA54="●",[6]回答表!V534,""))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IF([6]回答表!X54="●",[6]回答表!BC512,IF([6]回答表!AA54="●",[6]回答表!BC535,""))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IF([6]回答表!X54="●",[6]回答表!BC516,IF([6]回答表!AA54="●",[6]回答表!BC539,""))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IF([6]回答表!AA54="●","●","")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IF([6]回答表!X54="●",[6]回答表!BC513,IF([6]回答表!AA54="●",[6]回答表!BC536,""))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IF([6]回答表!X54="●",[6]回答表!BC514,IF([6]回答表!AA54="●",[6]回答表!BC537,""))</f>
        <v/>
      </c>
      <c r="AR311" s="271"/>
      <c r="AS311" s="271"/>
      <c r="AT311" s="271"/>
      <c r="AU311" s="222" t="s">
        <v>80</v>
      </c>
      <c r="AV311" s="223"/>
      <c r="AW311" s="223"/>
      <c r="AX311" s="224"/>
      <c r="AY311" s="281" t="str">
        <f>IF([6]回答表!X54="●",[6]回答表!BC517,IF([6]回答表!AA54="●",[6]回答表!BC540,""))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IF([6]回答表!X54="●",[6]回答表!E516,IF([6]回答表!AA54="●",[6]回答表!E538,""))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IF([6]回答表!X54="●",[6]回答表!B518,IF([6]回答表!AA54="●",[6]回答表!B540,""))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IF([6]回答表!AD54="●","●","")</f>
        <v/>
      </c>
      <c r="O322" s="131"/>
      <c r="P322" s="131"/>
      <c r="Q322" s="132"/>
      <c r="R322" s="119"/>
      <c r="S322" s="119"/>
      <c r="T322" s="119"/>
      <c r="U322" s="133" t="str">
        <f>IF([6]回答表!AD54="●",[6]回答表!B548,"")</f>
        <v/>
      </c>
      <c r="V322" s="134"/>
      <c r="W322" s="134"/>
      <c r="X322" s="134"/>
      <c r="Y322" s="134"/>
      <c r="Z322" s="134"/>
      <c r="AA322" s="134"/>
      <c r="AB322" s="134"/>
      <c r="AC322" s="134"/>
      <c r="AD322" s="134"/>
      <c r="AE322" s="134"/>
      <c r="AF322" s="134"/>
      <c r="AG322" s="134"/>
      <c r="AH322" s="134"/>
      <c r="AI322" s="134"/>
      <c r="AJ322" s="135"/>
      <c r="AK322" s="189"/>
      <c r="AL322" s="189"/>
      <c r="AM322" s="133" t="str">
        <f>IF([6]回答表!AD54="●",[6]回答表!B554,"")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IF([6]回答表!X55="●","●","")</f>
        <v/>
      </c>
      <c r="O333" s="131"/>
      <c r="P333" s="131"/>
      <c r="Q333" s="132"/>
      <c r="R333" s="119"/>
      <c r="S333" s="119"/>
      <c r="T333" s="119"/>
      <c r="U333" s="133" t="str">
        <f>IF([6]回答表!X55="●",[6]回答表!B565,IF([6]回答表!AA55="●",[6]回答表!B590,""))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IF([6]回答表!X55="●",[6]回答表!B575,IF([6]回答表!AA55="●",[6]回答表!B600,""))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IF([6]回答表!X55="●",[6]回答表!G571,IF([6]回答表!AA55="●",[6]回答表!G596,""))</f>
        <v/>
      </c>
      <c r="AN335" s="83"/>
      <c r="AO335" s="83"/>
      <c r="AP335" s="83"/>
      <c r="AQ335" s="83"/>
      <c r="AR335" s="83"/>
      <c r="AS335" s="83"/>
      <c r="AT335" s="153"/>
      <c r="AU335" s="82" t="str">
        <f>IF([6]回答表!X55="●",[6]回答表!G572,IF([6]回答表!AA55="●",[6]回答表!G597,""))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IF([6]回答表!X55="●",[6]回答表!E575,IF([6]回答表!AA55="●",[6]回答表!E600,""))</f>
        <v/>
      </c>
      <c r="BG336" s="151"/>
      <c r="BH336" s="151"/>
      <c r="BI336" s="151"/>
      <c r="BJ336" s="150" t="str">
        <f>IF([6]回答表!X55="●",[6]回答表!E576,IF([6]回答表!AA55="●",[6]回答表!E601,""))</f>
        <v/>
      </c>
      <c r="BK336" s="151"/>
      <c r="BL336" s="151"/>
      <c r="BM336" s="152"/>
      <c r="BN336" s="150" t="str">
        <f>IF([6]回答表!X55="●",[6]回答表!E577,IF([6]回答表!AA55="●",[6]回答表!E602,""))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IF([6]回答表!AA55="●","●","")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IF([6]回答表!X55="●",[6]回答表!E580,IF([6]回答表!AA55="●",[6]回答表!E605,""))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IF([6]回答表!X55="●",[6]回答表!B582,IF([6]回答表!AA55="●",[6]回答表!B607,""))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IF([6]回答表!AD55="●","●","")</f>
        <v/>
      </c>
      <c r="O352" s="131"/>
      <c r="P352" s="131"/>
      <c r="Q352" s="132"/>
      <c r="R352" s="119"/>
      <c r="S352" s="119"/>
      <c r="T352" s="119"/>
      <c r="U352" s="133" t="str">
        <f>IF([6]回答表!AD55="●",[6]回答表!B615,"")</f>
        <v/>
      </c>
      <c r="V352" s="134"/>
      <c r="W352" s="134"/>
      <c r="X352" s="134"/>
      <c r="Y352" s="134"/>
      <c r="Z352" s="134"/>
      <c r="AA352" s="134"/>
      <c r="AB352" s="134"/>
      <c r="AC352" s="134"/>
      <c r="AD352" s="134"/>
      <c r="AE352" s="134"/>
      <c r="AF352" s="134"/>
      <c r="AG352" s="134"/>
      <c r="AH352" s="134"/>
      <c r="AI352" s="134"/>
      <c r="AJ352" s="135"/>
      <c r="AK352" s="136"/>
      <c r="AL352" s="136"/>
      <c r="AM352" s="133" t="str">
        <f>IF([6]回答表!AD55="●",[6]回答表!B621,"")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IF([6]回答表!R56="●",[6]回答表!B634,"")</f>
        <v>現行の経営体制・手法で、健全な事業運営が実施できている為である。ただし、民間事業の経営手法やコスト比較など調査・研究を行い、事務及び事業の効率化と簡素に努めながら事業を実施する。また、指定管理制度の導入や施設及び事業の譲渡、一部業務の民間委託も検討していく。</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5" priority="2">
      <formula>$BB$25="○"</formula>
    </cfRule>
  </conditionalFormatting>
  <conditionalFormatting sqref="BD28:BD30">
    <cfRule type="expression" dxfId="14" priority="1">
      <formula>$BB$25="○"</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181CA-59BF-4CC6-BA80-9E174A52D853}">
  <dimension ref="A1:CN384"/>
  <sheetViews>
    <sheetView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IF(COUNTIF([7]回答表!K16,"*")&gt;0,[7]回答表!K16,"")</f>
        <v>横手市</v>
      </c>
      <c r="D11" s="8"/>
      <c r="E11" s="8"/>
      <c r="F11" s="8"/>
      <c r="G11" s="8"/>
      <c r="H11" s="8"/>
      <c r="I11" s="8"/>
      <c r="J11" s="8"/>
      <c r="K11" s="8"/>
      <c r="L11" s="8"/>
      <c r="M11" s="8"/>
      <c r="N11" s="8"/>
      <c r="O11" s="8"/>
      <c r="P11" s="8"/>
      <c r="Q11" s="8"/>
      <c r="R11" s="8"/>
      <c r="S11" s="8"/>
      <c r="T11" s="8"/>
      <c r="U11" s="22" t="str">
        <f>IF(COUNTIF([7]回答表!F18,"*")&gt;0,[7]回答表!F18,"")</f>
        <v>介護サービス事業</v>
      </c>
      <c r="V11" s="23"/>
      <c r="W11" s="23"/>
      <c r="X11" s="23"/>
      <c r="Y11" s="23"/>
      <c r="Z11" s="23"/>
      <c r="AA11" s="23"/>
      <c r="AB11" s="23"/>
      <c r="AC11" s="23"/>
      <c r="AD11" s="23"/>
      <c r="AE11" s="23"/>
      <c r="AF11" s="10"/>
      <c r="AG11" s="10"/>
      <c r="AH11" s="10"/>
      <c r="AI11" s="10"/>
      <c r="AJ11" s="10"/>
      <c r="AK11" s="10"/>
      <c r="AL11" s="10"/>
      <c r="AM11" s="10"/>
      <c r="AN11" s="11"/>
      <c r="AO11" s="24" t="str">
        <f>IF(COUNTIF([7]回答表!W18,"*")&gt;0,[7]回答表!W18,"")</f>
        <v>指定介護老人福祉施設</v>
      </c>
      <c r="AP11" s="10"/>
      <c r="AQ11" s="10"/>
      <c r="AR11" s="10"/>
      <c r="AS11" s="10"/>
      <c r="AT11" s="10"/>
      <c r="AU11" s="10"/>
      <c r="AV11" s="10"/>
      <c r="AW11" s="10"/>
      <c r="AX11" s="10"/>
      <c r="AY11" s="10"/>
      <c r="AZ11" s="10"/>
      <c r="BA11" s="10"/>
      <c r="BB11" s="10"/>
      <c r="BC11" s="10"/>
      <c r="BD11" s="10"/>
      <c r="BE11" s="10"/>
      <c r="BF11" s="11"/>
      <c r="BG11" s="21" t="str">
        <f>IF(COUNTIF([7]回答表!F20,"*")&gt;0,[7]回答表!F20,"")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IF([7]回答表!R49="●","●","")</f>
        <v/>
      </c>
      <c r="E24" s="80"/>
      <c r="F24" s="80"/>
      <c r="G24" s="80"/>
      <c r="H24" s="80"/>
      <c r="I24" s="80"/>
      <c r="J24" s="81"/>
      <c r="K24" s="79" t="str">
        <f>IF([7]回答表!R50="●","●","")</f>
        <v/>
      </c>
      <c r="L24" s="80"/>
      <c r="M24" s="80"/>
      <c r="N24" s="80"/>
      <c r="O24" s="80"/>
      <c r="P24" s="80"/>
      <c r="Q24" s="81"/>
      <c r="R24" s="79" t="str">
        <f>IF([7]回答表!R51="●","●","")</f>
        <v/>
      </c>
      <c r="S24" s="80"/>
      <c r="T24" s="80"/>
      <c r="U24" s="80"/>
      <c r="V24" s="80"/>
      <c r="W24" s="80"/>
      <c r="X24" s="81"/>
      <c r="Y24" s="79" t="str">
        <f>IF([7]回答表!R52="●","●","")</f>
        <v/>
      </c>
      <c r="Z24" s="80"/>
      <c r="AA24" s="80"/>
      <c r="AB24" s="80"/>
      <c r="AC24" s="80"/>
      <c r="AD24" s="80"/>
      <c r="AE24" s="81"/>
      <c r="AF24" s="79" t="str">
        <f>IF([7]回答表!R53="●","●","")</f>
        <v/>
      </c>
      <c r="AG24" s="80"/>
      <c r="AH24" s="80"/>
      <c r="AI24" s="80"/>
      <c r="AJ24" s="80"/>
      <c r="AK24" s="80"/>
      <c r="AL24" s="81"/>
      <c r="AM24" s="79" t="str">
        <f>IF([7]回答表!R54="●","●","")</f>
        <v/>
      </c>
      <c r="AN24" s="80"/>
      <c r="AO24" s="80"/>
      <c r="AP24" s="80"/>
      <c r="AQ24" s="80"/>
      <c r="AR24" s="80"/>
      <c r="AS24" s="81"/>
      <c r="AT24" s="79" t="str">
        <f>IF([7]回答表!R55="●","●","")</f>
        <v/>
      </c>
      <c r="AU24" s="80"/>
      <c r="AV24" s="80"/>
      <c r="AW24" s="80"/>
      <c r="AX24" s="80"/>
      <c r="AY24" s="80"/>
      <c r="AZ24" s="81"/>
      <c r="BA24" s="68"/>
      <c r="BB24" s="82" t="str">
        <f>IF([7]回答表!R56="●","●","")</f>
        <v>●</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IF([7]回答表!X49="●","●","")</f>
        <v/>
      </c>
      <c r="O36" s="131"/>
      <c r="P36" s="131"/>
      <c r="Q36" s="132"/>
      <c r="R36" s="119"/>
      <c r="S36" s="119"/>
      <c r="T36" s="119"/>
      <c r="U36" s="133" t="str">
        <f>IF([7]回答表!X49="●",[7]回答表!B67,IF([7]回答表!AA49="●",[7]回答表!B95,""))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IF([7]回答表!X49="●",[7]回答表!S73,IF([7]回答表!AA49="●",[7]回答表!S101,""))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IF([7]回答表!X49="●",[7]回答表!G73,IF([7]回答表!AA49="●",[7]回答表!G101,""))</f>
        <v/>
      </c>
      <c r="AN38" s="83"/>
      <c r="AO38" s="83"/>
      <c r="AP38" s="83"/>
      <c r="AQ38" s="83"/>
      <c r="AR38" s="83"/>
      <c r="AS38" s="83"/>
      <c r="AT38" s="153"/>
      <c r="AU38" s="82" t="str">
        <f>IF([7]回答表!X49="●",[7]回答表!G74,IF([7]回答表!AA49="●",[7]回答表!G102,""))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IF([7]回答表!X49="●",[7]回答表!V73,IF([7]回答表!AA49="●",[7]回答表!V101,""))</f>
        <v/>
      </c>
      <c r="BG39" s="16"/>
      <c r="BH39" s="16"/>
      <c r="BI39" s="17"/>
      <c r="BJ39" s="150" t="str">
        <f>IF([7]回答表!X49="●",[7]回答表!V74,IF([7]回答表!AA49="●",[7]回答表!V102,""))</f>
        <v/>
      </c>
      <c r="BK39" s="16"/>
      <c r="BL39" s="16"/>
      <c r="BM39" s="17"/>
      <c r="BN39" s="150" t="str">
        <f>IF([7]回答表!X49="●",[7]回答表!V75,IF([7]回答表!AA49="●",[7]回答表!V103,""))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IF([7]回答表!X49="●",[7]回答表!O79,IF([7]回答表!AA49="●",[7]回答表!O107,""))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IF([7]回答表!X49="●",[7]回答表!O80,IF([7]回答表!AA49="●",[7]回答表!O108,""))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IF([7]回答表!AA49="●","●","")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IF([7]回答表!X49="●",[7]回答表!O81,IF([7]回答表!AA49="●",[7]回答表!O109,""))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IF([7]回答表!X49="●",[7]回答表!O82,IF([7]回答表!AA49="●",[7]回答表!O110,""))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IF([7]回答表!X49="●",[7]回答表!AG79,IF([7]回答表!AA49="●",[7]回答表!AG107,""))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IF([7]回答表!X49="●",[7]回答表!AG80,IF([7]回答表!AA49="●",[7]回答表!AG108,""))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IF([7]回答表!X49="●",[7]回答表!E85,IF([7]回答表!AA49="●",[7]回答表!E113,""))</f>
        <v/>
      </c>
      <c r="V50" s="182"/>
      <c r="W50" s="182"/>
      <c r="X50" s="182"/>
      <c r="Y50" s="182"/>
      <c r="Z50" s="182"/>
      <c r="AA50" s="182"/>
      <c r="AB50" s="182"/>
      <c r="AC50" s="182"/>
      <c r="AD50" s="182"/>
      <c r="AE50" s="183" t="s">
        <v>33</v>
      </c>
      <c r="AF50" s="183"/>
      <c r="AG50" s="183"/>
      <c r="AH50" s="183"/>
      <c r="AI50" s="183"/>
      <c r="AJ50" s="184"/>
      <c r="AK50" s="136"/>
      <c r="AL50" s="136"/>
      <c r="AM50" s="133" t="str">
        <f>IF([7]回答表!X49="●",[7]回答表!B87,IF([7]回答表!AA49="●",[7]回答表!B115,""))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IF([7]回答表!AD49="●","●","")</f>
        <v/>
      </c>
      <c r="O57" s="131"/>
      <c r="P57" s="131"/>
      <c r="Q57" s="132"/>
      <c r="R57" s="119"/>
      <c r="S57" s="119"/>
      <c r="T57" s="119"/>
      <c r="U57" s="133" t="str">
        <f>IF([7]回答表!AD49="●",[7]回答表!B123,"")</f>
        <v/>
      </c>
      <c r="V57" s="134"/>
      <c r="W57" s="134"/>
      <c r="X57" s="134"/>
      <c r="Y57" s="134"/>
      <c r="Z57" s="134"/>
      <c r="AA57" s="134"/>
      <c r="AB57" s="134"/>
      <c r="AC57" s="134"/>
      <c r="AD57" s="134"/>
      <c r="AE57" s="134"/>
      <c r="AF57" s="134"/>
      <c r="AG57" s="134"/>
      <c r="AH57" s="134"/>
      <c r="AI57" s="134"/>
      <c r="AJ57" s="135"/>
      <c r="AK57" s="189"/>
      <c r="AL57" s="189"/>
      <c r="AM57" s="133" t="str">
        <f>IF([7]回答表!AD49="●",[7]回答表!B128,"")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IF([7]回答表!X50="●","●","")</f>
        <v/>
      </c>
      <c r="O68" s="131"/>
      <c r="P68" s="131"/>
      <c r="Q68" s="132"/>
      <c r="R68" s="119"/>
      <c r="S68" s="119"/>
      <c r="T68" s="119"/>
      <c r="U68" s="133" t="str">
        <f>IF([7]回答表!X50="●",[7]回答表!B138,IF([7]回答表!AA50="●",[7]回答表!B159,""))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IF([7]回答表!X50="●",[7]回答表!S144,IF([7]回答表!AA50="●",[7]回答表!S165,""))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IF([7]回答表!X50="●",[7]回答表!J144,IF([7]回答表!AA50="●",[7]回答表!J165,""))</f>
        <v/>
      </c>
      <c r="AN71" s="83"/>
      <c r="AO71" s="83"/>
      <c r="AP71" s="83"/>
      <c r="AQ71" s="83"/>
      <c r="AR71" s="83"/>
      <c r="AS71" s="83"/>
      <c r="AT71" s="153"/>
      <c r="AU71" s="82" t="str">
        <f>IF([7]回答表!X50="●",[7]回答表!J145,IF([7]回答表!AA50="●",[7]回答表!J166,""))</f>
        <v/>
      </c>
      <c r="AV71" s="83"/>
      <c r="AW71" s="83"/>
      <c r="AX71" s="83"/>
      <c r="AY71" s="83"/>
      <c r="AZ71" s="83"/>
      <c r="BA71" s="83"/>
      <c r="BB71" s="153"/>
      <c r="BC71" s="120"/>
      <c r="BD71" s="109"/>
      <c r="BE71" s="109"/>
      <c r="BF71" s="150" t="str">
        <f>IF([7]回答表!X50="●",[7]回答表!V144,IF([7]回答表!AA50="●",[7]回答表!V165,""))</f>
        <v/>
      </c>
      <c r="BG71" s="151"/>
      <c r="BH71" s="151"/>
      <c r="BI71" s="151"/>
      <c r="BJ71" s="150" t="str">
        <f>IF([7]回答表!X50="●",[7]回答表!V145,IF([7]回答表!AA50="●",[7]回答表!V166,""))</f>
        <v/>
      </c>
      <c r="BK71" s="151"/>
      <c r="BL71" s="151"/>
      <c r="BM71" s="151"/>
      <c r="BN71" s="150" t="str">
        <f>IF([7]回答表!X50="●",[7]回答表!V146,IF([7]回答表!AA50="●",[7]回答表!V167,""))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IF([7]回答表!AA50="●","●","")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IF([7]回答表!X50="●",[7]回答表!E149,IF([7]回答表!AA50="●",[7]回答表!E170,""))</f>
        <v/>
      </c>
      <c r="V80" s="182"/>
      <c r="W80" s="182"/>
      <c r="X80" s="182"/>
      <c r="Y80" s="182"/>
      <c r="Z80" s="182"/>
      <c r="AA80" s="182"/>
      <c r="AB80" s="182"/>
      <c r="AC80" s="182"/>
      <c r="AD80" s="182"/>
      <c r="AE80" s="183" t="s">
        <v>33</v>
      </c>
      <c r="AF80" s="183"/>
      <c r="AG80" s="183"/>
      <c r="AH80" s="183"/>
      <c r="AI80" s="183"/>
      <c r="AJ80" s="184"/>
      <c r="AK80" s="136"/>
      <c r="AL80" s="136"/>
      <c r="AM80" s="133" t="str">
        <f>IF([7]回答表!X50="●",[7]回答表!B151,IF([7]回答表!AA50="●",[7]回答表!B172,""))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IF([7]回答表!AD50="●","●","")</f>
        <v/>
      </c>
      <c r="O87" s="131"/>
      <c r="P87" s="131"/>
      <c r="Q87" s="132"/>
      <c r="R87" s="119"/>
      <c r="S87" s="119"/>
      <c r="T87" s="119"/>
      <c r="U87" s="133" t="str">
        <f>IF([7]回答表!AD50="●",[7]回答表!B180,"")</f>
        <v/>
      </c>
      <c r="V87" s="134"/>
      <c r="W87" s="134"/>
      <c r="X87" s="134"/>
      <c r="Y87" s="134"/>
      <c r="Z87" s="134"/>
      <c r="AA87" s="134"/>
      <c r="AB87" s="134"/>
      <c r="AC87" s="134"/>
      <c r="AD87" s="134"/>
      <c r="AE87" s="134"/>
      <c r="AF87" s="134"/>
      <c r="AG87" s="134"/>
      <c r="AH87" s="134"/>
      <c r="AI87" s="134"/>
      <c r="AJ87" s="135"/>
      <c r="AK87" s="189"/>
      <c r="AL87" s="189"/>
      <c r="AM87" s="133" t="str">
        <f>IF([7]回答表!AD50="●",[7]回答表!B186,"")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IF([7]回答表!F18="水道事業",IF([7]回答表!X51="●","●",""),"")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IF([7]回答表!F18="水道事業",IF([7]回答表!X51="●",[7]回答表!B197,IF([7]回答表!AA51="●",[7]回答表!B275,"")),"")</f>
        <v/>
      </c>
      <c r="AN99" s="134"/>
      <c r="AO99" s="134"/>
      <c r="AP99" s="134"/>
      <c r="AQ99" s="134"/>
      <c r="AR99" s="134"/>
      <c r="AS99" s="134"/>
      <c r="AT99" s="134"/>
      <c r="AU99" s="134"/>
      <c r="AV99" s="134"/>
      <c r="AW99" s="134"/>
      <c r="AX99" s="134"/>
      <c r="AY99" s="134"/>
      <c r="AZ99" s="134"/>
      <c r="BA99" s="134"/>
      <c r="BB99" s="134"/>
      <c r="BC99" s="135"/>
      <c r="BD99" s="109"/>
      <c r="BE99" s="109"/>
      <c r="BF99" s="138" t="str">
        <f>IF([7]回答表!F18="水道事業",IF([7]回答表!X51="●",[7]回答表!B256,IF([7]回答表!AA51="●",[7]回答表!B335,"")),"")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IF([7]回答表!F18="水道事業",IF([7]回答表!X51="●",[7]回答表!J205,IF([7]回答表!AA51="●",[7]回答表!J283,"")),"")</f>
        <v/>
      </c>
      <c r="V101" s="83"/>
      <c r="W101" s="83"/>
      <c r="X101" s="83"/>
      <c r="Y101" s="83"/>
      <c r="Z101" s="83"/>
      <c r="AA101" s="83"/>
      <c r="AB101" s="153"/>
      <c r="AC101" s="82" t="str">
        <f>IF([7]回答表!F18="水道事業",IF([7]回答表!X51="●",[7]回答表!J210,IF([7]回答表!AA51="●",[7]回答表!J290,"")),"")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IF([7]回答表!F18="水道事業",IF([7]回答表!X51="●",[7]回答表!E256,IF([7]回答表!AA51="●",[7]回答表!E335,"")),"")</f>
        <v/>
      </c>
      <c r="BG102" s="151"/>
      <c r="BH102" s="151"/>
      <c r="BI102" s="151"/>
      <c r="BJ102" s="150" t="str">
        <f>IF([7]回答表!F18="水道事業",IF([7]回答表!X51="●",[7]回答表!E257,IF([7]回答表!AA51="●",[7]回答表!E336,"")),"")</f>
        <v/>
      </c>
      <c r="BK102" s="151"/>
      <c r="BL102" s="151"/>
      <c r="BM102" s="151"/>
      <c r="BN102" s="150" t="str">
        <f>IF([7]回答表!F18="水道事業",IF([7]回答表!X51="●",[7]回答表!E258,IF([7]回答表!AA51="●",[7]回答表!E337,"")),"")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IF([7]回答表!F18="水道事業",IF([7]回答表!AA51="●","●",""),"")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IF([7]回答表!F18="水道事業",IF([7]回答表!X51="●",[7]回答表!J213,IF([7]回答表!AA51="●",[7]回答表!J293,"")),"")</f>
        <v/>
      </c>
      <c r="V106" s="83"/>
      <c r="W106" s="83"/>
      <c r="X106" s="83"/>
      <c r="Y106" s="83"/>
      <c r="Z106" s="83"/>
      <c r="AA106" s="83"/>
      <c r="AB106" s="153"/>
      <c r="AC106" s="82" t="str">
        <f>IF([7]回答表!F18="水道事業",IF([7]回答表!X51="●",[7]回答表!J217,IF([7]回答表!AA51="●",[7]回答表!J297,"")),"")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IF([7]回答表!F18="水道事業",IF([7]回答表!X51="●",[7]回答表!E265,IF([7]回答表!AA51="●",[7]回答表!E344,"")),"")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IF([7]回答表!F18="水道事業",IF([7]回答表!X51="●",[7]回答表!B267,IF([7]回答表!AA51="●",[7]回答表!B346,"")),"")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IF([7]回答表!F18="水道事業",IF([7]回答表!AD51="●","●",""),"")</f>
        <v/>
      </c>
      <c r="O118" s="131"/>
      <c r="P118" s="131"/>
      <c r="Q118" s="132"/>
      <c r="R118" s="119"/>
      <c r="S118" s="119"/>
      <c r="T118" s="119"/>
      <c r="U118" s="133" t="str">
        <f>IF([7]回答表!F18="水道事業",IF([7]回答表!AD51="●",[7]回答表!B354,""),"")</f>
        <v/>
      </c>
      <c r="V118" s="134"/>
      <c r="W118" s="134"/>
      <c r="X118" s="134"/>
      <c r="Y118" s="134"/>
      <c r="Z118" s="134"/>
      <c r="AA118" s="134"/>
      <c r="AB118" s="134"/>
      <c r="AC118" s="134"/>
      <c r="AD118" s="134"/>
      <c r="AE118" s="134"/>
      <c r="AF118" s="134"/>
      <c r="AG118" s="134"/>
      <c r="AH118" s="134"/>
      <c r="AI118" s="134"/>
      <c r="AJ118" s="135"/>
      <c r="AK118" s="189"/>
      <c r="AL118" s="189"/>
      <c r="AM118" s="133" t="str">
        <f>IF([7]回答表!F18="水道事業",IF([7]回答表!AD51="●",[7]回答表!B360,""),"")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IF([7]回答表!F18="簡易水道事業",IF([7]回答表!X51="●",[7]回答表!B197,IF([7]回答表!AA51="●",[7]回答表!B275,"")),"")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IF([7]回答表!F18="簡易水道事業",IF([7]回答表!X51="●",[7]回答表!B256,IF([7]回答表!AA51="●",[7]回答表!B335,"")),"")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IF([7]回答表!F18="簡易水道事業",IF([7]回答表!X51="●","●",""),"")</f>
        <v/>
      </c>
      <c r="O132" s="131"/>
      <c r="P132" s="131"/>
      <c r="Q132" s="132"/>
      <c r="R132" s="119"/>
      <c r="S132" s="119"/>
      <c r="T132" s="119"/>
      <c r="U132" s="82" t="str">
        <f>IF([7]回答表!F18="簡易水道事業",IF([7]回答表!X51="●",[7]回答表!S224,IF([7]回答表!AA51="●",[7]回答表!S304,"")),"")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IF([7]回答表!F18="簡易水道事業",IF([7]回答表!X51="●",[7]回答表!E256,IF([7]回答表!AA51="●",[7]回答表!E335,"")),"")</f>
        <v/>
      </c>
      <c r="BG133" s="151"/>
      <c r="BH133" s="151"/>
      <c r="BI133" s="151"/>
      <c r="BJ133" s="150" t="str">
        <f>IF([7]回答表!F18="簡易水道事業",IF([7]回答表!X51="●",[7]回答表!E257,IF([7]回答表!AA51="●",[7]回答表!E336,"")),"")</f>
        <v/>
      </c>
      <c r="BK133" s="151"/>
      <c r="BL133" s="151"/>
      <c r="BM133" s="151"/>
      <c r="BN133" s="150" t="str">
        <f>IF([7]回答表!F18="簡易水道事業",IF([7]回答表!X51="●",[7]回答表!E258,IF([7]回答表!AA51="●",[7]回答表!E337,"")),"")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IF([7]回答表!F18="簡易水道事業",IF([7]回答表!X51="●",[7]回答表!S225,IF([7]回答表!AA51="●",[7]回答表!S305,"")),"")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IF([7]回答表!F18="簡易水道事業",IF([7]回答表!AA51="●","●",""),"")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IF([7]回答表!F18="簡易水道事業",IF([7]回答表!X51="●",[7]回答表!S226,IF([7]回答表!AA51="●",[7]回答表!S306,"")),"")</f>
        <v/>
      </c>
      <c r="V142" s="83"/>
      <c r="W142" s="83"/>
      <c r="X142" s="83"/>
      <c r="Y142" s="83"/>
      <c r="Z142" s="83"/>
      <c r="AA142" s="83"/>
      <c r="AB142" s="83"/>
      <c r="AC142" s="83"/>
      <c r="AD142" s="83"/>
      <c r="AE142" s="83"/>
      <c r="AF142" s="83"/>
      <c r="AG142" s="83"/>
      <c r="AH142" s="83"/>
      <c r="AI142" s="83"/>
      <c r="AJ142" s="153"/>
      <c r="AK142" s="68"/>
      <c r="AL142" s="68"/>
      <c r="AM142" s="231" t="str">
        <f>IF([7]回答表!F18="簡易水道事業",IF([7]回答表!X51="●",[7]回答表!Y228,IF([7]回答表!AA51="●",[7]回答表!Y308,"")),"")</f>
        <v/>
      </c>
      <c r="AN142" s="231"/>
      <c r="AO142" s="231"/>
      <c r="AP142" s="231"/>
      <c r="AQ142" s="231"/>
      <c r="AR142" s="231"/>
      <c r="AS142" s="231" t="str">
        <f>IF([7]回答表!F18="簡易水道事業",IF([7]回答表!X51="●",[7]回答表!Y229,IF([7]回答表!AA51="●",[7]回答表!Y309,"")),"")</f>
        <v/>
      </c>
      <c r="AT142" s="231"/>
      <c r="AU142" s="231"/>
      <c r="AV142" s="231"/>
      <c r="AW142" s="231"/>
      <c r="AX142" s="231"/>
      <c r="AY142" s="231" t="str">
        <f>IF([7]回答表!F18="簡易水道事業",IF([7]回答表!X51="●",[7]回答表!Y230,IF([7]回答表!AA51="●",[7]回答表!Y310,"")),"")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IF([7]回答表!F18="簡易水道事業",IF([7]回答表!X51="●",[7]回答表!E265,IF([7]回答表!AA51="●",[7]回答表!E344,"")),"")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IF([7]回答表!F18="簡易水道事業",IF([7]回答表!X51="●",[7]回答表!B267,IF([7]回答表!AA51="●",[7]回答表!B346,"")),"")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IF([7]回答表!F18="簡易水道事業",IF([7]回答表!AD51="●","●",""),"")</f>
        <v/>
      </c>
      <c r="O154" s="131"/>
      <c r="P154" s="131"/>
      <c r="Q154" s="132"/>
      <c r="R154" s="119"/>
      <c r="S154" s="119"/>
      <c r="T154" s="119"/>
      <c r="U154" s="133" t="str">
        <f>IF([7]回答表!F18="簡易水道事業",IF([7]回答表!AD51="●",[7]回答表!B354,""),"")</f>
        <v/>
      </c>
      <c r="V154" s="134"/>
      <c r="W154" s="134"/>
      <c r="X154" s="134"/>
      <c r="Y154" s="134"/>
      <c r="Z154" s="134"/>
      <c r="AA154" s="134"/>
      <c r="AB154" s="134"/>
      <c r="AC154" s="134"/>
      <c r="AD154" s="134"/>
      <c r="AE154" s="134"/>
      <c r="AF154" s="134"/>
      <c r="AG154" s="134"/>
      <c r="AH154" s="134"/>
      <c r="AI154" s="134"/>
      <c r="AJ154" s="135"/>
      <c r="AK154" s="189"/>
      <c r="AL154" s="189"/>
      <c r="AM154" s="133" t="str">
        <f>IF([7]回答表!F18="簡易水道事業",IF([7]回答表!AD51="●",[7]回答表!B360,""),"")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IF([7]回答表!F18="下水道事業",IF([7]回答表!X51="●","●",""),"")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IF([7]回答表!F18="下水道事業",IF([7]回答表!X51="●",[7]回答表!B197,IF([7]回答表!AA51="●",[7]回答表!B275,"")),"")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IF([7]回答表!F18="下水道事業",IF([7]回答表!X51="●",[7]回答表!B256,IF([7]回答表!AA51="●",[7]回答表!B335,"")),"")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IF([7]回答表!F18="下水道事業",IF([7]回答表!X51="●",[7]回答表!N234,IF([7]回答表!AA51="●",[7]回答表!N314,"")),"")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IF([7]回答表!F18="下水道事業",IF([7]回答表!X51="●",[7]回答表!E256,IF([7]回答表!AA51="●",[7]回答表!E335,"")),"")</f>
        <v/>
      </c>
      <c r="BG169" s="151"/>
      <c r="BH169" s="151"/>
      <c r="BI169" s="151"/>
      <c r="BJ169" s="150" t="str">
        <f>IF([7]回答表!F18="下水道事業",IF([7]回答表!X51="●",[7]回答表!E257,IF([7]回答表!AA51="●",[7]回答表!E336,"")),"")</f>
        <v/>
      </c>
      <c r="BK169" s="151"/>
      <c r="BL169" s="151"/>
      <c r="BM169" s="151"/>
      <c r="BN169" s="150" t="str">
        <f>IF([7]回答表!F18="下水道事業",IF([7]回答表!X51="●",[7]回答表!E258,IF([7]回答表!AA51="●",[7]回答表!E337,"")),"")</f>
        <v/>
      </c>
      <c r="BO169" s="151"/>
      <c r="BP169" s="151"/>
      <c r="BQ169" s="152"/>
      <c r="BR169" s="112"/>
      <c r="BX169" s="234" t="str">
        <f>IF([7]回答表!AQ21="下水道事業",IF([7]回答表!BI54="○",[7]回答表!AM200,IF([7]回答表!BL54="○",[7]回答表!AM278,"")),"")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IF([7]回答表!F18="下水道事業",IF([7]回答表!X51="●",[7]回答表!Y236,IF([7]回答表!AA51="●",[7]回答表!Y316,"")),"")</f>
        <v/>
      </c>
      <c r="V174" s="83"/>
      <c r="W174" s="83"/>
      <c r="X174" s="83"/>
      <c r="Y174" s="83"/>
      <c r="Z174" s="83"/>
      <c r="AA174" s="83"/>
      <c r="AB174" s="153"/>
      <c r="AC174" s="82" t="str">
        <f>IF([7]回答表!F18="下水道事業",IF([7]回答表!X51="●",[7]回答表!Y237,IF([7]回答表!AA51="●",[7]回答表!Y317,"")),"")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IF([7]回答表!F18="下水道事業",IF([7]回答表!X51="●",[7]回答表!Y239,IF([7]回答表!AA51="●",[7]回答表!Y319,"")),"")</f>
        <v/>
      </c>
      <c r="V180" s="83"/>
      <c r="W180" s="83"/>
      <c r="X180" s="83"/>
      <c r="Y180" s="83"/>
      <c r="Z180" s="83"/>
      <c r="AA180" s="83"/>
      <c r="AB180" s="153"/>
      <c r="AC180" s="82" t="str">
        <f>IF([7]回答表!F18="下水道事業",IF([7]回答表!X51="●",[7]回答表!Y240,IF([7]回答表!AA51="●",[7]回答表!Y320,"")),"")</f>
        <v/>
      </c>
      <c r="AD180" s="83"/>
      <c r="AE180" s="83"/>
      <c r="AF180" s="83"/>
      <c r="AG180" s="83"/>
      <c r="AH180" s="83"/>
      <c r="AI180" s="83"/>
      <c r="AJ180" s="153"/>
      <c r="AK180" s="82" t="str">
        <f>IF([7]回答表!F18="下水道事業",IF([7]回答表!X51="●",[7]回答表!Y241,IF([7]回答表!AA51="●",[7]回答表!Y321,"")),"")</f>
        <v/>
      </c>
      <c r="AL180" s="83"/>
      <c r="AM180" s="83"/>
      <c r="AN180" s="83"/>
      <c r="AO180" s="83"/>
      <c r="AP180" s="83"/>
      <c r="AQ180" s="83"/>
      <c r="AR180" s="153"/>
      <c r="AS180" s="82" t="str">
        <f>IF([7]回答表!F18="下水道事業",IF([7]回答表!X51="●",[7]回答表!Y242,IF([7]回答表!AA51="●",[7]回答表!Y322,"")),"")</f>
        <v/>
      </c>
      <c r="AT180" s="83"/>
      <c r="AU180" s="83"/>
      <c r="AV180" s="83"/>
      <c r="AW180" s="83"/>
      <c r="AX180" s="83"/>
      <c r="AY180" s="83"/>
      <c r="AZ180" s="153"/>
      <c r="BA180" s="82" t="str">
        <f>IF([7]回答表!F18="下水道事業",IF([7]回答表!X51="●",[7]回答表!Y243,IF([7]回答表!AA51="●",[7]回答表!Y323,"")),"")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IF([7]回答表!F18="下水道事業",IF([7]回答表!AA51="●","●",""),"")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IF([7]回答表!F18="下水道事業",IF([7]回答表!X51="●",[7]回答表!N248,IF([7]回答表!AA51="●",[7]回答表!N328,"")),"")</f>
        <v/>
      </c>
      <c r="V186" s="83"/>
      <c r="W186" s="83"/>
      <c r="X186" s="83"/>
      <c r="Y186" s="83"/>
      <c r="Z186" s="83"/>
      <c r="AA186" s="83"/>
      <c r="AB186" s="153"/>
      <c r="AC186" s="82" t="str">
        <f>IF([7]回答表!F18="下水道事業",IF([7]回答表!X51="●",[7]回答表!N249,IF([7]回答表!AA51="●",[7]回答表!N329,"")),"")</f>
        <v/>
      </c>
      <c r="AD186" s="83"/>
      <c r="AE186" s="83"/>
      <c r="AF186" s="83"/>
      <c r="AG186" s="83"/>
      <c r="AH186" s="83"/>
      <c r="AI186" s="83"/>
      <c r="AJ186" s="153"/>
      <c r="AK186" s="82" t="str">
        <f>IF([7]回答表!F18="下水道事業",IF([7]回答表!X51="●",[7]回答表!N250,IF([7]回答表!AA51="●",[7]回答表!N330,"")),"")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IF([7]回答表!F18="下水道事業",IF([7]回答表!X51="●",[7]回答表!E265,IF([7]回答表!AA51="●",[7]回答表!E344,"")),"")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IF([7]回答表!F18="下水道事業",IF([7]回答表!X51="●",[7]回答表!B267,IF([7]回答表!AA51="●",[7]回答表!B346,"")),"")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IF([7]回答表!F18="下水道事業",IF([7]回答表!AD51="●","●",""),"")</f>
        <v/>
      </c>
      <c r="O198" s="131"/>
      <c r="P198" s="131"/>
      <c r="Q198" s="132"/>
      <c r="R198" s="119"/>
      <c r="S198" s="119"/>
      <c r="T198" s="119"/>
      <c r="U198" s="133" t="str">
        <f>IF([7]回答表!F18="下水道事業",IF([7]回答表!AD51="●",[7]回答表!B354,""),"")</f>
        <v/>
      </c>
      <c r="V198" s="134"/>
      <c r="W198" s="134"/>
      <c r="X198" s="134"/>
      <c r="Y198" s="134"/>
      <c r="Z198" s="134"/>
      <c r="AA198" s="134"/>
      <c r="AB198" s="134"/>
      <c r="AC198" s="134"/>
      <c r="AD198" s="134"/>
      <c r="AE198" s="134"/>
      <c r="AF198" s="134"/>
      <c r="AG198" s="134"/>
      <c r="AH198" s="134"/>
      <c r="AI198" s="134"/>
      <c r="AJ198" s="135"/>
      <c r="AK198" s="189"/>
      <c r="AL198" s="189"/>
      <c r="AM198" s="133" t="str">
        <f>IF([7]回答表!F18="下水道事業",IF([7]回答表!AD51="●",[7]回答表!B360,""),"")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IF([7]回答表!BD18="●",IF([7]回答表!X51="●","●",""),"")</f>
        <v/>
      </c>
      <c r="O210" s="131"/>
      <c r="P210" s="131"/>
      <c r="Q210" s="132"/>
      <c r="R210" s="119"/>
      <c r="S210" s="119"/>
      <c r="T210" s="119"/>
      <c r="U210" s="133" t="str">
        <f>IF([7]回答表!BD18="●",IF([7]回答表!X51="●",[7]回答表!B197,IF([7]回答表!AA51="●",[7]回答表!B275,"")),"")</f>
        <v/>
      </c>
      <c r="V210" s="134"/>
      <c r="W210" s="134"/>
      <c r="X210" s="134"/>
      <c r="Y210" s="134"/>
      <c r="Z210" s="134"/>
      <c r="AA210" s="134"/>
      <c r="AB210" s="134"/>
      <c r="AC210" s="134"/>
      <c r="AD210" s="134"/>
      <c r="AE210" s="134"/>
      <c r="AF210" s="134"/>
      <c r="AG210" s="134"/>
      <c r="AH210" s="134"/>
      <c r="AI210" s="134"/>
      <c r="AJ210" s="135"/>
      <c r="AK210" s="136"/>
      <c r="AL210" s="136"/>
      <c r="AM210" s="138" t="str">
        <f>IF([7]回答表!BD18="●",IF([7]回答表!X51="●",[7]回答表!B256,IF([7]回答表!AA51="●",[7]回答表!B335,"")),"")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IF([7]回答表!BD18="●",IF([7]回答表!X51="●",[7]回答表!E256,IF([7]回答表!AA51="●",[7]回答表!E335,"")),"")</f>
        <v/>
      </c>
      <c r="AN213" s="151"/>
      <c r="AO213" s="151"/>
      <c r="AP213" s="151"/>
      <c r="AQ213" s="150" t="str">
        <f>IF([7]回答表!BD18="●",IF([7]回答表!X51="●",[7]回答表!E257,IF([7]回答表!AA51="●",[7]回答表!E336,"")),"")</f>
        <v/>
      </c>
      <c r="AR213" s="151"/>
      <c r="AS213" s="151"/>
      <c r="AT213" s="151"/>
      <c r="AU213" s="150" t="str">
        <f>IF([7]回答表!BD18="●",IF([7]回答表!X51="●",[7]回答表!E258,IF([7]回答表!AA51="●",[7]回答表!E337,"")),"")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IF([7]回答表!BD18="●",IF([7]回答表!AA51="●","●",""),"")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IF([7]回答表!BD18="●",IF([7]回答表!X51="●",[7]回答表!E265,IF([7]回答表!AA51="●",[7]回答表!E344,"")),"")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IF([7]回答表!BD18="●",IF([7]回答表!X51="●",[7]回答表!B267,IF([7]回答表!AA51="●",[7]回答表!B346,"")),"")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IF([7]回答表!BD18="●",IF([7]回答表!AD51="●","●",""),"")</f>
        <v/>
      </c>
      <c r="O229" s="131"/>
      <c r="P229" s="131"/>
      <c r="Q229" s="132"/>
      <c r="R229" s="119"/>
      <c r="S229" s="119"/>
      <c r="T229" s="119"/>
      <c r="U229" s="133" t="str">
        <f>IF([7]回答表!BD18="●",IF([7]回答表!AD51="●",[7]回答表!B354,""),"")</f>
        <v/>
      </c>
      <c r="V229" s="134"/>
      <c r="W229" s="134"/>
      <c r="X229" s="134"/>
      <c r="Y229" s="134"/>
      <c r="Z229" s="134"/>
      <c r="AA229" s="134"/>
      <c r="AB229" s="134"/>
      <c r="AC229" s="134"/>
      <c r="AD229" s="134"/>
      <c r="AE229" s="134"/>
      <c r="AF229" s="134"/>
      <c r="AG229" s="134"/>
      <c r="AH229" s="134"/>
      <c r="AI229" s="134"/>
      <c r="AJ229" s="135"/>
      <c r="AK229" s="249"/>
      <c r="AL229" s="249"/>
      <c r="AM229" s="133" t="str">
        <f>IF([7]回答表!BD18="●",IF([7]回答表!AD51="●",[7]回答表!B360,""),"")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IF([7]回答表!X52="●","●","")</f>
        <v/>
      </c>
      <c r="O241" s="131"/>
      <c r="P241" s="131"/>
      <c r="Q241" s="132"/>
      <c r="R241" s="119"/>
      <c r="S241" s="119"/>
      <c r="T241" s="119"/>
      <c r="U241" s="133" t="str">
        <f>IF([7]回答表!X52="●",[7]回答表!B371,IF([7]回答表!AA52="●",[7]回答表!B396,""))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IF([7]回答表!X52="●",[7]回答表!U377,IF([7]回答表!AA52="●",[7]回答表!U402,""))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IF([7]回答表!X52="●",[7]回答表!G377,IF([7]回答表!AA52="●",[7]回答表!G402,""))</f>
        <v/>
      </c>
      <c r="AN244" s="83"/>
      <c r="AO244" s="83"/>
      <c r="AP244" s="83"/>
      <c r="AQ244" s="83"/>
      <c r="AR244" s="83"/>
      <c r="AS244" s="83"/>
      <c r="AT244" s="153"/>
      <c r="AU244" s="82" t="str">
        <f>IF([7]回答表!X52="●",[7]回答表!G378,IF([7]回答表!AA52="●",[7]回答表!G403,""))</f>
        <v/>
      </c>
      <c r="AV244" s="83"/>
      <c r="AW244" s="83"/>
      <c r="AX244" s="83"/>
      <c r="AY244" s="83"/>
      <c r="AZ244" s="83"/>
      <c r="BA244" s="83"/>
      <c r="BB244" s="153"/>
      <c r="BC244" s="120"/>
      <c r="BD244" s="109"/>
      <c r="BE244" s="109"/>
      <c r="BF244" s="150" t="str">
        <f>IF([7]回答表!X52="●",[7]回答表!X377,IF([7]回答表!AA52="●",[7]回答表!X402,""))</f>
        <v/>
      </c>
      <c r="BG244" s="151"/>
      <c r="BH244" s="151"/>
      <c r="BI244" s="151"/>
      <c r="BJ244" s="150" t="str">
        <f>IF([7]回答表!X52="●",[7]回答表!X378,IF([7]回答表!AA52="●",[7]回答表!X403,""))</f>
        <v/>
      </c>
      <c r="BK244" s="151"/>
      <c r="BL244" s="151"/>
      <c r="BM244" s="152"/>
      <c r="BN244" s="150" t="str">
        <f>IF([7]回答表!X52="●",[7]回答表!X379,IF([7]回答表!AA52="●",[7]回答表!X404,""))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IF([7]回答表!AA52="●","●","")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IF([7]回答表!X52="●",[7]回答表!E386,IF([7]回答表!AA52="●",[7]回答表!E407,""))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IF([7]回答表!X52="●",[7]回答表!B388,IF([7]回答表!AA52="●",[7]回答表!B409,""))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IF([7]回答表!AD52="●","●","")</f>
        <v/>
      </c>
      <c r="O260" s="131"/>
      <c r="P260" s="131"/>
      <c r="Q260" s="132"/>
      <c r="R260" s="119"/>
      <c r="S260" s="119"/>
      <c r="T260" s="119"/>
      <c r="U260" s="133" t="str">
        <f>IF([7]回答表!AD52="●",[7]回答表!B417,"")</f>
        <v/>
      </c>
      <c r="V260" s="134"/>
      <c r="W260" s="134"/>
      <c r="X260" s="134"/>
      <c r="Y260" s="134"/>
      <c r="Z260" s="134"/>
      <c r="AA260" s="134"/>
      <c r="AB260" s="134"/>
      <c r="AC260" s="134"/>
      <c r="AD260" s="134"/>
      <c r="AE260" s="134"/>
      <c r="AF260" s="134"/>
      <c r="AG260" s="134"/>
      <c r="AH260" s="134"/>
      <c r="AI260" s="134"/>
      <c r="AJ260" s="135"/>
      <c r="AK260" s="249"/>
      <c r="AL260" s="249"/>
      <c r="AM260" s="133" t="str">
        <f>IF([7]回答表!AD52="●",[7]回答表!B423,"")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IF([7]回答表!X53="●","●","")</f>
        <v/>
      </c>
      <c r="O272" s="131"/>
      <c r="P272" s="131"/>
      <c r="Q272" s="132"/>
      <c r="R272" s="119"/>
      <c r="S272" s="119"/>
      <c r="T272" s="119"/>
      <c r="U272" s="133" t="str">
        <f>IF([7]回答表!X53="●",[7]回答表!B434,IF([7]回答表!AA53="●",[7]回答表!B465,""))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IF([7]回答表!X53="●",[7]回答表!B440,"")</f>
        <v/>
      </c>
      <c r="AO272" s="262"/>
      <c r="AP272" s="262"/>
      <c r="AQ272" s="262"/>
      <c r="AR272" s="262"/>
      <c r="AS272" s="262"/>
      <c r="AT272" s="262"/>
      <c r="AU272" s="262"/>
      <c r="AV272" s="262"/>
      <c r="AW272" s="262"/>
      <c r="AX272" s="262"/>
      <c r="AY272" s="262"/>
      <c r="AZ272" s="262"/>
      <c r="BA272" s="262"/>
      <c r="BB272" s="263"/>
      <c r="BC272" s="120"/>
      <c r="BD272" s="109"/>
      <c r="BE272" s="109"/>
      <c r="BF272" s="138" t="str">
        <f>IF([7]回答表!X53="●",[7]回答表!B446,IF([7]回答表!AA53="●",[7]回答表!B471,""))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IF([7]回答表!X53="●",[7]回答表!E446,IF([7]回答表!AA53="●",[7]回答表!E471,""))</f>
        <v/>
      </c>
      <c r="BG275" s="151"/>
      <c r="BH275" s="151"/>
      <c r="BI275" s="151"/>
      <c r="BJ275" s="150" t="str">
        <f>IF([7]回答表!X53="●",[7]回答表!E447,IF([7]回答表!AA53="●",[7]回答表!E472,""))</f>
        <v/>
      </c>
      <c r="BK275" s="151"/>
      <c r="BL275" s="151"/>
      <c r="BM275" s="152"/>
      <c r="BN275" s="150" t="str">
        <f>IF([7]回答表!X53="●",[7]回答表!E448,IF([7]回答表!AA53="●",[7]回答表!E473,""))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IF([7]回答表!AA53="●","●","")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IF([7]回答表!X53="●",[7]回答表!E455,IF([7]回答表!AA53="●",[7]回答表!E476,""))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IF([7]回答表!X53="●",[7]回答表!B457,IF([7]回答表!AA53="●",[7]回答表!B478,""))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IF([7]回答表!AD53="●","●","")</f>
        <v/>
      </c>
      <c r="O291" s="131"/>
      <c r="P291" s="131"/>
      <c r="Q291" s="132"/>
      <c r="R291" s="119"/>
      <c r="S291" s="119"/>
      <c r="T291" s="119"/>
      <c r="U291" s="133" t="str">
        <f>IF([7]回答表!AD53="●",[7]回答表!B486,"")</f>
        <v/>
      </c>
      <c r="V291" s="134"/>
      <c r="W291" s="134"/>
      <c r="X291" s="134"/>
      <c r="Y291" s="134"/>
      <c r="Z291" s="134"/>
      <c r="AA291" s="134"/>
      <c r="AB291" s="134"/>
      <c r="AC291" s="134"/>
      <c r="AD291" s="134"/>
      <c r="AE291" s="134"/>
      <c r="AF291" s="134"/>
      <c r="AG291" s="134"/>
      <c r="AH291" s="134"/>
      <c r="AI291" s="134"/>
      <c r="AJ291" s="135"/>
      <c r="AK291" s="249"/>
      <c r="AL291" s="249"/>
      <c r="AM291" s="133" t="str">
        <f>IF([7]回答表!AD53="●",[7]回答表!B492,"")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IF([7]回答表!X54="●","●","")</f>
        <v/>
      </c>
      <c r="O303" s="131"/>
      <c r="P303" s="131"/>
      <c r="Q303" s="132"/>
      <c r="R303" s="119"/>
      <c r="S303" s="119"/>
      <c r="T303" s="119"/>
      <c r="U303" s="133" t="str">
        <f>IF([7]回答表!X54="●",[7]回答表!B503,IF([7]回答表!AA54="●",[7]回答表!B526,""))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IF([7]回答表!X54="●",[7]回答表!BC510,IF([7]回答表!AA54="●",[7]回答表!BC533,""))</f>
        <v/>
      </c>
      <c r="AR303" s="271"/>
      <c r="AS303" s="271"/>
      <c r="AT303" s="271"/>
      <c r="AU303" s="272" t="s">
        <v>74</v>
      </c>
      <c r="AV303" s="273"/>
      <c r="AW303" s="273"/>
      <c r="AX303" s="274"/>
      <c r="AY303" s="271" t="str">
        <f>IF([7]回答表!X54="●",[7]回答表!BC515,IF([7]回答表!AA54="●",[7]回答表!BC538,""))</f>
        <v/>
      </c>
      <c r="AZ303" s="271"/>
      <c r="BA303" s="271"/>
      <c r="BB303" s="271"/>
      <c r="BC303" s="120"/>
      <c r="BD303" s="109"/>
      <c r="BE303" s="109"/>
      <c r="BF303" s="138" t="str">
        <f>IF([7]回答表!X54="●",[7]回答表!S509,IF([7]回答表!AA54="●",[7]回答表!S532,""))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IF([7]回答表!X54="●",[7]回答表!BC511,IF([7]回答表!AA54="●",[7]回答表!BC534,""))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IF([7]回答表!X54="●",[7]回答表!V509,IF([7]回答表!AA54="●",[7]回答表!V532,""))</f>
        <v/>
      </c>
      <c r="BG306" s="151"/>
      <c r="BH306" s="151"/>
      <c r="BI306" s="151"/>
      <c r="BJ306" s="150" t="str">
        <f>IF([7]回答表!X54="●",[7]回答表!V510,IF([7]回答表!AA54="●",[7]回答表!V533,""))</f>
        <v/>
      </c>
      <c r="BK306" s="151"/>
      <c r="BL306" s="151"/>
      <c r="BM306" s="152"/>
      <c r="BN306" s="150" t="str">
        <f>IF([7]回答表!X54="●",[7]回答表!V511,IF([7]回答表!AA54="●",[7]回答表!V534,""))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IF([7]回答表!X54="●",[7]回答表!BC512,IF([7]回答表!AA54="●",[7]回答表!BC535,""))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IF([7]回答表!X54="●",[7]回答表!BC516,IF([7]回答表!AA54="●",[7]回答表!BC539,""))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IF([7]回答表!AA54="●","●","")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IF([7]回答表!X54="●",[7]回答表!BC513,IF([7]回答表!AA54="●",[7]回答表!BC536,""))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IF([7]回答表!X54="●",[7]回答表!BC514,IF([7]回答表!AA54="●",[7]回答表!BC537,""))</f>
        <v/>
      </c>
      <c r="AR311" s="271"/>
      <c r="AS311" s="271"/>
      <c r="AT311" s="271"/>
      <c r="AU311" s="222" t="s">
        <v>80</v>
      </c>
      <c r="AV311" s="223"/>
      <c r="AW311" s="223"/>
      <c r="AX311" s="224"/>
      <c r="AY311" s="281" t="str">
        <f>IF([7]回答表!X54="●",[7]回答表!BC517,IF([7]回答表!AA54="●",[7]回答表!BC540,""))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IF([7]回答表!X54="●",[7]回答表!E516,IF([7]回答表!AA54="●",[7]回答表!E538,""))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IF([7]回答表!X54="●",[7]回答表!B518,IF([7]回答表!AA54="●",[7]回答表!B540,""))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IF([7]回答表!AD54="●","●","")</f>
        <v/>
      </c>
      <c r="O322" s="131"/>
      <c r="P322" s="131"/>
      <c r="Q322" s="132"/>
      <c r="R322" s="119"/>
      <c r="S322" s="119"/>
      <c r="T322" s="119"/>
      <c r="U322" s="133" t="str">
        <f>IF([7]回答表!AD54="●",[7]回答表!B548,"")</f>
        <v/>
      </c>
      <c r="V322" s="134"/>
      <c r="W322" s="134"/>
      <c r="X322" s="134"/>
      <c r="Y322" s="134"/>
      <c r="Z322" s="134"/>
      <c r="AA322" s="134"/>
      <c r="AB322" s="134"/>
      <c r="AC322" s="134"/>
      <c r="AD322" s="134"/>
      <c r="AE322" s="134"/>
      <c r="AF322" s="134"/>
      <c r="AG322" s="134"/>
      <c r="AH322" s="134"/>
      <c r="AI322" s="134"/>
      <c r="AJ322" s="135"/>
      <c r="AK322" s="189"/>
      <c r="AL322" s="189"/>
      <c r="AM322" s="133" t="str">
        <f>IF([7]回答表!AD54="●",[7]回答表!B554,"")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IF([7]回答表!X55="●","●","")</f>
        <v/>
      </c>
      <c r="O333" s="131"/>
      <c r="P333" s="131"/>
      <c r="Q333" s="132"/>
      <c r="R333" s="119"/>
      <c r="S333" s="119"/>
      <c r="T333" s="119"/>
      <c r="U333" s="133" t="str">
        <f>IF([7]回答表!X55="●",[7]回答表!B565,IF([7]回答表!AA55="●",[7]回答表!B590,""))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IF([7]回答表!X55="●",[7]回答表!B575,IF([7]回答表!AA55="●",[7]回答表!B600,""))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IF([7]回答表!X55="●",[7]回答表!G571,IF([7]回答表!AA55="●",[7]回答表!G596,""))</f>
        <v/>
      </c>
      <c r="AN335" s="83"/>
      <c r="AO335" s="83"/>
      <c r="AP335" s="83"/>
      <c r="AQ335" s="83"/>
      <c r="AR335" s="83"/>
      <c r="AS335" s="83"/>
      <c r="AT335" s="153"/>
      <c r="AU335" s="82" t="str">
        <f>IF([7]回答表!X55="●",[7]回答表!G572,IF([7]回答表!AA55="●",[7]回答表!G597,""))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IF([7]回答表!X55="●",[7]回答表!E575,IF([7]回答表!AA55="●",[7]回答表!E600,""))</f>
        <v/>
      </c>
      <c r="BG336" s="151"/>
      <c r="BH336" s="151"/>
      <c r="BI336" s="151"/>
      <c r="BJ336" s="150" t="str">
        <f>IF([7]回答表!X55="●",[7]回答表!E576,IF([7]回答表!AA55="●",[7]回答表!E601,""))</f>
        <v/>
      </c>
      <c r="BK336" s="151"/>
      <c r="BL336" s="151"/>
      <c r="BM336" s="152"/>
      <c r="BN336" s="150" t="str">
        <f>IF([7]回答表!X55="●",[7]回答表!E577,IF([7]回答表!AA55="●",[7]回答表!E602,""))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IF([7]回答表!AA55="●","●","")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IF([7]回答表!X55="●",[7]回答表!E580,IF([7]回答表!AA55="●",[7]回答表!E605,""))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IF([7]回答表!X55="●",[7]回答表!B582,IF([7]回答表!AA55="●",[7]回答表!B607,""))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IF([7]回答表!AD55="●","●","")</f>
        <v/>
      </c>
      <c r="O352" s="131"/>
      <c r="P352" s="131"/>
      <c r="Q352" s="132"/>
      <c r="R352" s="119"/>
      <c r="S352" s="119"/>
      <c r="T352" s="119"/>
      <c r="U352" s="133" t="str">
        <f>IF([7]回答表!AD55="●",[7]回答表!B615,"")</f>
        <v/>
      </c>
      <c r="V352" s="134"/>
      <c r="W352" s="134"/>
      <c r="X352" s="134"/>
      <c r="Y352" s="134"/>
      <c r="Z352" s="134"/>
      <c r="AA352" s="134"/>
      <c r="AB352" s="134"/>
      <c r="AC352" s="134"/>
      <c r="AD352" s="134"/>
      <c r="AE352" s="134"/>
      <c r="AF352" s="134"/>
      <c r="AG352" s="134"/>
      <c r="AH352" s="134"/>
      <c r="AI352" s="134"/>
      <c r="AJ352" s="135"/>
      <c r="AK352" s="136"/>
      <c r="AL352" s="136"/>
      <c r="AM352" s="133" t="str">
        <f>IF([7]回答表!AD55="●",[7]回答表!B621,"")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IF([7]回答表!R56="●",[7]回答表!B634,"")</f>
        <v>多様化する住民のニーズ及び、民間事業所では受け入れ難いケースを、迅速かつ公平な立場でサービス提供を行う事ができるのも、市直営施設の強みと考えている。そのため、現行の経営体制や手法を今後も継続していく予定。
しかし、慢性的な介護職の不足等を鑑みれば、指定管理制度の導入や業務の一部を民間委託するなどの抜本的改革も、今後は必要になってくると思われる。</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3" priority="2">
      <formula>$BB$25="○"</formula>
    </cfRule>
  </conditionalFormatting>
  <conditionalFormatting sqref="BD28:BD30">
    <cfRule type="expression" dxfId="12" priority="1">
      <formula>$BB$25="○"</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AAC28-AD29-41D8-969C-45394768C3E3}">
  <dimension ref="A1:CN384"/>
  <sheetViews>
    <sheetView workbookViewId="0">
      <selection sqref="A1:XFD1048576"/>
    </sheetView>
  </sheetViews>
  <sheetFormatPr defaultColWidth="2.875" defaultRowHeight="12.6" customHeight="1"/>
  <cols>
    <col min="1" max="25" width="2.375" customWidth="1"/>
    <col min="26" max="26" width="2.125" customWidth="1"/>
    <col min="27" max="27" width="2.375" hidden="1" customWidth="1"/>
    <col min="28" max="28" width="4.625" customWidth="1"/>
    <col min="29" max="34" width="2.375" customWidth="1"/>
    <col min="35" max="35" width="0.125" customWidth="1"/>
    <col min="36" max="36" width="4.375" customWidth="1"/>
    <col min="37" max="37" width="4.625" customWidth="1"/>
    <col min="38" max="71" width="2.37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IF(COUNTIF([8]回答表!K16,"*")&gt;0,[8]回答表!K16,"")</f>
        <v>横手市</v>
      </c>
      <c r="D11" s="8"/>
      <c r="E11" s="8"/>
      <c r="F11" s="8"/>
      <c r="G11" s="8"/>
      <c r="H11" s="8"/>
      <c r="I11" s="8"/>
      <c r="J11" s="8"/>
      <c r="K11" s="8"/>
      <c r="L11" s="8"/>
      <c r="M11" s="8"/>
      <c r="N11" s="8"/>
      <c r="O11" s="8"/>
      <c r="P11" s="8"/>
      <c r="Q11" s="8"/>
      <c r="R11" s="8"/>
      <c r="S11" s="8"/>
      <c r="T11" s="8"/>
      <c r="U11" s="22" t="str">
        <f>IF(COUNTIF([8]回答表!F18,"*")&gt;0,[8]回答表!F18,"")</f>
        <v>介護サービス事業</v>
      </c>
      <c r="V11" s="23"/>
      <c r="W11" s="23"/>
      <c r="X11" s="23"/>
      <c r="Y11" s="23"/>
      <c r="Z11" s="23"/>
      <c r="AA11" s="23"/>
      <c r="AB11" s="23"/>
      <c r="AC11" s="23"/>
      <c r="AD11" s="23"/>
      <c r="AE11" s="23"/>
      <c r="AF11" s="10"/>
      <c r="AG11" s="10"/>
      <c r="AH11" s="10"/>
      <c r="AI11" s="10"/>
      <c r="AJ11" s="10"/>
      <c r="AK11" s="10"/>
      <c r="AL11" s="10"/>
      <c r="AM11" s="10"/>
      <c r="AN11" s="11"/>
      <c r="AO11" s="24" t="str">
        <f>IF(COUNTIF([8]回答表!W18,"*")&gt;0,[8]回答表!W18,"")</f>
        <v>介護老人保健施設</v>
      </c>
      <c r="AP11" s="10"/>
      <c r="AQ11" s="10"/>
      <c r="AR11" s="10"/>
      <c r="AS11" s="10"/>
      <c r="AT11" s="10"/>
      <c r="AU11" s="10"/>
      <c r="AV11" s="10"/>
      <c r="AW11" s="10"/>
      <c r="AX11" s="10"/>
      <c r="AY11" s="10"/>
      <c r="AZ11" s="10"/>
      <c r="BA11" s="10"/>
      <c r="BB11" s="10"/>
      <c r="BC11" s="10"/>
      <c r="BD11" s="10"/>
      <c r="BE11" s="10"/>
      <c r="BF11" s="11"/>
      <c r="BG11" s="21" t="str">
        <f>IF(COUNTIF([8]回答表!F20,"*")&gt;0,[8]回答表!F20,"")</f>
        <v>―</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IF([8]回答表!R49="●","●","")</f>
        <v/>
      </c>
      <c r="E24" s="80"/>
      <c r="F24" s="80"/>
      <c r="G24" s="80"/>
      <c r="H24" s="80"/>
      <c r="I24" s="80"/>
      <c r="J24" s="81"/>
      <c r="K24" s="79" t="str">
        <f>IF([8]回答表!R50="●","●","")</f>
        <v/>
      </c>
      <c r="L24" s="80"/>
      <c r="M24" s="80"/>
      <c r="N24" s="80"/>
      <c r="O24" s="80"/>
      <c r="P24" s="80"/>
      <c r="Q24" s="81"/>
      <c r="R24" s="79" t="str">
        <f>IF([8]回答表!R51="●","●","")</f>
        <v/>
      </c>
      <c r="S24" s="80"/>
      <c r="T24" s="80"/>
      <c r="U24" s="80"/>
      <c r="V24" s="80"/>
      <c r="W24" s="80"/>
      <c r="X24" s="81"/>
      <c r="Y24" s="79" t="str">
        <f>IF([8]回答表!R52="●","●","")</f>
        <v/>
      </c>
      <c r="Z24" s="80"/>
      <c r="AA24" s="80"/>
      <c r="AB24" s="80"/>
      <c r="AC24" s="80"/>
      <c r="AD24" s="80"/>
      <c r="AE24" s="81"/>
      <c r="AF24" s="79" t="str">
        <f>IF([8]回答表!R53="●","●","")</f>
        <v/>
      </c>
      <c r="AG24" s="80"/>
      <c r="AH24" s="80"/>
      <c r="AI24" s="80"/>
      <c r="AJ24" s="80"/>
      <c r="AK24" s="80"/>
      <c r="AL24" s="81"/>
      <c r="AM24" s="79" t="str">
        <f>IF([8]回答表!R54="●","●","")</f>
        <v/>
      </c>
      <c r="AN24" s="80"/>
      <c r="AO24" s="80"/>
      <c r="AP24" s="80"/>
      <c r="AQ24" s="80"/>
      <c r="AR24" s="80"/>
      <c r="AS24" s="81"/>
      <c r="AT24" s="79" t="str">
        <f>IF([8]回答表!R55="●","●","")</f>
        <v/>
      </c>
      <c r="AU24" s="80"/>
      <c r="AV24" s="80"/>
      <c r="AW24" s="80"/>
      <c r="AX24" s="80"/>
      <c r="AY24" s="80"/>
      <c r="AZ24" s="81"/>
      <c r="BA24" s="68"/>
      <c r="BB24" s="82" t="str">
        <f>IF([8]回答表!R56="●","●","")</f>
        <v>●</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IF([8]回答表!X49="●","●","")</f>
        <v/>
      </c>
      <c r="O36" s="131"/>
      <c r="P36" s="131"/>
      <c r="Q36" s="132"/>
      <c r="R36" s="119"/>
      <c r="S36" s="119"/>
      <c r="T36" s="119"/>
      <c r="U36" s="133" t="str">
        <f>IF([8]回答表!X49="●",[8]回答表!B67,IF([8]回答表!AA49="●",[8]回答表!B95,""))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IF([8]回答表!X49="●",[8]回答表!S73,IF([8]回答表!AA49="●",[8]回答表!S101,""))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IF([8]回答表!X49="●",[8]回答表!G73,IF([8]回答表!AA49="●",[8]回答表!G101,""))</f>
        <v/>
      </c>
      <c r="AN38" s="83"/>
      <c r="AO38" s="83"/>
      <c r="AP38" s="83"/>
      <c r="AQ38" s="83"/>
      <c r="AR38" s="83"/>
      <c r="AS38" s="83"/>
      <c r="AT38" s="153"/>
      <c r="AU38" s="82" t="str">
        <f>IF([8]回答表!X49="●",[8]回答表!G74,IF([8]回答表!AA49="●",[8]回答表!G102,""))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IF([8]回答表!X49="●",[8]回答表!V73,IF([8]回答表!AA49="●",[8]回答表!V101,""))</f>
        <v/>
      </c>
      <c r="BG39" s="16"/>
      <c r="BH39" s="16"/>
      <c r="BI39" s="17"/>
      <c r="BJ39" s="150" t="str">
        <f>IF([8]回答表!X49="●",[8]回答表!V74,IF([8]回答表!AA49="●",[8]回答表!V102,""))</f>
        <v/>
      </c>
      <c r="BK39" s="16"/>
      <c r="BL39" s="16"/>
      <c r="BM39" s="17"/>
      <c r="BN39" s="150" t="str">
        <f>IF([8]回答表!X49="●",[8]回答表!V75,IF([8]回答表!AA49="●",[8]回答表!V103,""))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IF([8]回答表!X49="●",[8]回答表!O79,IF([8]回答表!AA49="●",[8]回答表!O107,""))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IF([8]回答表!X49="●",[8]回答表!O80,IF([8]回答表!AA49="●",[8]回答表!O108,""))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IF([8]回答表!AA49="●","●","")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IF([8]回答表!X49="●",[8]回答表!O81,IF([8]回答表!AA49="●",[8]回答表!O109,""))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IF([8]回答表!X49="●",[8]回答表!O82,IF([8]回答表!AA49="●",[8]回答表!O110,""))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IF([8]回答表!X49="●",[8]回答表!AG79,IF([8]回答表!AA49="●",[8]回答表!AG107,""))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IF([8]回答表!X49="●",[8]回答表!AG80,IF([8]回答表!AA49="●",[8]回答表!AG108,""))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IF([8]回答表!X49="●",[8]回答表!E85,IF([8]回答表!AA49="●",[8]回答表!E113,""))</f>
        <v/>
      </c>
      <c r="V50" s="182"/>
      <c r="W50" s="182"/>
      <c r="X50" s="182"/>
      <c r="Y50" s="182"/>
      <c r="Z50" s="182"/>
      <c r="AA50" s="182"/>
      <c r="AB50" s="182"/>
      <c r="AC50" s="182"/>
      <c r="AD50" s="182"/>
      <c r="AE50" s="183" t="s">
        <v>33</v>
      </c>
      <c r="AF50" s="183"/>
      <c r="AG50" s="183"/>
      <c r="AH50" s="183"/>
      <c r="AI50" s="183"/>
      <c r="AJ50" s="184"/>
      <c r="AK50" s="136"/>
      <c r="AL50" s="136"/>
      <c r="AM50" s="133" t="str">
        <f>IF([8]回答表!X49="●",[8]回答表!B87,IF([8]回答表!AA49="●",[8]回答表!B115,""))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IF([8]回答表!AD49="●","●","")</f>
        <v/>
      </c>
      <c r="O57" s="131"/>
      <c r="P57" s="131"/>
      <c r="Q57" s="132"/>
      <c r="R57" s="119"/>
      <c r="S57" s="119"/>
      <c r="T57" s="119"/>
      <c r="U57" s="133" t="str">
        <f>IF([8]回答表!AD49="●",[8]回答表!B123,"")</f>
        <v/>
      </c>
      <c r="V57" s="134"/>
      <c r="W57" s="134"/>
      <c r="X57" s="134"/>
      <c r="Y57" s="134"/>
      <c r="Z57" s="134"/>
      <c r="AA57" s="134"/>
      <c r="AB57" s="134"/>
      <c r="AC57" s="134"/>
      <c r="AD57" s="134"/>
      <c r="AE57" s="134"/>
      <c r="AF57" s="134"/>
      <c r="AG57" s="134"/>
      <c r="AH57" s="134"/>
      <c r="AI57" s="134"/>
      <c r="AJ57" s="135"/>
      <c r="AK57" s="189"/>
      <c r="AL57" s="189"/>
      <c r="AM57" s="133" t="str">
        <f>IF([8]回答表!AD49="●",[8]回答表!B128,"")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IF([8]回答表!X50="●","●","")</f>
        <v/>
      </c>
      <c r="O68" s="131"/>
      <c r="P68" s="131"/>
      <c r="Q68" s="132"/>
      <c r="R68" s="119"/>
      <c r="S68" s="119"/>
      <c r="T68" s="119"/>
      <c r="U68" s="133" t="str">
        <f>IF([8]回答表!X50="●",[8]回答表!B138,IF([8]回答表!AA50="●",[8]回答表!B159,""))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IF([8]回答表!X50="●",[8]回答表!S144,IF([8]回答表!AA50="●",[8]回答表!S165,""))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IF([8]回答表!X50="●",[8]回答表!J144,IF([8]回答表!AA50="●",[8]回答表!J165,""))</f>
        <v/>
      </c>
      <c r="AN71" s="83"/>
      <c r="AO71" s="83"/>
      <c r="AP71" s="83"/>
      <c r="AQ71" s="83"/>
      <c r="AR71" s="83"/>
      <c r="AS71" s="83"/>
      <c r="AT71" s="153"/>
      <c r="AU71" s="82" t="str">
        <f>IF([8]回答表!X50="●",[8]回答表!J145,IF([8]回答表!AA50="●",[8]回答表!J166,""))</f>
        <v/>
      </c>
      <c r="AV71" s="83"/>
      <c r="AW71" s="83"/>
      <c r="AX71" s="83"/>
      <c r="AY71" s="83"/>
      <c r="AZ71" s="83"/>
      <c r="BA71" s="83"/>
      <c r="BB71" s="153"/>
      <c r="BC71" s="120"/>
      <c r="BD71" s="109"/>
      <c r="BE71" s="109"/>
      <c r="BF71" s="150" t="str">
        <f>IF([8]回答表!X50="●",[8]回答表!V144,IF([8]回答表!AA50="●",[8]回答表!V165,""))</f>
        <v/>
      </c>
      <c r="BG71" s="151"/>
      <c r="BH71" s="151"/>
      <c r="BI71" s="151"/>
      <c r="BJ71" s="150" t="str">
        <f>IF([8]回答表!X50="●",[8]回答表!V145,IF([8]回答表!AA50="●",[8]回答表!V166,""))</f>
        <v/>
      </c>
      <c r="BK71" s="151"/>
      <c r="BL71" s="151"/>
      <c r="BM71" s="151"/>
      <c r="BN71" s="150" t="str">
        <f>IF([8]回答表!X50="●",[8]回答表!V146,IF([8]回答表!AA50="●",[8]回答表!V167,""))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IF([8]回答表!AA50="●","●","")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IF([8]回答表!X50="●",[8]回答表!E149,IF([8]回答表!AA50="●",[8]回答表!E170,""))</f>
        <v/>
      </c>
      <c r="V80" s="182"/>
      <c r="W80" s="182"/>
      <c r="X80" s="182"/>
      <c r="Y80" s="182"/>
      <c r="Z80" s="182"/>
      <c r="AA80" s="182"/>
      <c r="AB80" s="182"/>
      <c r="AC80" s="182"/>
      <c r="AD80" s="182"/>
      <c r="AE80" s="183" t="s">
        <v>33</v>
      </c>
      <c r="AF80" s="183"/>
      <c r="AG80" s="183"/>
      <c r="AH80" s="183"/>
      <c r="AI80" s="183"/>
      <c r="AJ80" s="184"/>
      <c r="AK80" s="136"/>
      <c r="AL80" s="136"/>
      <c r="AM80" s="133" t="str">
        <f>IF([8]回答表!X50="●",[8]回答表!B151,IF([8]回答表!AA50="●",[8]回答表!B172,""))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IF([8]回答表!AD50="●","●","")</f>
        <v/>
      </c>
      <c r="O87" s="131"/>
      <c r="P87" s="131"/>
      <c r="Q87" s="132"/>
      <c r="R87" s="119"/>
      <c r="S87" s="119"/>
      <c r="T87" s="119"/>
      <c r="U87" s="133" t="str">
        <f>IF([8]回答表!AD50="●",[8]回答表!B180,"")</f>
        <v/>
      </c>
      <c r="V87" s="134"/>
      <c r="W87" s="134"/>
      <c r="X87" s="134"/>
      <c r="Y87" s="134"/>
      <c r="Z87" s="134"/>
      <c r="AA87" s="134"/>
      <c r="AB87" s="134"/>
      <c r="AC87" s="134"/>
      <c r="AD87" s="134"/>
      <c r="AE87" s="134"/>
      <c r="AF87" s="134"/>
      <c r="AG87" s="134"/>
      <c r="AH87" s="134"/>
      <c r="AI87" s="134"/>
      <c r="AJ87" s="135"/>
      <c r="AK87" s="189"/>
      <c r="AL87" s="189"/>
      <c r="AM87" s="133" t="str">
        <f>IF([8]回答表!AD50="●",[8]回答表!B186,"")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IF([8]回答表!F18="水道事業",IF([8]回答表!X51="●","●",""),"")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IF([8]回答表!F18="水道事業",IF([8]回答表!X51="●",[8]回答表!B197,IF([8]回答表!AA51="●",[8]回答表!B275,"")),"")</f>
        <v/>
      </c>
      <c r="AN99" s="134"/>
      <c r="AO99" s="134"/>
      <c r="AP99" s="134"/>
      <c r="AQ99" s="134"/>
      <c r="AR99" s="134"/>
      <c r="AS99" s="134"/>
      <c r="AT99" s="134"/>
      <c r="AU99" s="134"/>
      <c r="AV99" s="134"/>
      <c r="AW99" s="134"/>
      <c r="AX99" s="134"/>
      <c r="AY99" s="134"/>
      <c r="AZ99" s="134"/>
      <c r="BA99" s="134"/>
      <c r="BB99" s="134"/>
      <c r="BC99" s="135"/>
      <c r="BD99" s="109"/>
      <c r="BE99" s="109"/>
      <c r="BF99" s="138" t="str">
        <f>IF([8]回答表!F18="水道事業",IF([8]回答表!X51="●",[8]回答表!B256,IF([8]回答表!AA51="●",[8]回答表!B335,"")),"")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IF([8]回答表!F18="水道事業",IF([8]回答表!X51="●",[8]回答表!J205,IF([8]回答表!AA51="●",[8]回答表!J283,"")),"")</f>
        <v/>
      </c>
      <c r="V101" s="83"/>
      <c r="W101" s="83"/>
      <c r="X101" s="83"/>
      <c r="Y101" s="83"/>
      <c r="Z101" s="83"/>
      <c r="AA101" s="83"/>
      <c r="AB101" s="153"/>
      <c r="AC101" s="82" t="str">
        <f>IF([8]回答表!F18="水道事業",IF([8]回答表!X51="●",[8]回答表!J210,IF([8]回答表!AA51="●",[8]回答表!J290,"")),"")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IF([8]回答表!F18="水道事業",IF([8]回答表!X51="●",[8]回答表!E256,IF([8]回答表!AA51="●",[8]回答表!E335,"")),"")</f>
        <v/>
      </c>
      <c r="BG102" s="151"/>
      <c r="BH102" s="151"/>
      <c r="BI102" s="151"/>
      <c r="BJ102" s="150" t="str">
        <f>IF([8]回答表!F18="水道事業",IF([8]回答表!X51="●",[8]回答表!E257,IF([8]回答表!AA51="●",[8]回答表!E336,"")),"")</f>
        <v/>
      </c>
      <c r="BK102" s="151"/>
      <c r="BL102" s="151"/>
      <c r="BM102" s="151"/>
      <c r="BN102" s="150" t="str">
        <f>IF([8]回答表!F18="水道事業",IF([8]回答表!X51="●",[8]回答表!E258,IF([8]回答表!AA51="●",[8]回答表!E337,"")),"")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IF([8]回答表!F18="水道事業",IF([8]回答表!AA51="●","●",""),"")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IF([8]回答表!F18="水道事業",IF([8]回答表!X51="●",[8]回答表!J213,IF([8]回答表!AA51="●",[8]回答表!J293,"")),"")</f>
        <v/>
      </c>
      <c r="V106" s="83"/>
      <c r="W106" s="83"/>
      <c r="X106" s="83"/>
      <c r="Y106" s="83"/>
      <c r="Z106" s="83"/>
      <c r="AA106" s="83"/>
      <c r="AB106" s="153"/>
      <c r="AC106" s="82" t="str">
        <f>IF([8]回答表!F18="水道事業",IF([8]回答表!X51="●",[8]回答表!J217,IF([8]回答表!AA51="●",[8]回答表!J297,"")),"")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IF([8]回答表!F18="水道事業",IF([8]回答表!X51="●",[8]回答表!E265,IF([8]回答表!AA51="●",[8]回答表!E344,"")),"")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IF([8]回答表!F18="水道事業",IF([8]回答表!X51="●",[8]回答表!B267,IF([8]回答表!AA51="●",[8]回答表!B346,"")),"")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IF([8]回答表!F18="水道事業",IF([8]回答表!AD51="●","●",""),"")</f>
        <v/>
      </c>
      <c r="O118" s="131"/>
      <c r="P118" s="131"/>
      <c r="Q118" s="132"/>
      <c r="R118" s="119"/>
      <c r="S118" s="119"/>
      <c r="T118" s="119"/>
      <c r="U118" s="133" t="str">
        <f>IF([8]回答表!F18="水道事業",IF([8]回答表!AD51="●",[8]回答表!B354,""),"")</f>
        <v/>
      </c>
      <c r="V118" s="134"/>
      <c r="W118" s="134"/>
      <c r="X118" s="134"/>
      <c r="Y118" s="134"/>
      <c r="Z118" s="134"/>
      <c r="AA118" s="134"/>
      <c r="AB118" s="134"/>
      <c r="AC118" s="134"/>
      <c r="AD118" s="134"/>
      <c r="AE118" s="134"/>
      <c r="AF118" s="134"/>
      <c r="AG118" s="134"/>
      <c r="AH118" s="134"/>
      <c r="AI118" s="134"/>
      <c r="AJ118" s="135"/>
      <c r="AK118" s="189"/>
      <c r="AL118" s="189"/>
      <c r="AM118" s="133" t="str">
        <f>IF([8]回答表!F18="水道事業",IF([8]回答表!AD51="●",[8]回答表!B360,""),"")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IF([8]回答表!F18="簡易水道事業",IF([8]回答表!X51="●",[8]回答表!B197,IF([8]回答表!AA51="●",[8]回答表!B275,"")),"")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IF([8]回答表!F18="簡易水道事業",IF([8]回答表!X51="●",[8]回答表!B256,IF([8]回答表!AA51="●",[8]回答表!B335,"")),"")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IF([8]回答表!F18="簡易水道事業",IF([8]回答表!X51="●","●",""),"")</f>
        <v/>
      </c>
      <c r="O132" s="131"/>
      <c r="P132" s="131"/>
      <c r="Q132" s="132"/>
      <c r="R132" s="119"/>
      <c r="S132" s="119"/>
      <c r="T132" s="119"/>
      <c r="U132" s="82" t="str">
        <f>IF([8]回答表!F18="簡易水道事業",IF([8]回答表!X51="●",[8]回答表!S224,IF([8]回答表!AA51="●",[8]回答表!S304,"")),"")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IF([8]回答表!F18="簡易水道事業",IF([8]回答表!X51="●",[8]回答表!E256,IF([8]回答表!AA51="●",[8]回答表!E335,"")),"")</f>
        <v/>
      </c>
      <c r="BG133" s="151"/>
      <c r="BH133" s="151"/>
      <c r="BI133" s="151"/>
      <c r="BJ133" s="150" t="str">
        <f>IF([8]回答表!F18="簡易水道事業",IF([8]回答表!X51="●",[8]回答表!E257,IF([8]回答表!AA51="●",[8]回答表!E336,"")),"")</f>
        <v/>
      </c>
      <c r="BK133" s="151"/>
      <c r="BL133" s="151"/>
      <c r="BM133" s="151"/>
      <c r="BN133" s="150" t="str">
        <f>IF([8]回答表!F18="簡易水道事業",IF([8]回答表!X51="●",[8]回答表!E258,IF([8]回答表!AA51="●",[8]回答表!E337,"")),"")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IF([8]回答表!F18="簡易水道事業",IF([8]回答表!X51="●",[8]回答表!S225,IF([8]回答表!AA51="●",[8]回答表!S305,"")),"")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IF([8]回答表!F18="簡易水道事業",IF([8]回答表!AA51="●","●",""),"")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IF([8]回答表!F18="簡易水道事業",IF([8]回答表!X51="●",[8]回答表!S226,IF([8]回答表!AA51="●",[8]回答表!S306,"")),"")</f>
        <v/>
      </c>
      <c r="V142" s="83"/>
      <c r="W142" s="83"/>
      <c r="X142" s="83"/>
      <c r="Y142" s="83"/>
      <c r="Z142" s="83"/>
      <c r="AA142" s="83"/>
      <c r="AB142" s="83"/>
      <c r="AC142" s="83"/>
      <c r="AD142" s="83"/>
      <c r="AE142" s="83"/>
      <c r="AF142" s="83"/>
      <c r="AG142" s="83"/>
      <c r="AH142" s="83"/>
      <c r="AI142" s="83"/>
      <c r="AJ142" s="153"/>
      <c r="AK142" s="68"/>
      <c r="AL142" s="68"/>
      <c r="AM142" s="231" t="str">
        <f>IF([8]回答表!F18="簡易水道事業",IF([8]回答表!X51="●",[8]回答表!Y228,IF([8]回答表!AA51="●",[8]回答表!Y308,"")),"")</f>
        <v/>
      </c>
      <c r="AN142" s="231"/>
      <c r="AO142" s="231"/>
      <c r="AP142" s="231"/>
      <c r="AQ142" s="231"/>
      <c r="AR142" s="231"/>
      <c r="AS142" s="231" t="str">
        <f>IF([8]回答表!F18="簡易水道事業",IF([8]回答表!X51="●",[8]回答表!Y229,IF([8]回答表!AA51="●",[8]回答表!Y309,"")),"")</f>
        <v/>
      </c>
      <c r="AT142" s="231"/>
      <c r="AU142" s="231"/>
      <c r="AV142" s="231"/>
      <c r="AW142" s="231"/>
      <c r="AX142" s="231"/>
      <c r="AY142" s="231" t="str">
        <f>IF([8]回答表!F18="簡易水道事業",IF([8]回答表!X51="●",[8]回答表!Y230,IF([8]回答表!AA51="●",[8]回答表!Y310,"")),"")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IF([8]回答表!F18="簡易水道事業",IF([8]回答表!X51="●",[8]回答表!E265,IF([8]回答表!AA51="●",[8]回答表!E344,"")),"")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IF([8]回答表!F18="簡易水道事業",IF([8]回答表!X51="●",[8]回答表!B267,IF([8]回答表!AA51="●",[8]回答表!B346,"")),"")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IF([8]回答表!F18="簡易水道事業",IF([8]回答表!AD51="●","●",""),"")</f>
        <v/>
      </c>
      <c r="O154" s="131"/>
      <c r="P154" s="131"/>
      <c r="Q154" s="132"/>
      <c r="R154" s="119"/>
      <c r="S154" s="119"/>
      <c r="T154" s="119"/>
      <c r="U154" s="133" t="str">
        <f>IF([8]回答表!F18="簡易水道事業",IF([8]回答表!AD51="●",[8]回答表!B354,""),"")</f>
        <v/>
      </c>
      <c r="V154" s="134"/>
      <c r="W154" s="134"/>
      <c r="X154" s="134"/>
      <c r="Y154" s="134"/>
      <c r="Z154" s="134"/>
      <c r="AA154" s="134"/>
      <c r="AB154" s="134"/>
      <c r="AC154" s="134"/>
      <c r="AD154" s="134"/>
      <c r="AE154" s="134"/>
      <c r="AF154" s="134"/>
      <c r="AG154" s="134"/>
      <c r="AH154" s="134"/>
      <c r="AI154" s="134"/>
      <c r="AJ154" s="135"/>
      <c r="AK154" s="189"/>
      <c r="AL154" s="189"/>
      <c r="AM154" s="133" t="str">
        <f>IF([8]回答表!F18="簡易水道事業",IF([8]回答表!AD51="●",[8]回答表!B360,""),"")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IF([8]回答表!F18="下水道事業",IF([8]回答表!X51="●","●",""),"")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IF([8]回答表!F18="下水道事業",IF([8]回答表!X51="●",[8]回答表!B197,IF([8]回答表!AA51="●",[8]回答表!B275,"")),"")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IF([8]回答表!F18="下水道事業",IF([8]回答表!X51="●",[8]回答表!B256,IF([8]回答表!AA51="●",[8]回答表!B335,"")),"")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IF([8]回答表!F18="下水道事業",IF([8]回答表!X51="●",[8]回答表!N234,IF([8]回答表!AA51="●",[8]回答表!N314,"")),"")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IF([8]回答表!F18="下水道事業",IF([8]回答表!X51="●",[8]回答表!E256,IF([8]回答表!AA51="●",[8]回答表!E335,"")),"")</f>
        <v/>
      </c>
      <c r="BG169" s="151"/>
      <c r="BH169" s="151"/>
      <c r="BI169" s="151"/>
      <c r="BJ169" s="150" t="str">
        <f>IF([8]回答表!F18="下水道事業",IF([8]回答表!X51="●",[8]回答表!E257,IF([8]回答表!AA51="●",[8]回答表!E336,"")),"")</f>
        <v/>
      </c>
      <c r="BK169" s="151"/>
      <c r="BL169" s="151"/>
      <c r="BM169" s="151"/>
      <c r="BN169" s="150" t="str">
        <f>IF([8]回答表!F18="下水道事業",IF([8]回答表!X51="●",[8]回答表!E258,IF([8]回答表!AA51="●",[8]回答表!E337,"")),"")</f>
        <v/>
      </c>
      <c r="BO169" s="151"/>
      <c r="BP169" s="151"/>
      <c r="BQ169" s="152"/>
      <c r="BR169" s="112"/>
      <c r="BX169" s="234" t="str">
        <f>IF([8]回答表!AQ21="下水道事業",IF([8]回答表!BI54="○",[8]回答表!AM200,IF([8]回答表!BL54="○",[8]回答表!AM278,"")),"")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IF([8]回答表!F18="下水道事業",IF([8]回答表!X51="●",[8]回答表!Y236,IF([8]回答表!AA51="●",[8]回答表!Y316,"")),"")</f>
        <v/>
      </c>
      <c r="V174" s="83"/>
      <c r="W174" s="83"/>
      <c r="X174" s="83"/>
      <c r="Y174" s="83"/>
      <c r="Z174" s="83"/>
      <c r="AA174" s="83"/>
      <c r="AB174" s="153"/>
      <c r="AC174" s="82" t="str">
        <f>IF([8]回答表!F18="下水道事業",IF([8]回答表!X51="●",[8]回答表!Y237,IF([8]回答表!AA51="●",[8]回答表!Y317,"")),"")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IF([8]回答表!F18="下水道事業",IF([8]回答表!X51="●",[8]回答表!Y239,IF([8]回答表!AA51="●",[8]回答表!Y319,"")),"")</f>
        <v/>
      </c>
      <c r="V180" s="83"/>
      <c r="W180" s="83"/>
      <c r="X180" s="83"/>
      <c r="Y180" s="83"/>
      <c r="Z180" s="83"/>
      <c r="AA180" s="83"/>
      <c r="AB180" s="153"/>
      <c r="AC180" s="82" t="str">
        <f>IF([8]回答表!F18="下水道事業",IF([8]回答表!X51="●",[8]回答表!Y240,IF([8]回答表!AA51="●",[8]回答表!Y320,"")),"")</f>
        <v/>
      </c>
      <c r="AD180" s="83"/>
      <c r="AE180" s="83"/>
      <c r="AF180" s="83"/>
      <c r="AG180" s="83"/>
      <c r="AH180" s="83"/>
      <c r="AI180" s="83"/>
      <c r="AJ180" s="153"/>
      <c r="AK180" s="82" t="str">
        <f>IF([8]回答表!F18="下水道事業",IF([8]回答表!X51="●",[8]回答表!Y241,IF([8]回答表!AA51="●",[8]回答表!Y321,"")),"")</f>
        <v/>
      </c>
      <c r="AL180" s="83"/>
      <c r="AM180" s="83"/>
      <c r="AN180" s="83"/>
      <c r="AO180" s="83"/>
      <c r="AP180" s="83"/>
      <c r="AQ180" s="83"/>
      <c r="AR180" s="153"/>
      <c r="AS180" s="82" t="str">
        <f>IF([8]回答表!F18="下水道事業",IF([8]回答表!X51="●",[8]回答表!Y242,IF([8]回答表!AA51="●",[8]回答表!Y322,"")),"")</f>
        <v/>
      </c>
      <c r="AT180" s="83"/>
      <c r="AU180" s="83"/>
      <c r="AV180" s="83"/>
      <c r="AW180" s="83"/>
      <c r="AX180" s="83"/>
      <c r="AY180" s="83"/>
      <c r="AZ180" s="153"/>
      <c r="BA180" s="82" t="str">
        <f>IF([8]回答表!F18="下水道事業",IF([8]回答表!X51="●",[8]回答表!Y243,IF([8]回答表!AA51="●",[8]回答表!Y323,"")),"")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IF([8]回答表!F18="下水道事業",IF([8]回答表!AA51="●","●",""),"")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IF([8]回答表!F18="下水道事業",IF([8]回答表!X51="●",[8]回答表!N248,IF([8]回答表!AA51="●",[8]回答表!N328,"")),"")</f>
        <v/>
      </c>
      <c r="V186" s="83"/>
      <c r="W186" s="83"/>
      <c r="X186" s="83"/>
      <c r="Y186" s="83"/>
      <c r="Z186" s="83"/>
      <c r="AA186" s="83"/>
      <c r="AB186" s="153"/>
      <c r="AC186" s="82" t="str">
        <f>IF([8]回答表!F18="下水道事業",IF([8]回答表!X51="●",[8]回答表!N249,IF([8]回答表!AA51="●",[8]回答表!N329,"")),"")</f>
        <v/>
      </c>
      <c r="AD186" s="83"/>
      <c r="AE186" s="83"/>
      <c r="AF186" s="83"/>
      <c r="AG186" s="83"/>
      <c r="AH186" s="83"/>
      <c r="AI186" s="83"/>
      <c r="AJ186" s="153"/>
      <c r="AK186" s="82" t="str">
        <f>IF([8]回答表!F18="下水道事業",IF([8]回答表!X51="●",[8]回答表!N250,IF([8]回答表!AA51="●",[8]回答表!N330,"")),"")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IF([8]回答表!F18="下水道事業",IF([8]回答表!X51="●",[8]回答表!E265,IF([8]回答表!AA51="●",[8]回答表!E344,"")),"")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IF([8]回答表!F18="下水道事業",IF([8]回答表!X51="●",[8]回答表!B267,IF([8]回答表!AA51="●",[8]回答表!B346,"")),"")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IF([8]回答表!F18="下水道事業",IF([8]回答表!AD51="●","●",""),"")</f>
        <v/>
      </c>
      <c r="O198" s="131"/>
      <c r="P198" s="131"/>
      <c r="Q198" s="132"/>
      <c r="R198" s="119"/>
      <c r="S198" s="119"/>
      <c r="T198" s="119"/>
      <c r="U198" s="133" t="str">
        <f>IF([8]回答表!F18="下水道事業",IF([8]回答表!AD51="●",[8]回答表!B354,""),"")</f>
        <v/>
      </c>
      <c r="V198" s="134"/>
      <c r="W198" s="134"/>
      <c r="X198" s="134"/>
      <c r="Y198" s="134"/>
      <c r="Z198" s="134"/>
      <c r="AA198" s="134"/>
      <c r="AB198" s="134"/>
      <c r="AC198" s="134"/>
      <c r="AD198" s="134"/>
      <c r="AE198" s="134"/>
      <c r="AF198" s="134"/>
      <c r="AG198" s="134"/>
      <c r="AH198" s="134"/>
      <c r="AI198" s="134"/>
      <c r="AJ198" s="135"/>
      <c r="AK198" s="189"/>
      <c r="AL198" s="189"/>
      <c r="AM198" s="133" t="str">
        <f>IF([8]回答表!F18="下水道事業",IF([8]回答表!AD51="●",[8]回答表!B360,""),"")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IF([8]回答表!BD18="●",IF([8]回答表!X51="●","●",""),"")</f>
        <v/>
      </c>
      <c r="O210" s="131"/>
      <c r="P210" s="131"/>
      <c r="Q210" s="132"/>
      <c r="R210" s="119"/>
      <c r="S210" s="119"/>
      <c r="T210" s="119"/>
      <c r="U210" s="133" t="str">
        <f>IF([8]回答表!BD18="●",IF([8]回答表!X51="●",[8]回答表!B197,IF([8]回答表!AA51="●",[8]回答表!B275,"")),"")</f>
        <v/>
      </c>
      <c r="V210" s="134"/>
      <c r="W210" s="134"/>
      <c r="X210" s="134"/>
      <c r="Y210" s="134"/>
      <c r="Z210" s="134"/>
      <c r="AA210" s="134"/>
      <c r="AB210" s="134"/>
      <c r="AC210" s="134"/>
      <c r="AD210" s="134"/>
      <c r="AE210" s="134"/>
      <c r="AF210" s="134"/>
      <c r="AG210" s="134"/>
      <c r="AH210" s="134"/>
      <c r="AI210" s="134"/>
      <c r="AJ210" s="135"/>
      <c r="AK210" s="136"/>
      <c r="AL210" s="136"/>
      <c r="AM210" s="138" t="str">
        <f>IF([8]回答表!BD18="●",IF([8]回答表!X51="●",[8]回答表!B256,IF([8]回答表!AA51="●",[8]回答表!B335,"")),"")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IF([8]回答表!BD18="●",IF([8]回答表!X51="●",[8]回答表!E256,IF([8]回答表!AA51="●",[8]回答表!E335,"")),"")</f>
        <v/>
      </c>
      <c r="AN213" s="151"/>
      <c r="AO213" s="151"/>
      <c r="AP213" s="151"/>
      <c r="AQ213" s="150" t="str">
        <f>IF([8]回答表!BD18="●",IF([8]回答表!X51="●",[8]回答表!E257,IF([8]回答表!AA51="●",[8]回答表!E336,"")),"")</f>
        <v/>
      </c>
      <c r="AR213" s="151"/>
      <c r="AS213" s="151"/>
      <c r="AT213" s="151"/>
      <c r="AU213" s="150" t="str">
        <f>IF([8]回答表!BD18="●",IF([8]回答表!X51="●",[8]回答表!E258,IF([8]回答表!AA51="●",[8]回答表!E337,"")),"")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IF([8]回答表!BD18="●",IF([8]回答表!AA51="●","●",""),"")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IF([8]回答表!BD18="●",IF([8]回答表!X51="●",[8]回答表!E265,IF([8]回答表!AA51="●",[8]回答表!E344,"")),"")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IF([8]回答表!BD18="●",IF([8]回答表!X51="●",[8]回答表!B267,IF([8]回答表!AA51="●",[8]回答表!B346,"")),"")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IF([8]回答表!BD18="●",IF([8]回答表!AD51="●","●",""),"")</f>
        <v/>
      </c>
      <c r="O229" s="131"/>
      <c r="P229" s="131"/>
      <c r="Q229" s="132"/>
      <c r="R229" s="119"/>
      <c r="S229" s="119"/>
      <c r="T229" s="119"/>
      <c r="U229" s="133" t="str">
        <f>IF([8]回答表!BD18="●",IF([8]回答表!AD51="●",[8]回答表!B354,""),"")</f>
        <v/>
      </c>
      <c r="V229" s="134"/>
      <c r="W229" s="134"/>
      <c r="X229" s="134"/>
      <c r="Y229" s="134"/>
      <c r="Z229" s="134"/>
      <c r="AA229" s="134"/>
      <c r="AB229" s="134"/>
      <c r="AC229" s="134"/>
      <c r="AD229" s="134"/>
      <c r="AE229" s="134"/>
      <c r="AF229" s="134"/>
      <c r="AG229" s="134"/>
      <c r="AH229" s="134"/>
      <c r="AI229" s="134"/>
      <c r="AJ229" s="135"/>
      <c r="AK229" s="249"/>
      <c r="AL229" s="249"/>
      <c r="AM229" s="133" t="str">
        <f>IF([8]回答表!BD18="●",IF([8]回答表!AD51="●",[8]回答表!B360,""),"")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IF([8]回答表!X52="●","●","")</f>
        <v/>
      </c>
      <c r="O241" s="131"/>
      <c r="P241" s="131"/>
      <c r="Q241" s="132"/>
      <c r="R241" s="119"/>
      <c r="S241" s="119"/>
      <c r="T241" s="119"/>
      <c r="U241" s="133" t="str">
        <f>IF([8]回答表!X52="●",[8]回答表!B371,IF([8]回答表!AA52="●",[8]回答表!B396,""))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IF([8]回答表!X52="●",[8]回答表!U377,IF([8]回答表!AA52="●",[8]回答表!U402,""))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IF([8]回答表!X52="●",[8]回答表!G377,IF([8]回答表!AA52="●",[8]回答表!G402,""))</f>
        <v/>
      </c>
      <c r="AN244" s="83"/>
      <c r="AO244" s="83"/>
      <c r="AP244" s="83"/>
      <c r="AQ244" s="83"/>
      <c r="AR244" s="83"/>
      <c r="AS244" s="83"/>
      <c r="AT244" s="153"/>
      <c r="AU244" s="82" t="str">
        <f>IF([8]回答表!X52="●",[8]回答表!G378,IF([8]回答表!AA52="●",[8]回答表!G403,""))</f>
        <v/>
      </c>
      <c r="AV244" s="83"/>
      <c r="AW244" s="83"/>
      <c r="AX244" s="83"/>
      <c r="AY244" s="83"/>
      <c r="AZ244" s="83"/>
      <c r="BA244" s="83"/>
      <c r="BB244" s="153"/>
      <c r="BC244" s="120"/>
      <c r="BD244" s="109"/>
      <c r="BE244" s="109"/>
      <c r="BF244" s="150" t="str">
        <f>IF([8]回答表!X52="●",[8]回答表!X377,IF([8]回答表!AA52="●",[8]回答表!X402,""))</f>
        <v/>
      </c>
      <c r="BG244" s="151"/>
      <c r="BH244" s="151"/>
      <c r="BI244" s="151"/>
      <c r="BJ244" s="150" t="str">
        <f>IF([8]回答表!X52="●",[8]回答表!X378,IF([8]回答表!AA52="●",[8]回答表!X403,""))</f>
        <v/>
      </c>
      <c r="BK244" s="151"/>
      <c r="BL244" s="151"/>
      <c r="BM244" s="152"/>
      <c r="BN244" s="150" t="str">
        <f>IF([8]回答表!X52="●",[8]回答表!X379,IF([8]回答表!AA52="●",[8]回答表!X404,""))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IF([8]回答表!AA52="●","●","")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IF([8]回答表!X52="●",[8]回答表!E386,IF([8]回答表!AA52="●",[8]回答表!E407,""))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IF([8]回答表!X52="●",[8]回答表!B388,IF([8]回答表!AA52="●",[8]回答表!B409,""))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IF([8]回答表!AD52="●","●","")</f>
        <v/>
      </c>
      <c r="O260" s="131"/>
      <c r="P260" s="131"/>
      <c r="Q260" s="132"/>
      <c r="R260" s="119"/>
      <c r="S260" s="119"/>
      <c r="T260" s="119"/>
      <c r="U260" s="133" t="str">
        <f>IF([8]回答表!AD52="●",[8]回答表!B417,"")</f>
        <v/>
      </c>
      <c r="V260" s="134"/>
      <c r="W260" s="134"/>
      <c r="X260" s="134"/>
      <c r="Y260" s="134"/>
      <c r="Z260" s="134"/>
      <c r="AA260" s="134"/>
      <c r="AB260" s="134"/>
      <c r="AC260" s="134"/>
      <c r="AD260" s="134"/>
      <c r="AE260" s="134"/>
      <c r="AF260" s="134"/>
      <c r="AG260" s="134"/>
      <c r="AH260" s="134"/>
      <c r="AI260" s="134"/>
      <c r="AJ260" s="135"/>
      <c r="AK260" s="249"/>
      <c r="AL260" s="249"/>
      <c r="AM260" s="133" t="str">
        <f>IF([8]回答表!AD52="●",[8]回答表!B423,"")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IF([8]回答表!X53="●","●","")</f>
        <v/>
      </c>
      <c r="O272" s="131"/>
      <c r="P272" s="131"/>
      <c r="Q272" s="132"/>
      <c r="R272" s="119"/>
      <c r="S272" s="119"/>
      <c r="T272" s="119"/>
      <c r="U272" s="133" t="str">
        <f>IF([8]回答表!X53="●",[8]回答表!B434,IF([8]回答表!AA53="●",[8]回答表!B465,""))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IF([8]回答表!X53="●",[8]回答表!B440,"")</f>
        <v/>
      </c>
      <c r="AO272" s="262"/>
      <c r="AP272" s="262"/>
      <c r="AQ272" s="262"/>
      <c r="AR272" s="262"/>
      <c r="AS272" s="262"/>
      <c r="AT272" s="262"/>
      <c r="AU272" s="262"/>
      <c r="AV272" s="262"/>
      <c r="AW272" s="262"/>
      <c r="AX272" s="262"/>
      <c r="AY272" s="262"/>
      <c r="AZ272" s="262"/>
      <c r="BA272" s="262"/>
      <c r="BB272" s="263"/>
      <c r="BC272" s="120"/>
      <c r="BD272" s="109"/>
      <c r="BE272" s="109"/>
      <c r="BF272" s="138" t="str">
        <f>IF([8]回答表!X53="●",[8]回答表!B446,IF([8]回答表!AA53="●",[8]回答表!B471,""))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IF([8]回答表!X53="●",[8]回答表!E446,IF([8]回答表!AA53="●",[8]回答表!E471,""))</f>
        <v/>
      </c>
      <c r="BG275" s="151"/>
      <c r="BH275" s="151"/>
      <c r="BI275" s="151"/>
      <c r="BJ275" s="150" t="str">
        <f>IF([8]回答表!X53="●",[8]回答表!E447,IF([8]回答表!AA53="●",[8]回答表!E472,""))</f>
        <v/>
      </c>
      <c r="BK275" s="151"/>
      <c r="BL275" s="151"/>
      <c r="BM275" s="152"/>
      <c r="BN275" s="150" t="str">
        <f>IF([8]回答表!X53="●",[8]回答表!E448,IF([8]回答表!AA53="●",[8]回答表!E473,""))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IF([8]回答表!AA53="●","●","")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IF([8]回答表!X53="●",[8]回答表!E455,IF([8]回答表!AA53="●",[8]回答表!E476,""))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IF([8]回答表!X53="●",[8]回答表!B457,IF([8]回答表!AA53="●",[8]回答表!B478,""))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IF([8]回答表!AD53="●","●","")</f>
        <v/>
      </c>
      <c r="O291" s="131"/>
      <c r="P291" s="131"/>
      <c r="Q291" s="132"/>
      <c r="R291" s="119"/>
      <c r="S291" s="119"/>
      <c r="T291" s="119"/>
      <c r="U291" s="133" t="str">
        <f>IF([8]回答表!AD53="●",[8]回答表!B486,"")</f>
        <v/>
      </c>
      <c r="V291" s="134"/>
      <c r="W291" s="134"/>
      <c r="X291" s="134"/>
      <c r="Y291" s="134"/>
      <c r="Z291" s="134"/>
      <c r="AA291" s="134"/>
      <c r="AB291" s="134"/>
      <c r="AC291" s="134"/>
      <c r="AD291" s="134"/>
      <c r="AE291" s="134"/>
      <c r="AF291" s="134"/>
      <c r="AG291" s="134"/>
      <c r="AH291" s="134"/>
      <c r="AI291" s="134"/>
      <c r="AJ291" s="135"/>
      <c r="AK291" s="249"/>
      <c r="AL291" s="249"/>
      <c r="AM291" s="133" t="str">
        <f>IF([8]回答表!AD53="●",[8]回答表!B492,"")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IF([8]回答表!X54="●","●","")</f>
        <v/>
      </c>
      <c r="O303" s="131"/>
      <c r="P303" s="131"/>
      <c r="Q303" s="132"/>
      <c r="R303" s="119"/>
      <c r="S303" s="119"/>
      <c r="T303" s="119"/>
      <c r="U303" s="133" t="str">
        <f>IF([8]回答表!X54="●",[8]回答表!B503,IF([8]回答表!AA54="●",[8]回答表!B526,""))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IF([8]回答表!X54="●",[8]回答表!BC510,IF([8]回答表!AA54="●",[8]回答表!BC533,""))</f>
        <v/>
      </c>
      <c r="AR303" s="271"/>
      <c r="AS303" s="271"/>
      <c r="AT303" s="271"/>
      <c r="AU303" s="272" t="s">
        <v>74</v>
      </c>
      <c r="AV303" s="273"/>
      <c r="AW303" s="273"/>
      <c r="AX303" s="274"/>
      <c r="AY303" s="271" t="str">
        <f>IF([8]回答表!X54="●",[8]回答表!BC515,IF([8]回答表!AA54="●",[8]回答表!BC538,""))</f>
        <v/>
      </c>
      <c r="AZ303" s="271"/>
      <c r="BA303" s="271"/>
      <c r="BB303" s="271"/>
      <c r="BC303" s="120"/>
      <c r="BD303" s="109"/>
      <c r="BE303" s="109"/>
      <c r="BF303" s="138" t="str">
        <f>IF([8]回答表!X54="●",[8]回答表!S509,IF([8]回答表!AA54="●",[8]回答表!S532,""))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IF([8]回答表!X54="●",[8]回答表!BC511,IF([8]回答表!AA54="●",[8]回答表!BC534,""))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IF([8]回答表!X54="●",[8]回答表!V509,IF([8]回答表!AA54="●",[8]回答表!V532,""))</f>
        <v/>
      </c>
      <c r="BG306" s="151"/>
      <c r="BH306" s="151"/>
      <c r="BI306" s="151"/>
      <c r="BJ306" s="150" t="str">
        <f>IF([8]回答表!X54="●",[8]回答表!V510,IF([8]回答表!AA54="●",[8]回答表!V533,""))</f>
        <v/>
      </c>
      <c r="BK306" s="151"/>
      <c r="BL306" s="151"/>
      <c r="BM306" s="152"/>
      <c r="BN306" s="150" t="str">
        <f>IF([8]回答表!X54="●",[8]回答表!V511,IF([8]回答表!AA54="●",[8]回答表!V534,""))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IF([8]回答表!X54="●",[8]回答表!BC512,IF([8]回答表!AA54="●",[8]回答表!BC535,""))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IF([8]回答表!X54="●",[8]回答表!BC516,IF([8]回答表!AA54="●",[8]回答表!BC539,""))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IF([8]回答表!AA54="●","●","")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IF([8]回答表!X54="●",[8]回答表!BC513,IF([8]回答表!AA54="●",[8]回答表!BC536,""))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IF([8]回答表!X54="●",[8]回答表!BC514,IF([8]回答表!AA54="●",[8]回答表!BC537,""))</f>
        <v/>
      </c>
      <c r="AR311" s="271"/>
      <c r="AS311" s="271"/>
      <c r="AT311" s="271"/>
      <c r="AU311" s="222" t="s">
        <v>80</v>
      </c>
      <c r="AV311" s="223"/>
      <c r="AW311" s="223"/>
      <c r="AX311" s="224"/>
      <c r="AY311" s="281" t="str">
        <f>IF([8]回答表!X54="●",[8]回答表!BC517,IF([8]回答表!AA54="●",[8]回答表!BC540,""))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IF([8]回答表!X54="●",[8]回答表!E516,IF([8]回答表!AA54="●",[8]回答表!E538,""))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IF([8]回答表!X54="●",[8]回答表!B518,IF([8]回答表!AA54="●",[8]回答表!B540,""))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IF([8]回答表!AD54="●","●","")</f>
        <v/>
      </c>
      <c r="O322" s="131"/>
      <c r="P322" s="131"/>
      <c r="Q322" s="132"/>
      <c r="R322" s="119"/>
      <c r="S322" s="119"/>
      <c r="T322" s="119"/>
      <c r="U322" s="133" t="str">
        <f>IF([8]回答表!AD54="●",[8]回答表!B548,"")</f>
        <v/>
      </c>
      <c r="V322" s="134"/>
      <c r="W322" s="134"/>
      <c r="X322" s="134"/>
      <c r="Y322" s="134"/>
      <c r="Z322" s="134"/>
      <c r="AA322" s="134"/>
      <c r="AB322" s="134"/>
      <c r="AC322" s="134"/>
      <c r="AD322" s="134"/>
      <c r="AE322" s="134"/>
      <c r="AF322" s="134"/>
      <c r="AG322" s="134"/>
      <c r="AH322" s="134"/>
      <c r="AI322" s="134"/>
      <c r="AJ322" s="135"/>
      <c r="AK322" s="189"/>
      <c r="AL322" s="189"/>
      <c r="AM322" s="133" t="str">
        <f>IF([8]回答表!AD54="●",[8]回答表!B554,"")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IF([8]回答表!X55="●","●","")</f>
        <v/>
      </c>
      <c r="O333" s="131"/>
      <c r="P333" s="131"/>
      <c r="Q333" s="132"/>
      <c r="R333" s="119"/>
      <c r="S333" s="119"/>
      <c r="T333" s="119"/>
      <c r="U333" s="133" t="str">
        <f>IF([8]回答表!X55="●",[8]回答表!B565,IF([8]回答表!AA55="●",[8]回答表!B590,""))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IF([8]回答表!X55="●",[8]回答表!B575,IF([8]回答表!AA55="●",[8]回答表!B600,""))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IF([8]回答表!X55="●",[8]回答表!G571,IF([8]回答表!AA55="●",[8]回答表!G596,""))</f>
        <v/>
      </c>
      <c r="AN335" s="83"/>
      <c r="AO335" s="83"/>
      <c r="AP335" s="83"/>
      <c r="AQ335" s="83"/>
      <c r="AR335" s="83"/>
      <c r="AS335" s="83"/>
      <c r="AT335" s="153"/>
      <c r="AU335" s="82" t="str">
        <f>IF([8]回答表!X55="●",[8]回答表!G572,IF([8]回答表!AA55="●",[8]回答表!G597,""))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IF([8]回答表!X55="●",[8]回答表!E575,IF([8]回答表!AA55="●",[8]回答表!E600,""))</f>
        <v/>
      </c>
      <c r="BG336" s="151"/>
      <c r="BH336" s="151"/>
      <c r="BI336" s="151"/>
      <c r="BJ336" s="150" t="str">
        <f>IF([8]回答表!X55="●",[8]回答表!E576,IF([8]回答表!AA55="●",[8]回答表!E601,""))</f>
        <v/>
      </c>
      <c r="BK336" s="151"/>
      <c r="BL336" s="151"/>
      <c r="BM336" s="152"/>
      <c r="BN336" s="150" t="str">
        <f>IF([8]回答表!X55="●",[8]回答表!E577,IF([8]回答表!AA55="●",[8]回答表!E602,""))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IF([8]回答表!AA55="●","●","")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IF([8]回答表!X55="●",[8]回答表!E580,IF([8]回答表!AA55="●",[8]回答表!E605,""))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IF([8]回答表!X55="●",[8]回答表!B582,IF([8]回答表!AA55="●",[8]回答表!B607,""))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IF([8]回答表!AD55="●","●","")</f>
        <v/>
      </c>
      <c r="O352" s="131"/>
      <c r="P352" s="131"/>
      <c r="Q352" s="132"/>
      <c r="R352" s="119"/>
      <c r="S352" s="119"/>
      <c r="T352" s="119"/>
      <c r="U352" s="133" t="str">
        <f>IF([8]回答表!AD55="●",[8]回答表!B615,"")</f>
        <v/>
      </c>
      <c r="V352" s="134"/>
      <c r="W352" s="134"/>
      <c r="X352" s="134"/>
      <c r="Y352" s="134"/>
      <c r="Z352" s="134"/>
      <c r="AA352" s="134"/>
      <c r="AB352" s="134"/>
      <c r="AC352" s="134"/>
      <c r="AD352" s="134"/>
      <c r="AE352" s="134"/>
      <c r="AF352" s="134"/>
      <c r="AG352" s="134"/>
      <c r="AH352" s="134"/>
      <c r="AI352" s="134"/>
      <c r="AJ352" s="135"/>
      <c r="AK352" s="136"/>
      <c r="AL352" s="136"/>
      <c r="AM352" s="133" t="str">
        <f>IF([8]回答表!AD55="●",[8]回答表!B621,"")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IF([8]回答表!R56="●",[8]回答表!B634,"")</f>
        <v xml:space="preserve">現行の経営体制・手法で、健全な事業運営ができている。ただし、民間事業の経営手法やコスト比較など調査・研究を行い、事務及び事業の効率化と簡素化に努めながら事業を実施する。
また、指定管理制度の導入や施設及び事業の譲渡、一部業務の民間委託も検討していく。 </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1" priority="2">
      <formula>$BB$25="○"</formula>
    </cfRule>
  </conditionalFormatting>
  <conditionalFormatting sqref="BD28:BD30">
    <cfRule type="expression" dxfId="10" priority="1">
      <formula>$BB$25="○"</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DE232-A620-4461-894B-97BCE1087715}">
  <dimension ref="A1:CN384"/>
  <sheetViews>
    <sheetView workbookViewId="0">
      <selection sqref="A1:XFD1048576"/>
    </sheetView>
  </sheetViews>
  <sheetFormatPr defaultColWidth="2.875" defaultRowHeight="12.6" customHeight="1"/>
  <cols>
    <col min="1" max="25" width="2.625" customWidth="1"/>
    <col min="26" max="26" width="2.125" customWidth="1"/>
    <col min="27" max="27" width="2.625" hidden="1" customWidth="1"/>
    <col min="28" max="28" width="4.625" customWidth="1"/>
    <col min="29" max="34" width="2.625" customWidth="1"/>
    <col min="35" max="35" width="0.125" customWidth="1"/>
    <col min="36" max="37" width="4.625" customWidth="1"/>
    <col min="38" max="71" width="2.6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IF(COUNTIF([9]回答表!K16,"*")&gt;0,[9]回答表!K16,"")</f>
        <v>横手市</v>
      </c>
      <c r="D11" s="8"/>
      <c r="E11" s="8"/>
      <c r="F11" s="8"/>
      <c r="G11" s="8"/>
      <c r="H11" s="8"/>
      <c r="I11" s="8"/>
      <c r="J11" s="8"/>
      <c r="K11" s="8"/>
      <c r="L11" s="8"/>
      <c r="M11" s="8"/>
      <c r="N11" s="8"/>
      <c r="O11" s="8"/>
      <c r="P11" s="8"/>
      <c r="Q11" s="8"/>
      <c r="R11" s="8"/>
      <c r="S11" s="8"/>
      <c r="T11" s="8"/>
      <c r="U11" s="22" t="str">
        <f>IF(COUNTIF([9]回答表!F18,"*")&gt;0,[9]回答表!F18,"")</f>
        <v>下水道事業</v>
      </c>
      <c r="V11" s="23"/>
      <c r="W11" s="23"/>
      <c r="X11" s="23"/>
      <c r="Y11" s="23"/>
      <c r="Z11" s="23"/>
      <c r="AA11" s="23"/>
      <c r="AB11" s="23"/>
      <c r="AC11" s="23"/>
      <c r="AD11" s="23"/>
      <c r="AE11" s="23"/>
      <c r="AF11" s="10"/>
      <c r="AG11" s="10"/>
      <c r="AH11" s="10"/>
      <c r="AI11" s="10"/>
      <c r="AJ11" s="10"/>
      <c r="AK11" s="10"/>
      <c r="AL11" s="10"/>
      <c r="AM11" s="10"/>
      <c r="AN11" s="11"/>
      <c r="AO11" s="24" t="str">
        <f>IF(COUNTIF([9]回答表!W18,"*")&gt;0,[9]回答表!W18,"")</f>
        <v>林業集落排水施設</v>
      </c>
      <c r="AP11" s="10"/>
      <c r="AQ11" s="10"/>
      <c r="AR11" s="10"/>
      <c r="AS11" s="10"/>
      <c r="AT11" s="10"/>
      <c r="AU11" s="10"/>
      <c r="AV11" s="10"/>
      <c r="AW11" s="10"/>
      <c r="AX11" s="10"/>
      <c r="AY11" s="10"/>
      <c r="AZ11" s="10"/>
      <c r="BA11" s="10"/>
      <c r="BB11" s="10"/>
      <c r="BC11" s="10"/>
      <c r="BD11" s="10"/>
      <c r="BE11" s="10"/>
      <c r="BF11" s="11"/>
      <c r="BG11" s="21" t="str">
        <f>IF(COUNTIF([9]回答表!F20,"*")&gt;0,[9]回答表!F20,"")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IF([9]回答表!R49="●","●","")</f>
        <v/>
      </c>
      <c r="E24" s="80"/>
      <c r="F24" s="80"/>
      <c r="G24" s="80"/>
      <c r="H24" s="80"/>
      <c r="I24" s="80"/>
      <c r="J24" s="81"/>
      <c r="K24" s="79" t="str">
        <f>IF([9]回答表!R50="●","●","")</f>
        <v/>
      </c>
      <c r="L24" s="80"/>
      <c r="M24" s="80"/>
      <c r="N24" s="80"/>
      <c r="O24" s="80"/>
      <c r="P24" s="80"/>
      <c r="Q24" s="81"/>
      <c r="R24" s="79" t="str">
        <f>IF([9]回答表!R51="●","●","")</f>
        <v/>
      </c>
      <c r="S24" s="80"/>
      <c r="T24" s="80"/>
      <c r="U24" s="80"/>
      <c r="V24" s="80"/>
      <c r="W24" s="80"/>
      <c r="X24" s="81"/>
      <c r="Y24" s="79" t="str">
        <f>IF([9]回答表!R52="●","●","")</f>
        <v/>
      </c>
      <c r="Z24" s="80"/>
      <c r="AA24" s="80"/>
      <c r="AB24" s="80"/>
      <c r="AC24" s="80"/>
      <c r="AD24" s="80"/>
      <c r="AE24" s="81"/>
      <c r="AF24" s="79" t="str">
        <f>IF([9]回答表!R53="●","●","")</f>
        <v>●</v>
      </c>
      <c r="AG24" s="80"/>
      <c r="AH24" s="80"/>
      <c r="AI24" s="80"/>
      <c r="AJ24" s="80"/>
      <c r="AK24" s="80"/>
      <c r="AL24" s="81"/>
      <c r="AM24" s="79" t="str">
        <f>IF([9]回答表!R54="●","●","")</f>
        <v/>
      </c>
      <c r="AN24" s="80"/>
      <c r="AO24" s="80"/>
      <c r="AP24" s="80"/>
      <c r="AQ24" s="80"/>
      <c r="AR24" s="80"/>
      <c r="AS24" s="81"/>
      <c r="AT24" s="79" t="str">
        <f>IF([9]回答表!R55="●","●","")</f>
        <v/>
      </c>
      <c r="AU24" s="80"/>
      <c r="AV24" s="80"/>
      <c r="AW24" s="80"/>
      <c r="AX24" s="80"/>
      <c r="AY24" s="80"/>
      <c r="AZ24" s="81"/>
      <c r="BA24" s="68"/>
      <c r="BB24" s="82" t="str">
        <f>IF([9]回答表!R56="●","●","")</f>
        <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IF([9]回答表!X49="●","●","")</f>
        <v/>
      </c>
      <c r="O36" s="131"/>
      <c r="P36" s="131"/>
      <c r="Q36" s="132"/>
      <c r="R36" s="119"/>
      <c r="S36" s="119"/>
      <c r="T36" s="119"/>
      <c r="U36" s="133" t="str">
        <f>IF([9]回答表!X49="●",[9]回答表!B67,IF([9]回答表!AA49="●",[9]回答表!B95,""))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IF([9]回答表!X49="●",[9]回答表!S73,IF([9]回答表!AA49="●",[9]回答表!S101,""))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IF([9]回答表!X49="●",[9]回答表!G73,IF([9]回答表!AA49="●",[9]回答表!G101,""))</f>
        <v/>
      </c>
      <c r="AN38" s="83"/>
      <c r="AO38" s="83"/>
      <c r="AP38" s="83"/>
      <c r="AQ38" s="83"/>
      <c r="AR38" s="83"/>
      <c r="AS38" s="83"/>
      <c r="AT38" s="153"/>
      <c r="AU38" s="82" t="str">
        <f>IF([9]回答表!X49="●",[9]回答表!G74,IF([9]回答表!AA49="●",[9]回答表!G102,""))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IF([9]回答表!X49="●",[9]回答表!V73,IF([9]回答表!AA49="●",[9]回答表!V101,""))</f>
        <v/>
      </c>
      <c r="BG39" s="16"/>
      <c r="BH39" s="16"/>
      <c r="BI39" s="17"/>
      <c r="BJ39" s="150" t="str">
        <f>IF([9]回答表!X49="●",[9]回答表!V74,IF([9]回答表!AA49="●",[9]回答表!V102,""))</f>
        <v/>
      </c>
      <c r="BK39" s="16"/>
      <c r="BL39" s="16"/>
      <c r="BM39" s="17"/>
      <c r="BN39" s="150" t="str">
        <f>IF([9]回答表!X49="●",[9]回答表!V75,IF([9]回答表!AA49="●",[9]回答表!V103,""))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IF([9]回答表!X49="●",[9]回答表!O79,IF([9]回答表!AA49="●",[9]回答表!O107,""))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IF([9]回答表!X49="●",[9]回答表!O80,IF([9]回答表!AA49="●",[9]回答表!O108,""))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IF([9]回答表!AA49="●","●","")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IF([9]回答表!X49="●",[9]回答表!O81,IF([9]回答表!AA49="●",[9]回答表!O109,""))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IF([9]回答表!X49="●",[9]回答表!O82,IF([9]回答表!AA49="●",[9]回答表!O110,""))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IF([9]回答表!X49="●",[9]回答表!AG79,IF([9]回答表!AA49="●",[9]回答表!AG107,""))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IF([9]回答表!X49="●",[9]回答表!AG80,IF([9]回答表!AA49="●",[9]回答表!AG108,""))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IF([9]回答表!X49="●",[9]回答表!E85,IF([9]回答表!AA49="●",[9]回答表!E113,""))</f>
        <v/>
      </c>
      <c r="V50" s="182"/>
      <c r="W50" s="182"/>
      <c r="X50" s="182"/>
      <c r="Y50" s="182"/>
      <c r="Z50" s="182"/>
      <c r="AA50" s="182"/>
      <c r="AB50" s="182"/>
      <c r="AC50" s="182"/>
      <c r="AD50" s="182"/>
      <c r="AE50" s="183" t="s">
        <v>33</v>
      </c>
      <c r="AF50" s="183"/>
      <c r="AG50" s="183"/>
      <c r="AH50" s="183"/>
      <c r="AI50" s="183"/>
      <c r="AJ50" s="184"/>
      <c r="AK50" s="136"/>
      <c r="AL50" s="136"/>
      <c r="AM50" s="133" t="str">
        <f>IF([9]回答表!X49="●",[9]回答表!B87,IF([9]回答表!AA49="●",[9]回答表!B115,""))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IF([9]回答表!AD49="●","●","")</f>
        <v/>
      </c>
      <c r="O57" s="131"/>
      <c r="P57" s="131"/>
      <c r="Q57" s="132"/>
      <c r="R57" s="119"/>
      <c r="S57" s="119"/>
      <c r="T57" s="119"/>
      <c r="U57" s="133" t="str">
        <f>IF([9]回答表!AD49="●",[9]回答表!B123,"")</f>
        <v/>
      </c>
      <c r="V57" s="134"/>
      <c r="W57" s="134"/>
      <c r="X57" s="134"/>
      <c r="Y57" s="134"/>
      <c r="Z57" s="134"/>
      <c r="AA57" s="134"/>
      <c r="AB57" s="134"/>
      <c r="AC57" s="134"/>
      <c r="AD57" s="134"/>
      <c r="AE57" s="134"/>
      <c r="AF57" s="134"/>
      <c r="AG57" s="134"/>
      <c r="AH57" s="134"/>
      <c r="AI57" s="134"/>
      <c r="AJ57" s="135"/>
      <c r="AK57" s="189"/>
      <c r="AL57" s="189"/>
      <c r="AM57" s="133" t="str">
        <f>IF([9]回答表!AD49="●",[9]回答表!B128,"")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IF([9]回答表!X50="●","●","")</f>
        <v/>
      </c>
      <c r="O68" s="131"/>
      <c r="P68" s="131"/>
      <c r="Q68" s="132"/>
      <c r="R68" s="119"/>
      <c r="S68" s="119"/>
      <c r="T68" s="119"/>
      <c r="U68" s="133" t="str">
        <f>IF([9]回答表!X50="●",[9]回答表!B138,IF([9]回答表!AA50="●",[9]回答表!B159,""))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IF([9]回答表!X50="●",[9]回答表!S144,IF([9]回答表!AA50="●",[9]回答表!S165,""))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IF([9]回答表!X50="●",[9]回答表!J144,IF([9]回答表!AA50="●",[9]回答表!J165,""))</f>
        <v/>
      </c>
      <c r="AN71" s="83"/>
      <c r="AO71" s="83"/>
      <c r="AP71" s="83"/>
      <c r="AQ71" s="83"/>
      <c r="AR71" s="83"/>
      <c r="AS71" s="83"/>
      <c r="AT71" s="153"/>
      <c r="AU71" s="82" t="str">
        <f>IF([9]回答表!X50="●",[9]回答表!J145,IF([9]回答表!AA50="●",[9]回答表!J166,""))</f>
        <v/>
      </c>
      <c r="AV71" s="83"/>
      <c r="AW71" s="83"/>
      <c r="AX71" s="83"/>
      <c r="AY71" s="83"/>
      <c r="AZ71" s="83"/>
      <c r="BA71" s="83"/>
      <c r="BB71" s="153"/>
      <c r="BC71" s="120"/>
      <c r="BD71" s="109"/>
      <c r="BE71" s="109"/>
      <c r="BF71" s="150" t="str">
        <f>IF([9]回答表!X50="●",[9]回答表!V144,IF([9]回答表!AA50="●",[9]回答表!V165,""))</f>
        <v/>
      </c>
      <c r="BG71" s="151"/>
      <c r="BH71" s="151"/>
      <c r="BI71" s="151"/>
      <c r="BJ71" s="150" t="str">
        <f>IF([9]回答表!X50="●",[9]回答表!V145,IF([9]回答表!AA50="●",[9]回答表!V166,""))</f>
        <v/>
      </c>
      <c r="BK71" s="151"/>
      <c r="BL71" s="151"/>
      <c r="BM71" s="151"/>
      <c r="BN71" s="150" t="str">
        <f>IF([9]回答表!X50="●",[9]回答表!V146,IF([9]回答表!AA50="●",[9]回答表!V167,""))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IF([9]回答表!AA50="●","●","")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IF([9]回答表!X50="●",[9]回答表!E149,IF([9]回答表!AA50="●",[9]回答表!E170,""))</f>
        <v/>
      </c>
      <c r="V80" s="182"/>
      <c r="W80" s="182"/>
      <c r="X80" s="182"/>
      <c r="Y80" s="182"/>
      <c r="Z80" s="182"/>
      <c r="AA80" s="182"/>
      <c r="AB80" s="182"/>
      <c r="AC80" s="182"/>
      <c r="AD80" s="182"/>
      <c r="AE80" s="183" t="s">
        <v>33</v>
      </c>
      <c r="AF80" s="183"/>
      <c r="AG80" s="183"/>
      <c r="AH80" s="183"/>
      <c r="AI80" s="183"/>
      <c r="AJ80" s="184"/>
      <c r="AK80" s="136"/>
      <c r="AL80" s="136"/>
      <c r="AM80" s="133" t="str">
        <f>IF([9]回答表!X50="●",[9]回答表!B151,IF([9]回答表!AA50="●",[9]回答表!B172,""))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IF([9]回答表!AD50="●","●","")</f>
        <v/>
      </c>
      <c r="O87" s="131"/>
      <c r="P87" s="131"/>
      <c r="Q87" s="132"/>
      <c r="R87" s="119"/>
      <c r="S87" s="119"/>
      <c r="T87" s="119"/>
      <c r="U87" s="133" t="str">
        <f>IF([9]回答表!AD50="●",[9]回答表!B180,"")</f>
        <v/>
      </c>
      <c r="V87" s="134"/>
      <c r="W87" s="134"/>
      <c r="X87" s="134"/>
      <c r="Y87" s="134"/>
      <c r="Z87" s="134"/>
      <c r="AA87" s="134"/>
      <c r="AB87" s="134"/>
      <c r="AC87" s="134"/>
      <c r="AD87" s="134"/>
      <c r="AE87" s="134"/>
      <c r="AF87" s="134"/>
      <c r="AG87" s="134"/>
      <c r="AH87" s="134"/>
      <c r="AI87" s="134"/>
      <c r="AJ87" s="135"/>
      <c r="AK87" s="189"/>
      <c r="AL87" s="189"/>
      <c r="AM87" s="133" t="str">
        <f>IF([9]回答表!AD50="●",[9]回答表!B186,"")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IF([9]回答表!F18="水道事業",IF([9]回答表!X51="●","●",""),"")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IF([9]回答表!F18="水道事業",IF([9]回答表!X51="●",[9]回答表!B197,IF([9]回答表!AA51="●",[9]回答表!B275,"")),"")</f>
        <v/>
      </c>
      <c r="AN99" s="134"/>
      <c r="AO99" s="134"/>
      <c r="AP99" s="134"/>
      <c r="AQ99" s="134"/>
      <c r="AR99" s="134"/>
      <c r="AS99" s="134"/>
      <c r="AT99" s="134"/>
      <c r="AU99" s="134"/>
      <c r="AV99" s="134"/>
      <c r="AW99" s="134"/>
      <c r="AX99" s="134"/>
      <c r="AY99" s="134"/>
      <c r="AZ99" s="134"/>
      <c r="BA99" s="134"/>
      <c r="BB99" s="134"/>
      <c r="BC99" s="135"/>
      <c r="BD99" s="109"/>
      <c r="BE99" s="109"/>
      <c r="BF99" s="138" t="str">
        <f>IF([9]回答表!F18="水道事業",IF([9]回答表!X51="●",[9]回答表!B256,IF([9]回答表!AA51="●",[9]回答表!B335,"")),"")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IF([9]回答表!F18="水道事業",IF([9]回答表!X51="●",[9]回答表!J205,IF([9]回答表!AA51="●",[9]回答表!J283,"")),"")</f>
        <v/>
      </c>
      <c r="V101" s="83"/>
      <c r="W101" s="83"/>
      <c r="X101" s="83"/>
      <c r="Y101" s="83"/>
      <c r="Z101" s="83"/>
      <c r="AA101" s="83"/>
      <c r="AB101" s="153"/>
      <c r="AC101" s="82" t="str">
        <f>IF([9]回答表!F18="水道事業",IF([9]回答表!X51="●",[9]回答表!J210,IF([9]回答表!AA51="●",[9]回答表!J290,"")),"")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IF([9]回答表!F18="水道事業",IF([9]回答表!X51="●",[9]回答表!E256,IF([9]回答表!AA51="●",[9]回答表!E335,"")),"")</f>
        <v/>
      </c>
      <c r="BG102" s="151"/>
      <c r="BH102" s="151"/>
      <c r="BI102" s="151"/>
      <c r="BJ102" s="150" t="str">
        <f>IF([9]回答表!F18="水道事業",IF([9]回答表!X51="●",[9]回答表!E257,IF([9]回答表!AA51="●",[9]回答表!E336,"")),"")</f>
        <v/>
      </c>
      <c r="BK102" s="151"/>
      <c r="BL102" s="151"/>
      <c r="BM102" s="151"/>
      <c r="BN102" s="150" t="str">
        <f>IF([9]回答表!F18="水道事業",IF([9]回答表!X51="●",[9]回答表!E258,IF([9]回答表!AA51="●",[9]回答表!E337,"")),"")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IF([9]回答表!F18="水道事業",IF([9]回答表!AA51="●","●",""),"")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IF([9]回答表!F18="水道事業",IF([9]回答表!X51="●",[9]回答表!J213,IF([9]回答表!AA51="●",[9]回答表!J293,"")),"")</f>
        <v/>
      </c>
      <c r="V106" s="83"/>
      <c r="W106" s="83"/>
      <c r="X106" s="83"/>
      <c r="Y106" s="83"/>
      <c r="Z106" s="83"/>
      <c r="AA106" s="83"/>
      <c r="AB106" s="153"/>
      <c r="AC106" s="82" t="str">
        <f>IF([9]回答表!F18="水道事業",IF([9]回答表!X51="●",[9]回答表!J217,IF([9]回答表!AA51="●",[9]回答表!J297,"")),"")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IF([9]回答表!F18="水道事業",IF([9]回答表!X51="●",[9]回答表!E265,IF([9]回答表!AA51="●",[9]回答表!E344,"")),"")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IF([9]回答表!F18="水道事業",IF([9]回答表!X51="●",[9]回答表!B267,IF([9]回答表!AA51="●",[9]回答表!B346,"")),"")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IF([9]回答表!F18="水道事業",IF([9]回答表!AD51="●","●",""),"")</f>
        <v/>
      </c>
      <c r="O118" s="131"/>
      <c r="P118" s="131"/>
      <c r="Q118" s="132"/>
      <c r="R118" s="119"/>
      <c r="S118" s="119"/>
      <c r="T118" s="119"/>
      <c r="U118" s="133" t="str">
        <f>IF([9]回答表!F18="水道事業",IF([9]回答表!AD51="●",[9]回答表!B354,""),"")</f>
        <v/>
      </c>
      <c r="V118" s="134"/>
      <c r="W118" s="134"/>
      <c r="X118" s="134"/>
      <c r="Y118" s="134"/>
      <c r="Z118" s="134"/>
      <c r="AA118" s="134"/>
      <c r="AB118" s="134"/>
      <c r="AC118" s="134"/>
      <c r="AD118" s="134"/>
      <c r="AE118" s="134"/>
      <c r="AF118" s="134"/>
      <c r="AG118" s="134"/>
      <c r="AH118" s="134"/>
      <c r="AI118" s="134"/>
      <c r="AJ118" s="135"/>
      <c r="AK118" s="189"/>
      <c r="AL118" s="189"/>
      <c r="AM118" s="133" t="str">
        <f>IF([9]回答表!F18="水道事業",IF([9]回答表!AD51="●",[9]回答表!B360,""),"")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IF([9]回答表!F18="簡易水道事業",IF([9]回答表!X51="●",[9]回答表!B197,IF([9]回答表!AA51="●",[9]回答表!B275,"")),"")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IF([9]回答表!F18="簡易水道事業",IF([9]回答表!X51="●",[9]回答表!B256,IF([9]回答表!AA51="●",[9]回答表!B335,"")),"")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IF([9]回答表!F18="簡易水道事業",IF([9]回答表!X51="●","●",""),"")</f>
        <v/>
      </c>
      <c r="O132" s="131"/>
      <c r="P132" s="131"/>
      <c r="Q132" s="132"/>
      <c r="R132" s="119"/>
      <c r="S132" s="119"/>
      <c r="T132" s="119"/>
      <c r="U132" s="82" t="str">
        <f>IF([9]回答表!F18="簡易水道事業",IF([9]回答表!X51="●",[9]回答表!S224,IF([9]回答表!AA51="●",[9]回答表!S304,"")),"")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IF([9]回答表!F18="簡易水道事業",IF([9]回答表!X51="●",[9]回答表!E256,IF([9]回答表!AA51="●",[9]回答表!E335,"")),"")</f>
        <v/>
      </c>
      <c r="BG133" s="151"/>
      <c r="BH133" s="151"/>
      <c r="BI133" s="151"/>
      <c r="BJ133" s="150" t="str">
        <f>IF([9]回答表!F18="簡易水道事業",IF([9]回答表!X51="●",[9]回答表!E257,IF([9]回答表!AA51="●",[9]回答表!E336,"")),"")</f>
        <v/>
      </c>
      <c r="BK133" s="151"/>
      <c r="BL133" s="151"/>
      <c r="BM133" s="151"/>
      <c r="BN133" s="150" t="str">
        <f>IF([9]回答表!F18="簡易水道事業",IF([9]回答表!X51="●",[9]回答表!E258,IF([9]回答表!AA51="●",[9]回答表!E337,"")),"")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IF([9]回答表!F18="簡易水道事業",IF([9]回答表!X51="●",[9]回答表!S225,IF([9]回答表!AA51="●",[9]回答表!S305,"")),"")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IF([9]回答表!F18="簡易水道事業",IF([9]回答表!AA51="●","●",""),"")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IF([9]回答表!F18="簡易水道事業",IF([9]回答表!X51="●",[9]回答表!S226,IF([9]回答表!AA51="●",[9]回答表!S306,"")),"")</f>
        <v/>
      </c>
      <c r="V142" s="83"/>
      <c r="W142" s="83"/>
      <c r="X142" s="83"/>
      <c r="Y142" s="83"/>
      <c r="Z142" s="83"/>
      <c r="AA142" s="83"/>
      <c r="AB142" s="83"/>
      <c r="AC142" s="83"/>
      <c r="AD142" s="83"/>
      <c r="AE142" s="83"/>
      <c r="AF142" s="83"/>
      <c r="AG142" s="83"/>
      <c r="AH142" s="83"/>
      <c r="AI142" s="83"/>
      <c r="AJ142" s="153"/>
      <c r="AK142" s="68"/>
      <c r="AL142" s="68"/>
      <c r="AM142" s="231" t="str">
        <f>IF([9]回答表!F18="簡易水道事業",IF([9]回答表!X51="●",[9]回答表!Y228,IF([9]回答表!AA51="●",[9]回答表!Y308,"")),"")</f>
        <v/>
      </c>
      <c r="AN142" s="231"/>
      <c r="AO142" s="231"/>
      <c r="AP142" s="231"/>
      <c r="AQ142" s="231"/>
      <c r="AR142" s="231"/>
      <c r="AS142" s="231" t="str">
        <f>IF([9]回答表!F18="簡易水道事業",IF([9]回答表!X51="●",[9]回答表!Y229,IF([9]回答表!AA51="●",[9]回答表!Y309,"")),"")</f>
        <v/>
      </c>
      <c r="AT142" s="231"/>
      <c r="AU142" s="231"/>
      <c r="AV142" s="231"/>
      <c r="AW142" s="231"/>
      <c r="AX142" s="231"/>
      <c r="AY142" s="231" t="str">
        <f>IF([9]回答表!F18="簡易水道事業",IF([9]回答表!X51="●",[9]回答表!Y230,IF([9]回答表!AA51="●",[9]回答表!Y310,"")),"")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IF([9]回答表!F18="簡易水道事業",IF([9]回答表!X51="●",[9]回答表!E265,IF([9]回答表!AA51="●",[9]回答表!E344,"")),"")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IF([9]回答表!F18="簡易水道事業",IF([9]回答表!X51="●",[9]回答表!B267,IF([9]回答表!AA51="●",[9]回答表!B346,"")),"")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IF([9]回答表!F18="簡易水道事業",IF([9]回答表!AD51="●","●",""),"")</f>
        <v/>
      </c>
      <c r="O154" s="131"/>
      <c r="P154" s="131"/>
      <c r="Q154" s="132"/>
      <c r="R154" s="119"/>
      <c r="S154" s="119"/>
      <c r="T154" s="119"/>
      <c r="U154" s="133" t="str">
        <f>IF([9]回答表!F18="簡易水道事業",IF([9]回答表!AD51="●",[9]回答表!B354,""),"")</f>
        <v/>
      </c>
      <c r="V154" s="134"/>
      <c r="W154" s="134"/>
      <c r="X154" s="134"/>
      <c r="Y154" s="134"/>
      <c r="Z154" s="134"/>
      <c r="AA154" s="134"/>
      <c r="AB154" s="134"/>
      <c r="AC154" s="134"/>
      <c r="AD154" s="134"/>
      <c r="AE154" s="134"/>
      <c r="AF154" s="134"/>
      <c r="AG154" s="134"/>
      <c r="AH154" s="134"/>
      <c r="AI154" s="134"/>
      <c r="AJ154" s="135"/>
      <c r="AK154" s="189"/>
      <c r="AL154" s="189"/>
      <c r="AM154" s="133" t="str">
        <f>IF([9]回答表!F18="簡易水道事業",IF([9]回答表!AD51="●",[9]回答表!B360,""),"")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IF([9]回答表!F18="下水道事業",IF([9]回答表!X51="●","●",""),"")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IF([9]回答表!F18="下水道事業",IF([9]回答表!X51="●",[9]回答表!B197,IF([9]回答表!AA51="●",[9]回答表!B275,"")),"")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IF([9]回答表!F18="下水道事業",IF([9]回答表!X51="●",[9]回答表!B256,IF([9]回答表!AA51="●",[9]回答表!B335,"")),"")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IF([9]回答表!F18="下水道事業",IF([9]回答表!X51="●",[9]回答表!N234,IF([9]回答表!AA51="●",[9]回答表!N314,"")),"")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IF([9]回答表!F18="下水道事業",IF([9]回答表!X51="●",[9]回答表!E256,IF([9]回答表!AA51="●",[9]回答表!E335,"")),"")</f>
        <v/>
      </c>
      <c r="BG169" s="151"/>
      <c r="BH169" s="151"/>
      <c r="BI169" s="151"/>
      <c r="BJ169" s="150" t="str">
        <f>IF([9]回答表!F18="下水道事業",IF([9]回答表!X51="●",[9]回答表!E257,IF([9]回答表!AA51="●",[9]回答表!E336,"")),"")</f>
        <v/>
      </c>
      <c r="BK169" s="151"/>
      <c r="BL169" s="151"/>
      <c r="BM169" s="151"/>
      <c r="BN169" s="150" t="str">
        <f>IF([9]回答表!F18="下水道事業",IF([9]回答表!X51="●",[9]回答表!E258,IF([9]回答表!AA51="●",[9]回答表!E337,"")),"")</f>
        <v/>
      </c>
      <c r="BO169" s="151"/>
      <c r="BP169" s="151"/>
      <c r="BQ169" s="152"/>
      <c r="BR169" s="112"/>
      <c r="BX169" s="234" t="str">
        <f>IF([9]回答表!AQ21="下水道事業",IF([9]回答表!BI54="○",[9]回答表!AM200,IF([9]回答表!BL54="○",[9]回答表!AM278,"")),"")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IF([9]回答表!F18="下水道事業",IF([9]回答表!X51="●",[9]回答表!Y236,IF([9]回答表!AA51="●",[9]回答表!Y316,"")),"")</f>
        <v/>
      </c>
      <c r="V174" s="83"/>
      <c r="W174" s="83"/>
      <c r="X174" s="83"/>
      <c r="Y174" s="83"/>
      <c r="Z174" s="83"/>
      <c r="AA174" s="83"/>
      <c r="AB174" s="153"/>
      <c r="AC174" s="82" t="str">
        <f>IF([9]回答表!F18="下水道事業",IF([9]回答表!X51="●",[9]回答表!Y237,IF([9]回答表!AA51="●",[9]回答表!Y317,"")),"")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IF([9]回答表!F18="下水道事業",IF([9]回答表!X51="●",[9]回答表!Y239,IF([9]回答表!AA51="●",[9]回答表!Y319,"")),"")</f>
        <v/>
      </c>
      <c r="V180" s="83"/>
      <c r="W180" s="83"/>
      <c r="X180" s="83"/>
      <c r="Y180" s="83"/>
      <c r="Z180" s="83"/>
      <c r="AA180" s="83"/>
      <c r="AB180" s="153"/>
      <c r="AC180" s="82" t="str">
        <f>IF([9]回答表!F18="下水道事業",IF([9]回答表!X51="●",[9]回答表!Y240,IF([9]回答表!AA51="●",[9]回答表!Y320,"")),"")</f>
        <v/>
      </c>
      <c r="AD180" s="83"/>
      <c r="AE180" s="83"/>
      <c r="AF180" s="83"/>
      <c r="AG180" s="83"/>
      <c r="AH180" s="83"/>
      <c r="AI180" s="83"/>
      <c r="AJ180" s="153"/>
      <c r="AK180" s="82" t="str">
        <f>IF([9]回答表!F18="下水道事業",IF([9]回答表!X51="●",[9]回答表!Y241,IF([9]回答表!AA51="●",[9]回答表!Y321,"")),"")</f>
        <v/>
      </c>
      <c r="AL180" s="83"/>
      <c r="AM180" s="83"/>
      <c r="AN180" s="83"/>
      <c r="AO180" s="83"/>
      <c r="AP180" s="83"/>
      <c r="AQ180" s="83"/>
      <c r="AR180" s="153"/>
      <c r="AS180" s="82" t="str">
        <f>IF([9]回答表!F18="下水道事業",IF([9]回答表!X51="●",[9]回答表!Y242,IF([9]回答表!AA51="●",[9]回答表!Y322,"")),"")</f>
        <v/>
      </c>
      <c r="AT180" s="83"/>
      <c r="AU180" s="83"/>
      <c r="AV180" s="83"/>
      <c r="AW180" s="83"/>
      <c r="AX180" s="83"/>
      <c r="AY180" s="83"/>
      <c r="AZ180" s="153"/>
      <c r="BA180" s="82" t="str">
        <f>IF([9]回答表!F18="下水道事業",IF([9]回答表!X51="●",[9]回答表!Y243,IF([9]回答表!AA51="●",[9]回答表!Y323,"")),"")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IF([9]回答表!F18="下水道事業",IF([9]回答表!AA51="●","●",""),"")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IF([9]回答表!F18="下水道事業",IF([9]回答表!X51="●",[9]回答表!N248,IF([9]回答表!AA51="●",[9]回答表!N328,"")),"")</f>
        <v/>
      </c>
      <c r="V186" s="83"/>
      <c r="W186" s="83"/>
      <c r="X186" s="83"/>
      <c r="Y186" s="83"/>
      <c r="Z186" s="83"/>
      <c r="AA186" s="83"/>
      <c r="AB186" s="153"/>
      <c r="AC186" s="82" t="str">
        <f>IF([9]回答表!F18="下水道事業",IF([9]回答表!X51="●",[9]回答表!N249,IF([9]回答表!AA51="●",[9]回答表!N329,"")),"")</f>
        <v/>
      </c>
      <c r="AD186" s="83"/>
      <c r="AE186" s="83"/>
      <c r="AF186" s="83"/>
      <c r="AG186" s="83"/>
      <c r="AH186" s="83"/>
      <c r="AI186" s="83"/>
      <c r="AJ186" s="153"/>
      <c r="AK186" s="82" t="str">
        <f>IF([9]回答表!F18="下水道事業",IF([9]回答表!X51="●",[9]回答表!N250,IF([9]回答表!AA51="●",[9]回答表!N330,"")),"")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IF([9]回答表!F18="下水道事業",IF([9]回答表!X51="●",[9]回答表!E265,IF([9]回答表!AA51="●",[9]回答表!E344,"")),"")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IF([9]回答表!F18="下水道事業",IF([9]回答表!X51="●",[9]回答表!B267,IF([9]回答表!AA51="●",[9]回答表!B346,"")),"")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IF([9]回答表!F18="下水道事業",IF([9]回答表!AD51="●","●",""),"")</f>
        <v/>
      </c>
      <c r="O198" s="131"/>
      <c r="P198" s="131"/>
      <c r="Q198" s="132"/>
      <c r="R198" s="119"/>
      <c r="S198" s="119"/>
      <c r="T198" s="119"/>
      <c r="U198" s="133" t="str">
        <f>IF([9]回答表!F18="下水道事業",IF([9]回答表!AD51="●",[9]回答表!B354,""),"")</f>
        <v/>
      </c>
      <c r="V198" s="134"/>
      <c r="W198" s="134"/>
      <c r="X198" s="134"/>
      <c r="Y198" s="134"/>
      <c r="Z198" s="134"/>
      <c r="AA198" s="134"/>
      <c r="AB198" s="134"/>
      <c r="AC198" s="134"/>
      <c r="AD198" s="134"/>
      <c r="AE198" s="134"/>
      <c r="AF198" s="134"/>
      <c r="AG198" s="134"/>
      <c r="AH198" s="134"/>
      <c r="AI198" s="134"/>
      <c r="AJ198" s="135"/>
      <c r="AK198" s="189"/>
      <c r="AL198" s="189"/>
      <c r="AM198" s="133" t="str">
        <f>IF([9]回答表!F18="下水道事業",IF([9]回答表!AD51="●",[9]回答表!B360,""),"")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IF([9]回答表!BD18="●",IF([9]回答表!X51="●","●",""),"")</f>
        <v/>
      </c>
      <c r="O210" s="131"/>
      <c r="P210" s="131"/>
      <c r="Q210" s="132"/>
      <c r="R210" s="119"/>
      <c r="S210" s="119"/>
      <c r="T210" s="119"/>
      <c r="U210" s="133" t="str">
        <f>IF([9]回答表!BD18="●",IF([9]回答表!X51="●",[9]回答表!B197,IF([9]回答表!AA51="●",[9]回答表!B275,"")),"")</f>
        <v/>
      </c>
      <c r="V210" s="134"/>
      <c r="W210" s="134"/>
      <c r="X210" s="134"/>
      <c r="Y210" s="134"/>
      <c r="Z210" s="134"/>
      <c r="AA210" s="134"/>
      <c r="AB210" s="134"/>
      <c r="AC210" s="134"/>
      <c r="AD210" s="134"/>
      <c r="AE210" s="134"/>
      <c r="AF210" s="134"/>
      <c r="AG210" s="134"/>
      <c r="AH210" s="134"/>
      <c r="AI210" s="134"/>
      <c r="AJ210" s="135"/>
      <c r="AK210" s="136"/>
      <c r="AL210" s="136"/>
      <c r="AM210" s="138" t="str">
        <f>IF([9]回答表!BD18="●",IF([9]回答表!X51="●",[9]回答表!B256,IF([9]回答表!AA51="●",[9]回答表!B335,"")),"")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IF([9]回答表!BD18="●",IF([9]回答表!X51="●",[9]回答表!E256,IF([9]回答表!AA51="●",[9]回答表!E335,"")),"")</f>
        <v/>
      </c>
      <c r="AN213" s="151"/>
      <c r="AO213" s="151"/>
      <c r="AP213" s="151"/>
      <c r="AQ213" s="150" t="str">
        <f>IF([9]回答表!BD18="●",IF([9]回答表!X51="●",[9]回答表!E257,IF([9]回答表!AA51="●",[9]回答表!E336,"")),"")</f>
        <v/>
      </c>
      <c r="AR213" s="151"/>
      <c r="AS213" s="151"/>
      <c r="AT213" s="151"/>
      <c r="AU213" s="150" t="str">
        <f>IF([9]回答表!BD18="●",IF([9]回答表!X51="●",[9]回答表!E258,IF([9]回答表!AA51="●",[9]回答表!E337,"")),"")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IF([9]回答表!BD18="●",IF([9]回答表!AA51="●","●",""),"")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IF([9]回答表!BD18="●",IF([9]回答表!X51="●",[9]回答表!E265,IF([9]回答表!AA51="●",[9]回答表!E344,"")),"")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IF([9]回答表!BD18="●",IF([9]回答表!X51="●",[9]回答表!B267,IF([9]回答表!AA51="●",[9]回答表!B346,"")),"")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IF([9]回答表!BD18="●",IF([9]回答表!AD51="●","●",""),"")</f>
        <v/>
      </c>
      <c r="O229" s="131"/>
      <c r="P229" s="131"/>
      <c r="Q229" s="132"/>
      <c r="R229" s="119"/>
      <c r="S229" s="119"/>
      <c r="T229" s="119"/>
      <c r="U229" s="133" t="str">
        <f>IF([9]回答表!BD18="●",IF([9]回答表!AD51="●",[9]回答表!B354,""),"")</f>
        <v/>
      </c>
      <c r="V229" s="134"/>
      <c r="W229" s="134"/>
      <c r="X229" s="134"/>
      <c r="Y229" s="134"/>
      <c r="Z229" s="134"/>
      <c r="AA229" s="134"/>
      <c r="AB229" s="134"/>
      <c r="AC229" s="134"/>
      <c r="AD229" s="134"/>
      <c r="AE229" s="134"/>
      <c r="AF229" s="134"/>
      <c r="AG229" s="134"/>
      <c r="AH229" s="134"/>
      <c r="AI229" s="134"/>
      <c r="AJ229" s="135"/>
      <c r="AK229" s="249"/>
      <c r="AL229" s="249"/>
      <c r="AM229" s="133" t="str">
        <f>IF([9]回答表!BD18="●",IF([9]回答表!AD51="●",[9]回答表!B360,""),"")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IF([9]回答表!X52="●","●","")</f>
        <v/>
      </c>
      <c r="O241" s="131"/>
      <c r="P241" s="131"/>
      <c r="Q241" s="132"/>
      <c r="R241" s="119"/>
      <c r="S241" s="119"/>
      <c r="T241" s="119"/>
      <c r="U241" s="133" t="str">
        <f>IF([9]回答表!X52="●",[9]回答表!B371,IF([9]回答表!AA52="●",[9]回答表!B396,""))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IF([9]回答表!X52="●",[9]回答表!U377,IF([9]回答表!AA52="●",[9]回答表!U402,""))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IF([9]回答表!X52="●",[9]回答表!G377,IF([9]回答表!AA52="●",[9]回答表!G402,""))</f>
        <v/>
      </c>
      <c r="AN244" s="83"/>
      <c r="AO244" s="83"/>
      <c r="AP244" s="83"/>
      <c r="AQ244" s="83"/>
      <c r="AR244" s="83"/>
      <c r="AS244" s="83"/>
      <c r="AT244" s="153"/>
      <c r="AU244" s="82" t="str">
        <f>IF([9]回答表!X52="●",[9]回答表!G378,IF([9]回答表!AA52="●",[9]回答表!G403,""))</f>
        <v/>
      </c>
      <c r="AV244" s="83"/>
      <c r="AW244" s="83"/>
      <c r="AX244" s="83"/>
      <c r="AY244" s="83"/>
      <c r="AZ244" s="83"/>
      <c r="BA244" s="83"/>
      <c r="BB244" s="153"/>
      <c r="BC244" s="120"/>
      <c r="BD244" s="109"/>
      <c r="BE244" s="109"/>
      <c r="BF244" s="150" t="str">
        <f>IF([9]回答表!X52="●",[9]回答表!X377,IF([9]回答表!AA52="●",[9]回答表!X402,""))</f>
        <v/>
      </c>
      <c r="BG244" s="151"/>
      <c r="BH244" s="151"/>
      <c r="BI244" s="151"/>
      <c r="BJ244" s="150" t="str">
        <f>IF([9]回答表!X52="●",[9]回答表!X378,IF([9]回答表!AA52="●",[9]回答表!X403,""))</f>
        <v/>
      </c>
      <c r="BK244" s="151"/>
      <c r="BL244" s="151"/>
      <c r="BM244" s="152"/>
      <c r="BN244" s="150" t="str">
        <f>IF([9]回答表!X52="●",[9]回答表!X379,IF([9]回答表!AA52="●",[9]回答表!X404,""))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IF([9]回答表!AA52="●","●","")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IF([9]回答表!X52="●",[9]回答表!E386,IF([9]回答表!AA52="●",[9]回答表!E407,""))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IF([9]回答表!X52="●",[9]回答表!B388,IF([9]回答表!AA52="●",[9]回答表!B409,""))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IF([9]回答表!AD52="●","●","")</f>
        <v/>
      </c>
      <c r="O260" s="131"/>
      <c r="P260" s="131"/>
      <c r="Q260" s="132"/>
      <c r="R260" s="119"/>
      <c r="S260" s="119"/>
      <c r="T260" s="119"/>
      <c r="U260" s="133" t="str">
        <f>IF([9]回答表!AD52="●",[9]回答表!B417,"")</f>
        <v/>
      </c>
      <c r="V260" s="134"/>
      <c r="W260" s="134"/>
      <c r="X260" s="134"/>
      <c r="Y260" s="134"/>
      <c r="Z260" s="134"/>
      <c r="AA260" s="134"/>
      <c r="AB260" s="134"/>
      <c r="AC260" s="134"/>
      <c r="AD260" s="134"/>
      <c r="AE260" s="134"/>
      <c r="AF260" s="134"/>
      <c r="AG260" s="134"/>
      <c r="AH260" s="134"/>
      <c r="AI260" s="134"/>
      <c r="AJ260" s="135"/>
      <c r="AK260" s="249"/>
      <c r="AL260" s="249"/>
      <c r="AM260" s="133" t="str">
        <f>IF([9]回答表!AD52="●",[9]回答表!B423,"")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IF([9]回答表!X53="●","●","")</f>
        <v>●</v>
      </c>
      <c r="O272" s="131"/>
      <c r="P272" s="131"/>
      <c r="Q272" s="132"/>
      <c r="R272" s="119"/>
      <c r="S272" s="119"/>
      <c r="T272" s="119"/>
      <c r="U272" s="133" t="str">
        <f>IF([9]回答表!X53="●",[9]回答表!B434,IF([9]回答表!AA53="●",[9]回答表!B465,""))</f>
        <v>上下水道料金等関連業務について、事業提案型プロポーザル方式により委託者を選定し、委託契約を締結した。（期間５年）</v>
      </c>
      <c r="V272" s="134"/>
      <c r="W272" s="134"/>
      <c r="X272" s="134"/>
      <c r="Y272" s="134"/>
      <c r="Z272" s="134"/>
      <c r="AA272" s="134"/>
      <c r="AB272" s="134"/>
      <c r="AC272" s="134"/>
      <c r="AD272" s="134"/>
      <c r="AE272" s="134"/>
      <c r="AF272" s="134"/>
      <c r="AG272" s="134"/>
      <c r="AH272" s="134"/>
      <c r="AI272" s="134"/>
      <c r="AJ272" s="135"/>
      <c r="AK272" s="136"/>
      <c r="AL272" s="136"/>
      <c r="AM272" s="136"/>
      <c r="AN272" s="133" t="str">
        <f>IF([9]回答表!X53="●",[9]回答表!B440,"")</f>
        <v>窓口業務、検針調定業務、収納業務、還付業務、滞納整理業務、電算処理業務（料金システムを含む）、メーター交換業務、その他付帯業務　</v>
      </c>
      <c r="AO272" s="262"/>
      <c r="AP272" s="262"/>
      <c r="AQ272" s="262"/>
      <c r="AR272" s="262"/>
      <c r="AS272" s="262"/>
      <c r="AT272" s="262"/>
      <c r="AU272" s="262"/>
      <c r="AV272" s="262"/>
      <c r="AW272" s="262"/>
      <c r="AX272" s="262"/>
      <c r="AY272" s="262"/>
      <c r="AZ272" s="262"/>
      <c r="BA272" s="262"/>
      <c r="BB272" s="263"/>
      <c r="BC272" s="120"/>
      <c r="BD272" s="109"/>
      <c r="BE272" s="109"/>
      <c r="BF272" s="138" t="str">
        <f>IF([9]回答表!X53="●",[9]回答表!B446,IF([9]回答表!AA53="●",[9]回答表!B471,""))</f>
        <v>平成</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f>IF([9]回答表!X53="●",[9]回答表!E446,IF([9]回答表!AA53="●",[9]回答表!E471,""))</f>
        <v>22</v>
      </c>
      <c r="BG275" s="151"/>
      <c r="BH275" s="151"/>
      <c r="BI275" s="151"/>
      <c r="BJ275" s="150">
        <f>IF([9]回答表!X53="●",[9]回答表!E447,IF([9]回答表!AA53="●",[9]回答表!E472,""))</f>
        <v>11</v>
      </c>
      <c r="BK275" s="151"/>
      <c r="BL275" s="151"/>
      <c r="BM275" s="152"/>
      <c r="BN275" s="150">
        <f>IF([9]回答表!X53="●",[9]回答表!E448,IF([9]回答表!AA53="●",[9]回答表!E473,""))</f>
        <v>30</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IF([9]回答表!AA53="●","●","")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f>IF([9]回答表!X53="●",[9]回答表!E455,IF([9]回答表!AA53="●",[9]回答表!E476,""))</f>
        <v>0</v>
      </c>
      <c r="V284" s="182"/>
      <c r="W284" s="182"/>
      <c r="X284" s="182"/>
      <c r="Y284" s="182"/>
      <c r="Z284" s="182"/>
      <c r="AA284" s="182"/>
      <c r="AB284" s="182"/>
      <c r="AC284" s="182"/>
      <c r="AD284" s="182"/>
      <c r="AE284" s="183" t="s">
        <v>33</v>
      </c>
      <c r="AF284" s="183"/>
      <c r="AG284" s="183"/>
      <c r="AH284" s="183"/>
      <c r="AI284" s="183"/>
      <c r="AJ284" s="184"/>
      <c r="AK284" s="136"/>
      <c r="AL284" s="136"/>
      <c r="AM284" s="133">
        <f>IF([9]回答表!X53="●",[9]回答表!B457,IF([9]回答表!AA53="●",[9]回答表!B478,""))</f>
        <v>0</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IF([9]回答表!AD53="●","●","")</f>
        <v/>
      </c>
      <c r="O291" s="131"/>
      <c r="P291" s="131"/>
      <c r="Q291" s="132"/>
      <c r="R291" s="119"/>
      <c r="S291" s="119"/>
      <c r="T291" s="119"/>
      <c r="U291" s="133" t="str">
        <f>IF([9]回答表!AD53="●",[9]回答表!B486,"")</f>
        <v/>
      </c>
      <c r="V291" s="134"/>
      <c r="W291" s="134"/>
      <c r="X291" s="134"/>
      <c r="Y291" s="134"/>
      <c r="Z291" s="134"/>
      <c r="AA291" s="134"/>
      <c r="AB291" s="134"/>
      <c r="AC291" s="134"/>
      <c r="AD291" s="134"/>
      <c r="AE291" s="134"/>
      <c r="AF291" s="134"/>
      <c r="AG291" s="134"/>
      <c r="AH291" s="134"/>
      <c r="AI291" s="134"/>
      <c r="AJ291" s="135"/>
      <c r="AK291" s="249"/>
      <c r="AL291" s="249"/>
      <c r="AM291" s="133" t="str">
        <f>IF([9]回答表!AD53="●",[9]回答表!B492,"")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IF([9]回答表!X54="●","●","")</f>
        <v/>
      </c>
      <c r="O303" s="131"/>
      <c r="P303" s="131"/>
      <c r="Q303" s="132"/>
      <c r="R303" s="119"/>
      <c r="S303" s="119"/>
      <c r="T303" s="119"/>
      <c r="U303" s="133" t="str">
        <f>IF([9]回答表!X54="●",[9]回答表!B503,IF([9]回答表!AA54="●",[9]回答表!B526,""))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IF([9]回答表!X54="●",[9]回答表!BC510,IF([9]回答表!AA54="●",[9]回答表!BC533,""))</f>
        <v/>
      </c>
      <c r="AR303" s="271"/>
      <c r="AS303" s="271"/>
      <c r="AT303" s="271"/>
      <c r="AU303" s="272" t="s">
        <v>74</v>
      </c>
      <c r="AV303" s="273"/>
      <c r="AW303" s="273"/>
      <c r="AX303" s="274"/>
      <c r="AY303" s="271" t="str">
        <f>IF([9]回答表!X54="●",[9]回答表!BC515,IF([9]回答表!AA54="●",[9]回答表!BC538,""))</f>
        <v/>
      </c>
      <c r="AZ303" s="271"/>
      <c r="BA303" s="271"/>
      <c r="BB303" s="271"/>
      <c r="BC303" s="120"/>
      <c r="BD303" s="109"/>
      <c r="BE303" s="109"/>
      <c r="BF303" s="138" t="str">
        <f>IF([9]回答表!X54="●",[9]回答表!S509,IF([9]回答表!AA54="●",[9]回答表!S532,""))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IF([9]回答表!X54="●",[9]回答表!BC511,IF([9]回答表!AA54="●",[9]回答表!BC534,""))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IF([9]回答表!X54="●",[9]回答表!V509,IF([9]回答表!AA54="●",[9]回答表!V532,""))</f>
        <v/>
      </c>
      <c r="BG306" s="151"/>
      <c r="BH306" s="151"/>
      <c r="BI306" s="151"/>
      <c r="BJ306" s="150" t="str">
        <f>IF([9]回答表!X54="●",[9]回答表!V510,IF([9]回答表!AA54="●",[9]回答表!V533,""))</f>
        <v/>
      </c>
      <c r="BK306" s="151"/>
      <c r="BL306" s="151"/>
      <c r="BM306" s="152"/>
      <c r="BN306" s="150" t="str">
        <f>IF([9]回答表!X54="●",[9]回答表!V511,IF([9]回答表!AA54="●",[9]回答表!V534,""))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IF([9]回答表!X54="●",[9]回答表!BC512,IF([9]回答表!AA54="●",[9]回答表!BC535,""))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IF([9]回答表!X54="●",[9]回答表!BC516,IF([9]回答表!AA54="●",[9]回答表!BC539,""))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IF([9]回答表!AA54="●","●","")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IF([9]回答表!X54="●",[9]回答表!BC513,IF([9]回答表!AA54="●",[9]回答表!BC536,""))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IF([9]回答表!X54="●",[9]回答表!BC514,IF([9]回答表!AA54="●",[9]回答表!BC537,""))</f>
        <v/>
      </c>
      <c r="AR311" s="271"/>
      <c r="AS311" s="271"/>
      <c r="AT311" s="271"/>
      <c r="AU311" s="222" t="s">
        <v>80</v>
      </c>
      <c r="AV311" s="223"/>
      <c r="AW311" s="223"/>
      <c r="AX311" s="224"/>
      <c r="AY311" s="281" t="str">
        <f>IF([9]回答表!X54="●",[9]回答表!BC517,IF([9]回答表!AA54="●",[9]回答表!BC540,""))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IF([9]回答表!X54="●",[9]回答表!E516,IF([9]回答表!AA54="●",[9]回答表!E538,""))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IF([9]回答表!X54="●",[9]回答表!B518,IF([9]回答表!AA54="●",[9]回答表!B540,""))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IF([9]回答表!AD54="●","●","")</f>
        <v/>
      </c>
      <c r="O322" s="131"/>
      <c r="P322" s="131"/>
      <c r="Q322" s="132"/>
      <c r="R322" s="119"/>
      <c r="S322" s="119"/>
      <c r="T322" s="119"/>
      <c r="U322" s="133" t="str">
        <f>IF([9]回答表!AD54="●",[9]回答表!B548,"")</f>
        <v/>
      </c>
      <c r="V322" s="134"/>
      <c r="W322" s="134"/>
      <c r="X322" s="134"/>
      <c r="Y322" s="134"/>
      <c r="Z322" s="134"/>
      <c r="AA322" s="134"/>
      <c r="AB322" s="134"/>
      <c r="AC322" s="134"/>
      <c r="AD322" s="134"/>
      <c r="AE322" s="134"/>
      <c r="AF322" s="134"/>
      <c r="AG322" s="134"/>
      <c r="AH322" s="134"/>
      <c r="AI322" s="134"/>
      <c r="AJ322" s="135"/>
      <c r="AK322" s="189"/>
      <c r="AL322" s="189"/>
      <c r="AM322" s="133" t="str">
        <f>IF([9]回答表!AD54="●",[9]回答表!B554,"")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IF([9]回答表!X55="●","●","")</f>
        <v/>
      </c>
      <c r="O333" s="131"/>
      <c r="P333" s="131"/>
      <c r="Q333" s="132"/>
      <c r="R333" s="119"/>
      <c r="S333" s="119"/>
      <c r="T333" s="119"/>
      <c r="U333" s="133" t="str">
        <f>IF([9]回答表!X55="●",[9]回答表!B565,IF([9]回答表!AA55="●",[9]回答表!B590,""))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IF([9]回答表!X55="●",[9]回答表!B575,IF([9]回答表!AA55="●",[9]回答表!B600,""))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IF([9]回答表!X55="●",[9]回答表!G571,IF([9]回答表!AA55="●",[9]回答表!G596,""))</f>
        <v/>
      </c>
      <c r="AN335" s="83"/>
      <c r="AO335" s="83"/>
      <c r="AP335" s="83"/>
      <c r="AQ335" s="83"/>
      <c r="AR335" s="83"/>
      <c r="AS335" s="83"/>
      <c r="AT335" s="153"/>
      <c r="AU335" s="82" t="str">
        <f>IF([9]回答表!X55="●",[9]回答表!G572,IF([9]回答表!AA55="●",[9]回答表!G597,""))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IF([9]回答表!X55="●",[9]回答表!E575,IF([9]回答表!AA55="●",[9]回答表!E600,""))</f>
        <v/>
      </c>
      <c r="BG336" s="151"/>
      <c r="BH336" s="151"/>
      <c r="BI336" s="151"/>
      <c r="BJ336" s="150" t="str">
        <f>IF([9]回答表!X55="●",[9]回答表!E576,IF([9]回答表!AA55="●",[9]回答表!E601,""))</f>
        <v/>
      </c>
      <c r="BK336" s="151"/>
      <c r="BL336" s="151"/>
      <c r="BM336" s="152"/>
      <c r="BN336" s="150" t="str">
        <f>IF([9]回答表!X55="●",[9]回答表!E577,IF([9]回答表!AA55="●",[9]回答表!E602,""))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IF([9]回答表!AA55="●","●","")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IF([9]回答表!X55="●",[9]回答表!E580,IF([9]回答表!AA55="●",[9]回答表!E605,""))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IF([9]回答表!X55="●",[9]回答表!B582,IF([9]回答表!AA55="●",[9]回答表!B607,""))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IF([9]回答表!AD55="●","●","")</f>
        <v/>
      </c>
      <c r="O352" s="131"/>
      <c r="P352" s="131"/>
      <c r="Q352" s="132"/>
      <c r="R352" s="119"/>
      <c r="S352" s="119"/>
      <c r="T352" s="119"/>
      <c r="U352" s="133" t="str">
        <f>IF([9]回答表!AD55="●",[9]回答表!B615,"")</f>
        <v/>
      </c>
      <c r="V352" s="134"/>
      <c r="W352" s="134"/>
      <c r="X352" s="134"/>
      <c r="Y352" s="134"/>
      <c r="Z352" s="134"/>
      <c r="AA352" s="134"/>
      <c r="AB352" s="134"/>
      <c r="AC352" s="134"/>
      <c r="AD352" s="134"/>
      <c r="AE352" s="134"/>
      <c r="AF352" s="134"/>
      <c r="AG352" s="134"/>
      <c r="AH352" s="134"/>
      <c r="AI352" s="134"/>
      <c r="AJ352" s="135"/>
      <c r="AK352" s="136"/>
      <c r="AL352" s="136"/>
      <c r="AM352" s="133" t="str">
        <f>IF([9]回答表!AD55="●",[9]回答表!B621,"")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IF([9]回答表!R56="●",[9]回答表!B634,"")</f>
        <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9" priority="2">
      <formula>$BB$25="○"</formula>
    </cfRule>
  </conditionalFormatting>
  <conditionalFormatting sqref="BD28:BD30">
    <cfRule type="expression" dxfId="8" priority="1">
      <formula>$BB$25="○"</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13</vt:i4>
      </vt:variant>
    </vt:vector>
  </HeadingPairs>
  <TitlesOfParts>
    <vt:vector size="13" baseType="lpstr">
      <vt:lpstr>hos</vt:lpstr>
      <vt:lpstr>suido</vt:lpstr>
      <vt:lpstr>kanko</vt:lpstr>
      <vt:lpstr>kansui</vt:lpstr>
      <vt:lpstr>kaigo_tanki</vt:lpstr>
      <vt:lpstr>kaigo_dei</vt:lpstr>
      <vt:lpstr>kaigo_sitei</vt:lpstr>
      <vt:lpstr>kaigo_hoken</vt:lpstr>
      <vt:lpstr>gesui_rinsyu</vt:lpstr>
      <vt:lpstr>gesui_nosyu</vt:lpstr>
      <vt:lpstr>gesui_tokuhai</vt:lpstr>
      <vt:lpstr>gesui_shokibo</vt:lpstr>
      <vt:lpstr>gesui_koukyo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田村　修平</dc:creator>
  <cp:lastModifiedBy>田村　修平</cp:lastModifiedBy>
  <dcterms:created xsi:type="dcterms:W3CDTF">2022-10-12T23:33:09Z</dcterms:created>
  <dcterms:modified xsi:type="dcterms:W3CDTF">2022-10-13T00:27:14Z</dcterms:modified>
</cp:coreProperties>
</file>