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60" windowWidth="19395" windowHeight="7830" tabRatio="848"/>
  </bookViews>
  <sheets>
    <sheet name="目次" sheetId="5" r:id="rId1"/>
    <sheet name="表" sheetId="1" r:id="rId2"/>
    <sheet name="図Ⅰ－１－１" sheetId="4" r:id="rId3"/>
    <sheet name="表Ⅰ－１－１" sheetId="6" r:id="rId4"/>
    <sheet name="表Ⅰ－１－２" sheetId="7" r:id="rId5"/>
    <sheet name="図Ⅰ－２－１" sheetId="8" r:id="rId6"/>
    <sheet name="図Ⅰ－２－２" sheetId="9" r:id="rId7"/>
    <sheet name="表Ⅰ－２－１" sheetId="10" r:id="rId8"/>
    <sheet name="図Ⅰ－３－１" sheetId="13" r:id="rId9"/>
    <sheet name="表Ⅰ－３－１" sheetId="11" r:id="rId10"/>
    <sheet name="表Ⅰ－３－２" sheetId="12" r:id="rId11"/>
    <sheet name="表Ⅰ－４－１" sheetId="25" r:id="rId12"/>
    <sheet name="図Ⅰ－４－１" sheetId="16" r:id="rId13"/>
    <sheet name="表Ⅰ－４－２" sheetId="14" r:id="rId14"/>
    <sheet name="図Ⅰ－４－２" sheetId="17" r:id="rId15"/>
    <sheet name="表１－４－３" sheetId="15" r:id="rId16"/>
    <sheet name="表Ⅰ－４－４" sheetId="2" r:id="rId17"/>
    <sheet name="表Ⅱ－１－１" sheetId="18" r:id="rId18"/>
    <sheet name="表Ⅱ－１－２" sheetId="20" r:id="rId19"/>
    <sheet name="表Ⅱ－２－１" sheetId="19" r:id="rId20"/>
    <sheet name="表Ⅱ－３－１" sheetId="21" r:id="rId21"/>
    <sheet name="表Ⅱ－３－２" sheetId="22" r:id="rId22"/>
    <sheet name="表Ⅱ－３－３" sheetId="23" r:id="rId23"/>
    <sheet name="表Ⅱ－３－４" sheetId="24" r:id="rId24"/>
  </sheets>
  <definedNames>
    <definedName name="_xlnm.Print_Area" localSheetId="1">表!$A$1:$M$64</definedName>
    <definedName name="_xlnm.Print_Area" localSheetId="2">'図Ⅰ－１－１'!$A$1:$I$29</definedName>
    <definedName name="_xlnm.Print_Area" localSheetId="0">目次!$A$1:$B$70</definedName>
    <definedName name="_xlnm.Print_Area" localSheetId="3">'表Ⅰ－１－１'!$A$1:$M$25</definedName>
    <definedName name="_xlnm.Print_Titles" localSheetId="4">'表Ⅰ－１－２'!$1:$8</definedName>
    <definedName name="_xlnm.Print_Area" localSheetId="4">'表Ⅰ－１－２'!$A$1:$J$59</definedName>
    <definedName name="_xlnm.Print_Area" localSheetId="5">'図Ⅰ－２－１'!$A$1:$I$33</definedName>
    <definedName name="_xlnm.Print_Area" localSheetId="6">'図Ⅰ－２－２'!$A$1:$I$29</definedName>
    <definedName name="_xlnm.Print_Titles" localSheetId="7">'表Ⅰ－２－１'!$1:$9</definedName>
    <definedName name="_xlnm.Print_Area" localSheetId="7">'表Ⅰ－２－１'!$A$1:$U$72</definedName>
    <definedName name="_xlnm.Print_Area" localSheetId="9">'表Ⅰ－３－１'!$A$1:$J$10</definedName>
    <definedName name="_xlnm.Print_Titles" localSheetId="10">'表Ⅰ－３－２'!$1:$6</definedName>
    <definedName name="_xlnm.Print_Area" localSheetId="8">'図Ⅰ－３－１'!$A$1:$I$28</definedName>
    <definedName name="_xlnm.Print_Titles" localSheetId="17">'表Ⅱ－１－１'!$1:$8</definedName>
    <definedName name="_xlnm.Print_Titles" localSheetId="19">'表Ⅱ－２－１'!$1:$6</definedName>
    <definedName name="_xlnm.Print_Titles" localSheetId="18">'表Ⅱ－１－２'!$1:$8</definedName>
    <definedName name="_xlnm._FilterDatabase" localSheetId="11" hidden="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<sst xmlns="http://schemas.openxmlformats.org/spreadsheetml/2006/main" xmlns:r="http://schemas.openxmlformats.org/officeDocument/2006/relationships" count="421" uniqueCount="421">
  <si>
    <t>山形県</t>
    <rPh sb="0" eb="3">
      <t>ヤマガタケン</t>
    </rPh>
    <phoneticPr fontId="8"/>
  </si>
  <si>
    <t>千葉県</t>
  </si>
  <si>
    <t>11 埼玉県</t>
  </si>
  <si>
    <t>収録図表　目次</t>
    <rPh sb="0" eb="2">
      <t>しゅうろく</t>
    </rPh>
    <rPh sb="2" eb="4">
      <t>ずひょう</t>
    </rPh>
    <rPh sb="5" eb="7">
      <t>もくじ</t>
    </rPh>
    <phoneticPr fontId="3" type="Hiragana"/>
  </si>
  <si>
    <t>兵庫県</t>
  </si>
  <si>
    <t>羽後町</t>
  </si>
  <si>
    <t>県　　央　　地　　域</t>
    <rPh sb="0" eb="1">
      <t>ケン</t>
    </rPh>
    <rPh sb="3" eb="4">
      <t>ヒサシ</t>
    </rPh>
    <rPh sb="6" eb="7">
      <t>チ</t>
    </rPh>
    <rPh sb="9" eb="10">
      <t>イキ</t>
    </rPh>
    <phoneticPr fontId="8"/>
  </si>
  <si>
    <t>秋田県常住者の5年前の常住地（転入者数等）</t>
    <rPh sb="0" eb="3">
      <t>アキタケン</t>
    </rPh>
    <rPh sb="3" eb="5">
      <t>ジョウジュウ</t>
    </rPh>
    <rPh sb="5" eb="6">
      <t>シャ</t>
    </rPh>
    <rPh sb="8" eb="10">
      <t>ネンマエ</t>
    </rPh>
    <rPh sb="11" eb="14">
      <t>ジョウジュウチ</t>
    </rPh>
    <rPh sb="15" eb="17">
      <t>テンニュウ</t>
    </rPh>
    <rPh sb="17" eb="18">
      <t>シャ</t>
    </rPh>
    <rPh sb="18" eb="19">
      <t>スウ</t>
    </rPh>
    <rPh sb="19" eb="20">
      <t>トウ</t>
    </rPh>
    <phoneticPr fontId="8"/>
  </si>
  <si>
    <t>県　　　南　　　地　　　域</t>
    <rPh sb="0" eb="1">
      <t>ケン</t>
    </rPh>
    <rPh sb="4" eb="5">
      <t>ミナミ</t>
    </rPh>
    <rPh sb="8" eb="9">
      <t>チ</t>
    </rPh>
    <rPh sb="12" eb="13">
      <t>イキ</t>
    </rPh>
    <phoneticPr fontId="8"/>
  </si>
  <si>
    <t>47 沖縄県</t>
  </si>
  <si>
    <t>割合（％）</t>
    <rPh sb="0" eb="2">
      <t>ワリアイ</t>
    </rPh>
    <phoneticPr fontId="8"/>
  </si>
  <si>
    <t>京都府</t>
  </si>
  <si>
    <t>33 岡山県</t>
  </si>
  <si>
    <t>40 福岡県</t>
  </si>
  <si>
    <t>24 三重県</t>
  </si>
  <si>
    <t>06 山形県</t>
  </si>
  <si>
    <t>県　　北　　地　　域</t>
    <rPh sb="0" eb="1">
      <t>ケン</t>
    </rPh>
    <rPh sb="3" eb="4">
      <t>キタ</t>
    </rPh>
    <rPh sb="6" eb="7">
      <t>チ</t>
    </rPh>
    <rPh sb="9" eb="10">
      <t>イキ</t>
    </rPh>
    <phoneticPr fontId="8"/>
  </si>
  <si>
    <t>県内
他市町村</t>
    <rPh sb="0" eb="2">
      <t>ケンナイ</t>
    </rPh>
    <rPh sb="3" eb="4">
      <t>タ</t>
    </rPh>
    <rPh sb="4" eb="7">
      <t>シチョウソン</t>
    </rPh>
    <phoneticPr fontId="8"/>
  </si>
  <si>
    <t>38 愛媛県</t>
  </si>
  <si>
    <t>27 大阪府</t>
  </si>
  <si>
    <t>男（人）</t>
    <rPh sb="0" eb="1">
      <t>オトコ</t>
    </rPh>
    <rPh sb="2" eb="3">
      <t>ニン</t>
    </rPh>
    <phoneticPr fontId="8"/>
  </si>
  <si>
    <t>40～44歳</t>
    <rPh sb="5" eb="6">
      <t>サイ</t>
    </rPh>
    <phoneticPr fontId="8"/>
  </si>
  <si>
    <t xml:space="preserve">- </t>
  </si>
  <si>
    <t>05 秋田県</t>
  </si>
  <si>
    <t>表Ⅰ－３－１　居住期間、男女別人口と割合　〔秋田県〕　（令和２年）</t>
    <rPh sb="0" eb="1">
      <t>ひょう</t>
    </rPh>
    <rPh sb="7" eb="9">
      <t>きょじゅう</t>
    </rPh>
    <rPh sb="9" eb="11">
      <t>きかん</t>
    </rPh>
    <rPh sb="12" eb="15">
      <t>だんじょべつ</t>
    </rPh>
    <rPh sb="15" eb="17">
      <t>じんこう</t>
    </rPh>
    <rPh sb="18" eb="20">
      <t>わりあい</t>
    </rPh>
    <rPh sb="22" eb="25">
      <t>あきたけん</t>
    </rPh>
    <rPh sb="28" eb="30">
      <t>れいわ</t>
    </rPh>
    <rPh sb="31" eb="32">
      <t>ねん</t>
    </rPh>
    <phoneticPr fontId="8" type="Hiragana"/>
  </si>
  <si>
    <t>東京都</t>
  </si>
  <si>
    <t>28 兵庫県</t>
  </si>
  <si>
    <t>割　　　　　　　合　　（％）</t>
    <rPh sb="0" eb="1">
      <t>ワリ</t>
    </rPh>
    <rPh sb="8" eb="9">
      <t>ア</t>
    </rPh>
    <phoneticPr fontId="8"/>
  </si>
  <si>
    <t>香川県</t>
  </si>
  <si>
    <t>岡山県</t>
  </si>
  <si>
    <t>03 岩手県</t>
  </si>
  <si>
    <t>長崎県</t>
  </si>
  <si>
    <t>32 島根県</t>
  </si>
  <si>
    <t>35 山口県</t>
  </si>
  <si>
    <t>0～4歳</t>
    <rPh sb="3" eb="4">
      <t>サイ</t>
    </rPh>
    <phoneticPr fontId="8"/>
  </si>
  <si>
    <t>　</t>
  </si>
  <si>
    <t>県北、県央、県南地域クロス表</t>
    <rPh sb="0" eb="2">
      <t>ケンホク</t>
    </rPh>
    <rPh sb="3" eb="5">
      <t>ケンオウ</t>
    </rPh>
    <rPh sb="6" eb="8">
      <t>ケンナン</t>
    </rPh>
    <rPh sb="8" eb="10">
      <t>チイキ</t>
    </rPh>
    <rPh sb="13" eb="14">
      <t>ヒョウ</t>
    </rPh>
    <phoneticPr fontId="8"/>
  </si>
  <si>
    <t>01 北海道</t>
  </si>
  <si>
    <t>大館市</t>
    <rPh sb="0" eb="3">
      <t>オオダテシ</t>
    </rPh>
    <phoneticPr fontId="8"/>
  </si>
  <si>
    <t>13 東京都</t>
  </si>
  <si>
    <t>45～
49歳</t>
    <rPh sb="6" eb="7">
      <t>サイ</t>
    </rPh>
    <phoneticPr fontId="8"/>
  </si>
  <si>
    <t>10 群馬県</t>
  </si>
  <si>
    <t>60～
64歳</t>
    <rPh sb="6" eb="7">
      <t>サイ</t>
    </rPh>
    <phoneticPr fontId="8"/>
  </si>
  <si>
    <t>41 佐賀県</t>
  </si>
  <si>
    <t>（別掲）
転出</t>
    <rPh sb="1" eb="3">
      <t>ベッケイ</t>
    </rPh>
    <rPh sb="5" eb="7">
      <t>テンシュツ</t>
    </rPh>
    <phoneticPr fontId="8"/>
  </si>
  <si>
    <t>55

59
歳</t>
    <rPh sb="8" eb="9">
      <t>サイ</t>
    </rPh>
    <phoneticPr fontId="8"/>
  </si>
  <si>
    <t>他県へ</t>
  </si>
  <si>
    <t>25 滋賀県</t>
  </si>
  <si>
    <t>注)　△の数値は転出超過。</t>
    <rPh sb="0" eb="1">
      <t>チュウ</t>
    </rPh>
    <rPh sb="5" eb="7">
      <t>スウチ</t>
    </rPh>
    <rPh sb="8" eb="10">
      <t>テンシュツ</t>
    </rPh>
    <rPh sb="10" eb="12">
      <t>チョウカ</t>
    </rPh>
    <phoneticPr fontId="8"/>
  </si>
  <si>
    <t>07 福島県</t>
  </si>
  <si>
    <t>福島県</t>
  </si>
  <si>
    <t>34 広島県</t>
  </si>
  <si>
    <t>常住者</t>
  </si>
  <si>
    <t>現住所</t>
  </si>
  <si>
    <t>14 神奈川県</t>
  </si>
  <si>
    <t>自県内</t>
  </si>
  <si>
    <t>46 鹿児島県</t>
  </si>
  <si>
    <t>37 香川県</t>
  </si>
  <si>
    <t>18 福井県</t>
  </si>
  <si>
    <t>鹿角市</t>
  </si>
  <si>
    <t>他県から</t>
  </si>
  <si>
    <t>国外から</t>
  </si>
  <si>
    <t>02 青森県</t>
  </si>
  <si>
    <t>42 長崎県</t>
  </si>
  <si>
    <t>総　数</t>
    <rPh sb="0" eb="1">
      <t>ソウ</t>
    </rPh>
    <rPh sb="2" eb="3">
      <t>スウ</t>
    </rPh>
    <phoneticPr fontId="8"/>
  </si>
  <si>
    <t>20 長野県</t>
  </si>
  <si>
    <t>08 茨城県</t>
  </si>
  <si>
    <t>16 富山県</t>
  </si>
  <si>
    <t>04 宮城県</t>
  </si>
  <si>
    <t>常住者
（市町村
　人　口）</t>
    <rPh sb="0" eb="2">
      <t>ジョウジュウ</t>
    </rPh>
    <rPh sb="2" eb="3">
      <t>シャ</t>
    </rPh>
    <rPh sb="5" eb="8">
      <t>シチョウソン</t>
    </rPh>
    <rPh sb="10" eb="11">
      <t>ヒト</t>
    </rPh>
    <rPh sb="12" eb="13">
      <t>クチ</t>
    </rPh>
    <phoneticPr fontId="8"/>
  </si>
  <si>
    <t>女</t>
    <rPh sb="0" eb="1">
      <t>オンナ</t>
    </rPh>
    <phoneticPr fontId="8"/>
  </si>
  <si>
    <t>令和２年国勢調査　移動人口集計の概要（男女計）</t>
  </si>
  <si>
    <t>19 山梨県</t>
  </si>
  <si>
    <t>09 栃木県</t>
  </si>
  <si>
    <t>12 千葉県</t>
  </si>
  <si>
    <t>目次へ</t>
    <rPh sb="0" eb="2">
      <t>もくじ</t>
    </rPh>
    <phoneticPr fontId="8" type="Hiragana"/>
  </si>
  <si>
    <t>15 新潟県</t>
  </si>
  <si>
    <t>上　小
阿仁村</t>
  </si>
  <si>
    <t>17 石川県</t>
  </si>
  <si>
    <t xml:space="preserve">  県」などと確認できる者の数。</t>
    <rPh sb="7" eb="9">
      <t>カクニン</t>
    </rPh>
    <rPh sb="12" eb="13">
      <t>シャ</t>
    </rPh>
    <rPh sb="14" eb="15">
      <t>カズ</t>
    </rPh>
    <phoneticPr fontId="8"/>
  </si>
  <si>
    <t>常住者
（市町村
人口）</t>
    <rPh sb="0" eb="2">
      <t>ジョウジュウ</t>
    </rPh>
    <rPh sb="2" eb="3">
      <t>シャ</t>
    </rPh>
    <rPh sb="5" eb="8">
      <t>シチョウソン</t>
    </rPh>
    <rPh sb="9" eb="11">
      <t>ジンコウ</t>
    </rPh>
    <phoneticPr fontId="8"/>
  </si>
  <si>
    <t>44 大分県</t>
  </si>
  <si>
    <t>29 奈良県</t>
  </si>
  <si>
    <t>70～74歳</t>
    <rPh sb="5" eb="6">
      <t>サイ</t>
    </rPh>
    <phoneticPr fontId="8"/>
  </si>
  <si>
    <t>21 岐阜県</t>
  </si>
  <si>
    <t>割合（％）</t>
    <rPh sb="0" eb="2">
      <t>わりあい</t>
    </rPh>
    <phoneticPr fontId="8" type="Hiragana"/>
  </si>
  <si>
    <t>注）不詳補完値による</t>
    <rPh sb="0" eb="1">
      <t>チュウ</t>
    </rPh>
    <rPh sb="2" eb="4">
      <t>フショウ</t>
    </rPh>
    <rPh sb="4" eb="6">
      <t>ホカン</t>
    </rPh>
    <rPh sb="6" eb="7">
      <t>チ</t>
    </rPh>
    <phoneticPr fontId="8"/>
  </si>
  <si>
    <t>22 静岡県</t>
  </si>
  <si>
    <t>39 高知県</t>
  </si>
  <si>
    <t>23 愛知県</t>
  </si>
  <si>
    <t>26 京都府</t>
  </si>
  <si>
    <t>30 和歌山県</t>
  </si>
  <si>
    <t>36 徳島県</t>
  </si>
  <si>
    <t>31 鳥取県</t>
  </si>
  <si>
    <t>43 熊本県</t>
  </si>
  <si>
    <t>45 宮崎県</t>
  </si>
  <si>
    <t>5年前の常住者</t>
  </si>
  <si>
    <t xml:space="preserve">  前の常住地が秋田県と確認できる者の数。</t>
    <rPh sb="6" eb="7">
      <t>チ</t>
    </rPh>
    <rPh sb="8" eb="11">
      <t>アキタケン</t>
    </rPh>
    <rPh sb="12" eb="14">
      <t>カクニン</t>
    </rPh>
    <rPh sb="17" eb="18">
      <t>モノ</t>
    </rPh>
    <rPh sb="19" eb="20">
      <t>カズ</t>
    </rPh>
    <phoneticPr fontId="8"/>
  </si>
  <si>
    <t>5～9歳</t>
    <rPh sb="3" eb="4">
      <t>サイ</t>
    </rPh>
    <phoneticPr fontId="8"/>
  </si>
  <si>
    <t>20年以上</t>
    <rPh sb="2" eb="5">
      <t>ネンイジョウ</t>
    </rPh>
    <phoneticPr fontId="8"/>
  </si>
  <si>
    <t>自市町村内</t>
  </si>
  <si>
    <t>県内他市町村</t>
  </si>
  <si>
    <t>２位</t>
    <rPh sb="1" eb="2">
      <t>イ</t>
    </rPh>
    <phoneticPr fontId="8"/>
  </si>
  <si>
    <t>佐賀県</t>
  </si>
  <si>
    <t>令和２年</t>
    <rPh sb="0" eb="2">
      <t>レイワ</t>
    </rPh>
    <rPh sb="3" eb="4">
      <t>ネン</t>
    </rPh>
    <phoneticPr fontId="8"/>
  </si>
  <si>
    <t>男女計（人）</t>
    <rPh sb="0" eb="3">
      <t>ダンジョケイ</t>
    </rPh>
    <rPh sb="4" eb="5">
      <t>ニン</t>
    </rPh>
    <phoneticPr fontId="8"/>
  </si>
  <si>
    <t>5年前秋田県常住者の現住地（転出者数等）</t>
    <rPh sb="1" eb="3">
      <t>ネンマエ</t>
    </rPh>
    <rPh sb="3" eb="6">
      <t>アキタケン</t>
    </rPh>
    <rPh sb="6" eb="8">
      <t>ジョウジュウ</t>
    </rPh>
    <rPh sb="8" eb="9">
      <t>シャ</t>
    </rPh>
    <rPh sb="10" eb="13">
      <t>ゲンジュウチ</t>
    </rPh>
    <rPh sb="14" eb="16">
      <t>テンシュツ</t>
    </rPh>
    <rPh sb="16" eb="17">
      <t>シャ</t>
    </rPh>
    <rPh sb="17" eb="18">
      <t>スウ</t>
    </rPh>
    <rPh sb="18" eb="19">
      <t>トウ</t>
    </rPh>
    <phoneticPr fontId="8"/>
  </si>
  <si>
    <t>10

14
歳</t>
    <rPh sb="8" eb="9">
      <t>サイ</t>
    </rPh>
    <phoneticPr fontId="8"/>
  </si>
  <si>
    <t>高知県</t>
  </si>
  <si>
    <t>転　　入</t>
    <rPh sb="0" eb="1">
      <t>テン</t>
    </rPh>
    <rPh sb="3" eb="4">
      <t>イ</t>
    </rPh>
    <phoneticPr fontId="8"/>
  </si>
  <si>
    <t>85
歳
以
上</t>
    <rPh sb="3" eb="4">
      <t>サイ</t>
    </rPh>
    <rPh sb="5" eb="6">
      <t>イ</t>
    </rPh>
    <rPh sb="7" eb="8">
      <t>ウエ</t>
    </rPh>
    <phoneticPr fontId="8"/>
  </si>
  <si>
    <t>2)  例えば、「北海道2,288人」とは、令和２年国勢調査において、北海道常住者の国勢調査票から5年</t>
    <rPh sb="4" eb="5">
      <t>タト</t>
    </rPh>
    <rPh sb="9" eb="12">
      <t>ホッカイドウ</t>
    </rPh>
    <rPh sb="17" eb="18">
      <t>ニン</t>
    </rPh>
    <rPh sb="22" eb="24">
      <t>レイワ</t>
    </rPh>
    <rPh sb="25" eb="26">
      <t>ネン</t>
    </rPh>
    <rPh sb="26" eb="28">
      <t>コクセイ</t>
    </rPh>
    <rPh sb="28" eb="30">
      <t>チョウサ</t>
    </rPh>
    <rPh sb="35" eb="38">
      <t>ホッカイドウ</t>
    </rPh>
    <rPh sb="38" eb="40">
      <t>ジョウジュウ</t>
    </rPh>
    <rPh sb="40" eb="41">
      <t>シャ</t>
    </rPh>
    <rPh sb="42" eb="44">
      <t>コクセイ</t>
    </rPh>
    <rPh sb="44" eb="47">
      <t>チョウサヒョウ</t>
    </rPh>
    <rPh sb="50" eb="51">
      <t>トシ</t>
    </rPh>
    <phoneticPr fontId="8"/>
  </si>
  <si>
    <t>60～64歳</t>
    <rPh sb="5" eb="6">
      <t>サイ</t>
    </rPh>
    <phoneticPr fontId="8"/>
  </si>
  <si>
    <t>山口県</t>
  </si>
  <si>
    <t>女（人）</t>
    <rPh sb="0" eb="1">
      <t>オンナ</t>
    </rPh>
    <rPh sb="2" eb="3">
      <t>ニン</t>
    </rPh>
    <phoneticPr fontId="8"/>
  </si>
  <si>
    <t>秋田市</t>
  </si>
  <si>
    <t>注）よこ軸：市町村別転入者数、たて軸：市町村別転出者数。</t>
    <rPh sb="0" eb="1">
      <t>チュウ</t>
    </rPh>
    <rPh sb="4" eb="5">
      <t>ジク</t>
    </rPh>
    <rPh sb="6" eb="9">
      <t>シチョウソン</t>
    </rPh>
    <rPh sb="9" eb="10">
      <t>ベツ</t>
    </rPh>
    <rPh sb="10" eb="13">
      <t>テンニュウシャ</t>
    </rPh>
    <rPh sb="13" eb="14">
      <t>スウ</t>
    </rPh>
    <rPh sb="17" eb="18">
      <t>ジク</t>
    </rPh>
    <rPh sb="19" eb="22">
      <t>シチョウソン</t>
    </rPh>
    <rPh sb="22" eb="23">
      <t>ベツ</t>
    </rPh>
    <rPh sb="23" eb="26">
      <t>テンシュツシャ</t>
    </rPh>
    <rPh sb="26" eb="27">
      <t>スウ</t>
    </rPh>
    <phoneticPr fontId="8"/>
  </si>
  <si>
    <t>青森県</t>
  </si>
  <si>
    <t>目次へ</t>
    <rPh sb="0" eb="2">
      <t>モクジ</t>
    </rPh>
    <phoneticPr fontId="8"/>
  </si>
  <si>
    <t>目次へ</t>
    <rPh sb="0" eb="1">
      <t>メ</t>
    </rPh>
    <rPh sb="1" eb="2">
      <t>ツギ</t>
    </rPh>
    <phoneticPr fontId="8"/>
  </si>
  <si>
    <t>計</t>
    <rPh sb="0" eb="1">
      <t>ケイ</t>
    </rPh>
    <phoneticPr fontId="8"/>
  </si>
  <si>
    <t>表Ⅰ－１－１　5年前の常住地、男女別人口及び割合　〔秋田県〕　（平成27年、令和２年）</t>
    <rPh sb="0" eb="1">
      <t>ヒョウ</t>
    </rPh>
    <rPh sb="8" eb="10">
      <t>ネンマエ</t>
    </rPh>
    <rPh sb="11" eb="14">
      <t>ジョウジュウチ</t>
    </rPh>
    <rPh sb="15" eb="17">
      <t>ダンジョ</t>
    </rPh>
    <rPh sb="17" eb="18">
      <t>ベツ</t>
    </rPh>
    <rPh sb="18" eb="20">
      <t>ジンコウ</t>
    </rPh>
    <rPh sb="20" eb="21">
      <t>オヨ</t>
    </rPh>
    <rPh sb="22" eb="24">
      <t>ワリアイ</t>
    </rPh>
    <rPh sb="26" eb="29">
      <t>アキタケン</t>
    </rPh>
    <rPh sb="32" eb="34">
      <t>ヘイセイ</t>
    </rPh>
    <rPh sb="36" eb="37">
      <t>ネン</t>
    </rPh>
    <rPh sb="38" eb="40">
      <t>レイワ</t>
    </rPh>
    <rPh sb="41" eb="42">
      <t>ネン</t>
    </rPh>
    <phoneticPr fontId="8"/>
  </si>
  <si>
    <t>年次、男女</t>
    <rPh sb="0" eb="2">
      <t>ネンジ</t>
    </rPh>
    <rPh sb="3" eb="5">
      <t>ダンジョ</t>
    </rPh>
    <phoneticPr fontId="8"/>
  </si>
  <si>
    <t>75

79
歳</t>
    <rPh sb="8" eb="9">
      <t>サイ</t>
    </rPh>
    <phoneticPr fontId="8"/>
  </si>
  <si>
    <t>平成27年</t>
    <rPh sb="0" eb="2">
      <t>ヘイセイ</t>
    </rPh>
    <rPh sb="4" eb="5">
      <t>ネン</t>
    </rPh>
    <phoneticPr fontId="8"/>
  </si>
  <si>
    <t>増減</t>
    <rPh sb="0" eb="2">
      <t>ゾウゲン</t>
    </rPh>
    <phoneticPr fontId="8"/>
  </si>
  <si>
    <t>総数（人）</t>
    <rPh sb="0" eb="2">
      <t>ソウスウ</t>
    </rPh>
    <rPh sb="3" eb="4">
      <t>ニン</t>
    </rPh>
    <phoneticPr fontId="8"/>
  </si>
  <si>
    <t>20年以上</t>
  </si>
  <si>
    <t>率（％）</t>
    <rPh sb="0" eb="1">
      <t>リツ</t>
    </rPh>
    <phoneticPr fontId="8"/>
  </si>
  <si>
    <t>常住者
（県人口）</t>
    <rPh sb="0" eb="2">
      <t>ジョウジュウ</t>
    </rPh>
    <rPh sb="2" eb="3">
      <t>シャ</t>
    </rPh>
    <rPh sb="5" eb="6">
      <t>ケン</t>
    </rPh>
    <rPh sb="6" eb="8">
      <t>ジンコウ</t>
    </rPh>
    <phoneticPr fontId="8"/>
  </si>
  <si>
    <t>大館市</t>
  </si>
  <si>
    <t>神奈川県</t>
  </si>
  <si>
    <t>現住所</t>
    <rPh sb="0" eb="3">
      <t>ゲンジュウショ</t>
    </rPh>
    <phoneticPr fontId="8"/>
  </si>
  <si>
    <t>現住所以外
（移動人口）</t>
    <rPh sb="0" eb="3">
      <t>ゲンジュウショ</t>
    </rPh>
    <rPh sb="3" eb="5">
      <t>イガイ</t>
    </rPh>
    <rPh sb="7" eb="9">
      <t>イドウ</t>
    </rPh>
    <rPh sb="9" eb="11">
      <t>ジンコウ</t>
    </rPh>
    <phoneticPr fontId="8"/>
  </si>
  <si>
    <t>10年以上
20年未満</t>
    <rPh sb="2" eb="5">
      <t>ネンイジョウ</t>
    </rPh>
    <rPh sb="8" eb="9">
      <t>ネン</t>
    </rPh>
    <rPh sb="9" eb="11">
      <t>ミマン</t>
    </rPh>
    <phoneticPr fontId="8"/>
  </si>
  <si>
    <t>茨城県</t>
  </si>
  <si>
    <t>県内移動</t>
    <rPh sb="0" eb="2">
      <t>ケンナイ</t>
    </rPh>
    <rPh sb="2" eb="4">
      <t>イドウ</t>
    </rPh>
    <phoneticPr fontId="8"/>
  </si>
  <si>
    <t>大仙市</t>
  </si>
  <si>
    <t>自市町村内</t>
    <rPh sb="0" eb="1">
      <t>ジ</t>
    </rPh>
    <rPh sb="1" eb="4">
      <t>シチョウソン</t>
    </rPh>
    <rPh sb="4" eb="5">
      <t>ナイ</t>
    </rPh>
    <phoneticPr fontId="8"/>
  </si>
  <si>
    <t>表Ⅱ－２－１　居住期間、男女、市町村別人口の割合　〔秋田県〕　（令和２年）</t>
    <rPh sb="0" eb="1">
      <t>ヒョウ</t>
    </rPh>
    <rPh sb="7" eb="9">
      <t>キョジュウ</t>
    </rPh>
    <rPh sb="9" eb="11">
      <t>キカン</t>
    </rPh>
    <rPh sb="12" eb="14">
      <t>ダンジョ</t>
    </rPh>
    <rPh sb="15" eb="18">
      <t>シチョウソン</t>
    </rPh>
    <rPh sb="18" eb="19">
      <t>ベツ</t>
    </rPh>
    <rPh sb="19" eb="21">
      <t>ジンコウ</t>
    </rPh>
    <rPh sb="22" eb="24">
      <t>ワリアイ</t>
    </rPh>
    <rPh sb="26" eb="29">
      <t>アキタケン</t>
    </rPh>
    <rPh sb="32" eb="34">
      <t>レイワ</t>
    </rPh>
    <rPh sb="35" eb="36">
      <t>ネン</t>
    </rPh>
    <phoneticPr fontId="8"/>
  </si>
  <si>
    <t>県内
他市
町村</t>
    <rPh sb="0" eb="2">
      <t>ケンナイ</t>
    </rPh>
    <rPh sb="3" eb="4">
      <t>タ</t>
    </rPh>
    <rPh sb="4" eb="5">
      <t>シ</t>
    </rPh>
    <rPh sb="6" eb="8">
      <t>チョウソン</t>
    </rPh>
    <phoneticPr fontId="8"/>
  </si>
  <si>
    <t>転　入</t>
    <rPh sb="0" eb="1">
      <t>テン</t>
    </rPh>
    <rPh sb="2" eb="3">
      <t>イ</t>
    </rPh>
    <phoneticPr fontId="8"/>
  </si>
  <si>
    <t>（別掲）
他県へ
転　出</t>
    <rPh sb="1" eb="3">
      <t>ベッケイ</t>
    </rPh>
    <rPh sb="5" eb="7">
      <t>タケン</t>
    </rPh>
    <rPh sb="9" eb="10">
      <t>テン</t>
    </rPh>
    <rPh sb="11" eb="12">
      <t>デ</t>
    </rPh>
    <phoneticPr fontId="8"/>
  </si>
  <si>
    <t>他県</t>
    <rPh sb="0" eb="1">
      <t>ホカ</t>
    </rPh>
    <phoneticPr fontId="8"/>
  </si>
  <si>
    <t>群馬県</t>
  </si>
  <si>
    <t>国外</t>
    <rPh sb="0" eb="2">
      <t>コクガイ</t>
    </rPh>
    <phoneticPr fontId="8"/>
  </si>
  <si>
    <t>羽後町</t>
    <rPh sb="0" eb="3">
      <t>ウゴマチ</t>
    </rPh>
    <phoneticPr fontId="8"/>
  </si>
  <si>
    <t>都道府県</t>
    <rPh sb="0" eb="4">
      <t>トドウフケン</t>
    </rPh>
    <phoneticPr fontId="8"/>
  </si>
  <si>
    <t>富山県</t>
  </si>
  <si>
    <t>総　　数</t>
    <rPh sb="0" eb="1">
      <t>ソウ</t>
    </rPh>
    <rPh sb="3" eb="4">
      <t>スウ</t>
    </rPh>
    <phoneticPr fontId="8"/>
  </si>
  <si>
    <t>北海道</t>
    <rPh sb="0" eb="3">
      <t>ホッカイドウ</t>
    </rPh>
    <phoneticPr fontId="8"/>
  </si>
  <si>
    <t>表Ⅰ－４－４　都道府県、男女別転入及び転出者数（転入･転出超過数）　〔秋田県〕 　（令和２年）</t>
    <rPh sb="0" eb="1">
      <t>ヒョウ</t>
    </rPh>
    <rPh sb="7" eb="11">
      <t>トドウフケン</t>
    </rPh>
    <rPh sb="12" eb="14">
      <t>ダンジョ</t>
    </rPh>
    <rPh sb="14" eb="15">
      <t>ベツ</t>
    </rPh>
    <rPh sb="15" eb="17">
      <t>テンニュウ</t>
    </rPh>
    <rPh sb="17" eb="18">
      <t>オヨ</t>
    </rPh>
    <rPh sb="19" eb="21">
      <t>テンシュツ</t>
    </rPh>
    <rPh sb="21" eb="22">
      <t>シャ</t>
    </rPh>
    <rPh sb="22" eb="23">
      <t>スウ</t>
    </rPh>
    <rPh sb="24" eb="26">
      <t>テンニュウ</t>
    </rPh>
    <rPh sb="27" eb="29">
      <t>テンシュツ</t>
    </rPh>
    <rPh sb="29" eb="31">
      <t>チョウカ</t>
    </rPh>
    <rPh sb="31" eb="32">
      <t>スウ</t>
    </rPh>
    <rPh sb="35" eb="38">
      <t>アキタケン</t>
    </rPh>
    <rPh sb="42" eb="44">
      <t>レイワ</t>
    </rPh>
    <rPh sb="45" eb="46">
      <t>ネン</t>
    </rPh>
    <phoneticPr fontId="8"/>
  </si>
  <si>
    <t>75～
79歳</t>
    <rPh sb="6" eb="7">
      <t>サイ</t>
    </rPh>
    <phoneticPr fontId="8"/>
  </si>
  <si>
    <t>青森県</t>
    <rPh sb="0" eb="3">
      <t>アオモリケン</t>
    </rPh>
    <phoneticPr fontId="8"/>
  </si>
  <si>
    <t>岩手県</t>
    <rPh sb="0" eb="3">
      <t>イワテケン</t>
    </rPh>
    <phoneticPr fontId="8"/>
  </si>
  <si>
    <t>１位</t>
    <rPh sb="1" eb="2">
      <t>イ</t>
    </rPh>
    <phoneticPr fontId="8"/>
  </si>
  <si>
    <t>宮城県</t>
    <rPh sb="0" eb="3">
      <t>ミヤギケン</t>
    </rPh>
    <phoneticPr fontId="8"/>
  </si>
  <si>
    <t>秋田県</t>
    <rPh sb="0" eb="3">
      <t>アキタケン</t>
    </rPh>
    <phoneticPr fontId="8"/>
  </si>
  <si>
    <t>福島県</t>
    <rPh sb="0" eb="3">
      <t>フクシマケン</t>
    </rPh>
    <phoneticPr fontId="8"/>
  </si>
  <si>
    <t>30～
34歳</t>
    <rPh sb="6" eb="7">
      <t>サイ</t>
    </rPh>
    <phoneticPr fontId="8"/>
  </si>
  <si>
    <t>栃木県</t>
  </si>
  <si>
    <t>注）　不詳補完値による。</t>
    <rPh sb="0" eb="1">
      <t>チュウ</t>
    </rPh>
    <rPh sb="3" eb="5">
      <t>フショウ</t>
    </rPh>
    <rPh sb="5" eb="7">
      <t>ホカン</t>
    </rPh>
    <rPh sb="7" eb="8">
      <t>チ</t>
    </rPh>
    <phoneticPr fontId="8"/>
  </si>
  <si>
    <t>埼玉県</t>
  </si>
  <si>
    <t>総　　　　数</t>
    <rPh sb="0" eb="1">
      <t>ソウ</t>
    </rPh>
    <rPh sb="5" eb="6">
      <t>スウ</t>
    </rPh>
    <phoneticPr fontId="8"/>
  </si>
  <si>
    <t>新潟県</t>
  </si>
  <si>
    <t>石川県</t>
  </si>
  <si>
    <t>福井県</t>
  </si>
  <si>
    <t>山梨県</t>
  </si>
  <si>
    <t>自市
町村
内</t>
    <rPh sb="0" eb="1">
      <t>ジ</t>
    </rPh>
    <rPh sb="1" eb="2">
      <t>イチ</t>
    </rPh>
    <rPh sb="3" eb="5">
      <t>チョウソン</t>
    </rPh>
    <rPh sb="6" eb="7">
      <t>ナイ</t>
    </rPh>
    <phoneticPr fontId="8"/>
  </si>
  <si>
    <t>長野県</t>
  </si>
  <si>
    <t>岐阜県</t>
  </si>
  <si>
    <t>静岡県</t>
  </si>
  <si>
    <t>愛知県</t>
  </si>
  <si>
    <t>☆宮城県</t>
  </si>
  <si>
    <t>三重県</t>
  </si>
  <si>
    <t>滋賀県</t>
  </si>
  <si>
    <t>大阪府</t>
  </si>
  <si>
    <t>奈良県</t>
  </si>
  <si>
    <t>和歌山県</t>
  </si>
  <si>
    <t>鳥取県</t>
  </si>
  <si>
    <t>35～39歳</t>
    <rPh sb="5" eb="6">
      <t>サイ</t>
    </rPh>
    <phoneticPr fontId="8"/>
  </si>
  <si>
    <t>島根県</t>
  </si>
  <si>
    <t>広島県</t>
  </si>
  <si>
    <t>徳島県</t>
  </si>
  <si>
    <t>愛媛県</t>
  </si>
  <si>
    <t>県南地域</t>
    <rPh sb="0" eb="2">
      <t>ケンナン</t>
    </rPh>
    <rPh sb="2" eb="4">
      <t>チイキ</t>
    </rPh>
    <phoneticPr fontId="8"/>
  </si>
  <si>
    <t>福岡県</t>
  </si>
  <si>
    <t>割　　　　　合　（　％　）</t>
    <rPh sb="0" eb="1">
      <t>ワリ</t>
    </rPh>
    <rPh sb="6" eb="7">
      <t>ア</t>
    </rPh>
    <phoneticPr fontId="8"/>
  </si>
  <si>
    <t>熊本県</t>
  </si>
  <si>
    <t>大分県</t>
  </si>
  <si>
    <t>宮崎県</t>
  </si>
  <si>
    <t>鹿児島県</t>
  </si>
  <si>
    <t>県　　　北　　　地　　　域</t>
    <rPh sb="0" eb="1">
      <t>ケン</t>
    </rPh>
    <rPh sb="4" eb="5">
      <t>キタ</t>
    </rPh>
    <rPh sb="8" eb="9">
      <t>チ</t>
    </rPh>
    <rPh sb="12" eb="13">
      <t>イキ</t>
    </rPh>
    <phoneticPr fontId="8"/>
  </si>
  <si>
    <t>沖縄県</t>
  </si>
  <si>
    <t>1)　令和２年国勢調査において、秋田県常住者の国勢調査票から、5年前の常住地が「北海道」、「青森</t>
    <rPh sb="3" eb="5">
      <t>レイワ</t>
    </rPh>
    <rPh sb="6" eb="7">
      <t>ネン</t>
    </rPh>
    <rPh sb="7" eb="9">
      <t>コクセイ</t>
    </rPh>
    <rPh sb="9" eb="11">
      <t>チョウサ</t>
    </rPh>
    <rPh sb="16" eb="18">
      <t>アキタ</t>
    </rPh>
    <rPh sb="18" eb="19">
      <t>ケン</t>
    </rPh>
    <rPh sb="19" eb="21">
      <t>ジョウジュウ</t>
    </rPh>
    <rPh sb="21" eb="22">
      <t>シャ</t>
    </rPh>
    <rPh sb="23" eb="25">
      <t>コクセイ</t>
    </rPh>
    <rPh sb="25" eb="27">
      <t>チョウサ</t>
    </rPh>
    <rPh sb="27" eb="28">
      <t>ヒョウ</t>
    </rPh>
    <rPh sb="32" eb="34">
      <t>ネンマエ</t>
    </rPh>
    <rPh sb="35" eb="37">
      <t>ジョウジュウ</t>
    </rPh>
    <rPh sb="37" eb="38">
      <t>チ</t>
    </rPh>
    <rPh sb="40" eb="43">
      <t>ホッカイドウ</t>
    </rPh>
    <rPh sb="46" eb="48">
      <t>アオモリ</t>
    </rPh>
    <phoneticPr fontId="8"/>
  </si>
  <si>
    <t>1年以上
5年未満</t>
    <rPh sb="1" eb="4">
      <t>ネンイジョウ</t>
    </rPh>
    <rPh sb="6" eb="7">
      <t>ネン</t>
    </rPh>
    <rPh sb="7" eb="9">
      <t>ミマン</t>
    </rPh>
    <phoneticPr fontId="8"/>
  </si>
  <si>
    <t>常住者</t>
    <rPh sb="0" eb="2">
      <t>ジョウジュウ</t>
    </rPh>
    <rPh sb="2" eb="3">
      <t>シャ</t>
    </rPh>
    <phoneticPr fontId="8"/>
  </si>
  <si>
    <t>県　　　央　　　地　　　域</t>
    <rPh sb="0" eb="1">
      <t>ケン</t>
    </rPh>
    <rPh sb="4" eb="5">
      <t>ヒサシ</t>
    </rPh>
    <rPh sb="8" eb="9">
      <t>チ</t>
    </rPh>
    <rPh sb="12" eb="13">
      <t>イキ</t>
    </rPh>
    <phoneticPr fontId="8"/>
  </si>
  <si>
    <t>現住所
以　 外
（移動
  人口）</t>
    <rPh sb="0" eb="3">
      <t>ゲンジュウショ</t>
    </rPh>
    <rPh sb="4" eb="5">
      <t>イ</t>
    </rPh>
    <rPh sb="7" eb="8">
      <t>ソト</t>
    </rPh>
    <rPh sb="10" eb="12">
      <t>イドウ</t>
    </rPh>
    <rPh sb="15" eb="17">
      <t>ジンコウ</t>
    </rPh>
    <phoneticPr fontId="8"/>
  </si>
  <si>
    <t>県内
移動</t>
    <rPh sb="1" eb="2">
      <t>ナイ</t>
    </rPh>
    <rPh sb="3" eb="5">
      <t>イドウ</t>
    </rPh>
    <phoneticPr fontId="8"/>
  </si>
  <si>
    <t>割　　　　　　　　　　　　　　　　　　合　（％）</t>
    <rPh sb="0" eb="1">
      <t>ワリ</t>
    </rPh>
    <rPh sb="19" eb="20">
      <t>ゴウ</t>
    </rPh>
    <phoneticPr fontId="8"/>
  </si>
  <si>
    <t>大潟村</t>
    <rPh sb="0" eb="3">
      <t>オオガタムラ</t>
    </rPh>
    <phoneticPr fontId="8"/>
  </si>
  <si>
    <t>男　　　女
年齢階級</t>
    <rPh sb="0" eb="1">
      <t>オトコ</t>
    </rPh>
    <rPh sb="4" eb="5">
      <t>オンナ</t>
    </rPh>
    <rPh sb="6" eb="8">
      <t>ネンレイ</t>
    </rPh>
    <rPh sb="8" eb="10">
      <t>カイキュウ</t>
    </rPh>
    <phoneticPr fontId="8"/>
  </si>
  <si>
    <t>　総　数</t>
    <rPh sb="1" eb="2">
      <t>ソウ</t>
    </rPh>
    <rPh sb="3" eb="4">
      <t>スウ</t>
    </rPh>
    <phoneticPr fontId="8"/>
  </si>
  <si>
    <t>0
～
4
歳</t>
    <rPh sb="6" eb="7">
      <t>サイ</t>
    </rPh>
    <phoneticPr fontId="8"/>
  </si>
  <si>
    <t>5～
9歳</t>
    <rPh sb="4" eb="5">
      <t>サイ</t>
    </rPh>
    <phoneticPr fontId="8"/>
  </si>
  <si>
    <t>10～
14歳</t>
    <rPh sb="6" eb="7">
      <t>サイ</t>
    </rPh>
    <phoneticPr fontId="8"/>
  </si>
  <si>
    <t>表Ⅰ－４－３　年齢（５歳階級）、上位５都県別転出者数と割合　〔秋田県〕　（令和２年）</t>
    <rPh sb="0" eb="1">
      <t>ヒョウ</t>
    </rPh>
    <rPh sb="7" eb="9">
      <t>ネンレイ</t>
    </rPh>
    <rPh sb="11" eb="12">
      <t>サイ</t>
    </rPh>
    <rPh sb="12" eb="14">
      <t>カイキュウ</t>
    </rPh>
    <rPh sb="16" eb="18">
      <t>ジョウイ</t>
    </rPh>
    <rPh sb="19" eb="21">
      <t>トケン</t>
    </rPh>
    <rPh sb="21" eb="22">
      <t>ベツ</t>
    </rPh>
    <rPh sb="22" eb="24">
      <t>テンシュツ</t>
    </rPh>
    <rPh sb="24" eb="25">
      <t>シャ</t>
    </rPh>
    <rPh sb="25" eb="26">
      <t>スウ</t>
    </rPh>
    <rPh sb="27" eb="29">
      <t>ワリアイ</t>
    </rPh>
    <rPh sb="31" eb="34">
      <t>アキタケン</t>
    </rPh>
    <rPh sb="37" eb="39">
      <t>レイワ</t>
    </rPh>
    <rPh sb="40" eb="41">
      <t>ネン</t>
    </rPh>
    <phoneticPr fontId="8"/>
  </si>
  <si>
    <t>1)　不詳補完値による。</t>
    <rPh sb="3" eb="5">
      <t>フショウ</t>
    </rPh>
    <rPh sb="5" eb="7">
      <t>ホカン</t>
    </rPh>
    <rPh sb="7" eb="8">
      <t>チ</t>
    </rPh>
    <phoneticPr fontId="8"/>
  </si>
  <si>
    <t>15～
19歳</t>
    <rPh sb="6" eb="7">
      <t>サイ</t>
    </rPh>
    <phoneticPr fontId="8"/>
  </si>
  <si>
    <t>20～
24歳</t>
    <rPh sb="6" eb="7">
      <t>サイ</t>
    </rPh>
    <phoneticPr fontId="8"/>
  </si>
  <si>
    <t>岩手県</t>
  </si>
  <si>
    <t>25～
29歳</t>
    <rPh sb="6" eb="7">
      <t>サイ</t>
    </rPh>
    <phoneticPr fontId="8"/>
  </si>
  <si>
    <t>総数</t>
    <rPh sb="0" eb="2">
      <t>ソウスウ</t>
    </rPh>
    <phoneticPr fontId="8"/>
  </si>
  <si>
    <t>25

29
歳</t>
    <rPh sb="8" eb="9">
      <t>サイ</t>
    </rPh>
    <phoneticPr fontId="8"/>
  </si>
  <si>
    <t>35～
39歳</t>
    <rPh sb="6" eb="7">
      <t>サイ</t>
    </rPh>
    <phoneticPr fontId="8"/>
  </si>
  <si>
    <t>40～
44歳</t>
    <rPh sb="6" eb="7">
      <t>サイ</t>
    </rPh>
    <phoneticPr fontId="8"/>
  </si>
  <si>
    <t>50～
54歳</t>
    <rPh sb="6" eb="7">
      <t>サイ</t>
    </rPh>
    <phoneticPr fontId="8"/>
  </si>
  <si>
    <t>（再掲）</t>
    <rPh sb="1" eb="3">
      <t>サイケイ</t>
    </rPh>
    <phoneticPr fontId="8"/>
  </si>
  <si>
    <t>55～
59歳</t>
    <rPh sb="6" eb="7">
      <t>サイ</t>
    </rPh>
    <phoneticPr fontId="8"/>
  </si>
  <si>
    <t>65～
69歳</t>
    <rPh sb="6" eb="7">
      <t>サイ</t>
    </rPh>
    <phoneticPr fontId="8"/>
  </si>
  <si>
    <t>70～
74歳</t>
    <rPh sb="6" eb="7">
      <t>サイ</t>
    </rPh>
    <phoneticPr fontId="8"/>
  </si>
  <si>
    <t>80～
84歳</t>
    <rPh sb="6" eb="7">
      <t>サイ</t>
    </rPh>
    <phoneticPr fontId="8"/>
  </si>
  <si>
    <t>男</t>
    <rPh sb="0" eb="1">
      <t>オトコ</t>
    </rPh>
    <phoneticPr fontId="8"/>
  </si>
  <si>
    <t>1年未満</t>
    <rPh sb="1" eb="2">
      <t>ネン</t>
    </rPh>
    <rPh sb="2" eb="4">
      <t>ミマン</t>
    </rPh>
    <phoneticPr fontId="8"/>
  </si>
  <si>
    <t>0～
4歳</t>
    <rPh sb="4" eb="5">
      <t>サイ</t>
    </rPh>
    <phoneticPr fontId="8"/>
  </si>
  <si>
    <t>85歳
以上</t>
    <rPh sb="2" eb="3">
      <t>サイ</t>
    </rPh>
    <rPh sb="4" eb="6">
      <t>イジョウ</t>
    </rPh>
    <phoneticPr fontId="8"/>
  </si>
  <si>
    <t>実　　　　　　数　　　　（　人　）</t>
    <rPh sb="0" eb="1">
      <t>ジツ</t>
    </rPh>
    <rPh sb="7" eb="8">
      <t>カズ</t>
    </rPh>
    <rPh sb="14" eb="15">
      <t>ニン</t>
    </rPh>
    <phoneticPr fontId="8"/>
  </si>
  <si>
    <t>現住所
以外
（移動
人口）</t>
    <rPh sb="0" eb="3">
      <t>ゲンジュウショ</t>
    </rPh>
    <rPh sb="4" eb="6">
      <t>イガイ</t>
    </rPh>
    <rPh sb="8" eb="10">
      <t>イドウ</t>
    </rPh>
    <rPh sb="11" eb="13">
      <t>ジンコウ</t>
    </rPh>
    <phoneticPr fontId="8"/>
  </si>
  <si>
    <t>自市町
村内</t>
    <rPh sb="0" eb="1">
      <t>ジ</t>
    </rPh>
    <rPh sb="1" eb="3">
      <t>シチョウ</t>
    </rPh>
    <rPh sb="4" eb="5">
      <t>ムラ</t>
    </rPh>
    <rPh sb="5" eb="6">
      <t>ナイ</t>
    </rPh>
    <phoneticPr fontId="8"/>
  </si>
  <si>
    <t>転入者数
（人）</t>
    <rPh sb="0" eb="2">
      <t>テンニュウ</t>
    </rPh>
    <rPh sb="2" eb="3">
      <t>シャ</t>
    </rPh>
    <rPh sb="3" eb="4">
      <t>スウ</t>
    </rPh>
    <rPh sb="6" eb="7">
      <t>ニン</t>
    </rPh>
    <phoneticPr fontId="8"/>
  </si>
  <si>
    <t>他県</t>
    <rPh sb="0" eb="2">
      <t>タケン</t>
    </rPh>
    <phoneticPr fontId="8"/>
  </si>
  <si>
    <t>（別掲）
他県へ
転　出</t>
    <rPh sb="1" eb="3">
      <t>ベッケイ</t>
    </rPh>
    <rPh sb="5" eb="6">
      <t>タ</t>
    </rPh>
    <rPh sb="6" eb="7">
      <t>ケン</t>
    </rPh>
    <rPh sb="9" eb="10">
      <t>テン</t>
    </rPh>
    <rPh sb="11" eb="12">
      <t>シュツ</t>
    </rPh>
    <phoneticPr fontId="8"/>
  </si>
  <si>
    <t>割　　　　　合　　　（％）</t>
    <rPh sb="0" eb="1">
      <t>ワリ</t>
    </rPh>
    <rPh sb="6" eb="7">
      <t>ゴウ</t>
    </rPh>
    <phoneticPr fontId="8"/>
  </si>
  <si>
    <t>県内
移動</t>
    <rPh sb="0" eb="2">
      <t>ケンナイ</t>
    </rPh>
    <rPh sb="3" eb="5">
      <t>イドウ</t>
    </rPh>
    <phoneticPr fontId="8"/>
  </si>
  <si>
    <t>男鹿市</t>
    <rPh sb="0" eb="3">
      <t>オガシ</t>
    </rPh>
    <phoneticPr fontId="8"/>
  </si>
  <si>
    <t>自市
町村内</t>
    <rPh sb="0" eb="1">
      <t>ジ</t>
    </rPh>
    <rPh sb="1" eb="2">
      <t>シ</t>
    </rPh>
    <rPh sb="3" eb="5">
      <t>チョウソン</t>
    </rPh>
    <rPh sb="5" eb="6">
      <t>ナイ</t>
    </rPh>
    <phoneticPr fontId="8"/>
  </si>
  <si>
    <t>県内
他市
町村</t>
    <rPh sb="0" eb="2">
      <t>ケンナイ</t>
    </rPh>
    <rPh sb="3" eb="4">
      <t>タ</t>
    </rPh>
    <rPh sb="6" eb="8">
      <t>チョウソン</t>
    </rPh>
    <phoneticPr fontId="8"/>
  </si>
  <si>
    <t>転入</t>
    <rPh sb="0" eb="2">
      <t>テンニュウ</t>
    </rPh>
    <phoneticPr fontId="8"/>
  </si>
  <si>
    <t>上小阿仁村</t>
    <rPh sb="0" eb="5">
      <t>カミコアニムラ</t>
    </rPh>
    <phoneticPr fontId="8"/>
  </si>
  <si>
    <t>0

4
歳</t>
    <rPh sb="6" eb="7">
      <t>サイ</t>
    </rPh>
    <phoneticPr fontId="8"/>
  </si>
  <si>
    <t>5

9
歳</t>
    <rPh sb="6" eb="7">
      <t>サイ</t>
    </rPh>
    <phoneticPr fontId="8"/>
  </si>
  <si>
    <t>15

19
歳</t>
    <rPh sb="8" eb="9">
      <t>サイ</t>
    </rPh>
    <phoneticPr fontId="8"/>
  </si>
  <si>
    <t>20

24
歳</t>
    <rPh sb="8" eb="9">
      <t>サイ</t>
    </rPh>
    <phoneticPr fontId="8"/>
  </si>
  <si>
    <t>30

34
歳</t>
    <rPh sb="8" eb="9">
      <t>サイ</t>
    </rPh>
    <phoneticPr fontId="8"/>
  </si>
  <si>
    <t>35

39
歳</t>
    <rPh sb="8" eb="9">
      <t>サイ</t>
    </rPh>
    <phoneticPr fontId="8"/>
  </si>
  <si>
    <t>転入元上位市町村（％）</t>
    <rPh sb="0" eb="2">
      <t>テンニュウ</t>
    </rPh>
    <rPh sb="2" eb="3">
      <t>モト</t>
    </rPh>
    <rPh sb="3" eb="5">
      <t>ジョウイ</t>
    </rPh>
    <rPh sb="5" eb="8">
      <t>シチョウソン</t>
    </rPh>
    <phoneticPr fontId="8"/>
  </si>
  <si>
    <t>藤里町</t>
  </si>
  <si>
    <t>40

44
歳</t>
    <rPh sb="8" eb="9">
      <t>サイ</t>
    </rPh>
    <phoneticPr fontId="8"/>
  </si>
  <si>
    <t>３位</t>
    <rPh sb="1" eb="2">
      <t>イ</t>
    </rPh>
    <phoneticPr fontId="8"/>
  </si>
  <si>
    <t>井川町</t>
  </si>
  <si>
    <t>　　男</t>
    <rPh sb="2" eb="3">
      <t>オトコ</t>
    </rPh>
    <phoneticPr fontId="8"/>
  </si>
  <si>
    <t>45

49
歳</t>
    <rPh sb="8" eb="9">
      <t>サイ</t>
    </rPh>
    <phoneticPr fontId="8"/>
  </si>
  <si>
    <t>能代市</t>
    <rPh sb="0" eb="3">
      <t>ノシロシ</t>
    </rPh>
    <phoneticPr fontId="8"/>
  </si>
  <si>
    <t>50

54
歳</t>
    <rPh sb="8" eb="9">
      <t>サイ</t>
    </rPh>
    <phoneticPr fontId="8"/>
  </si>
  <si>
    <t>☆青森県</t>
  </si>
  <si>
    <t>70

74
歳</t>
    <rPh sb="8" eb="9">
      <t>サイ</t>
    </rPh>
    <phoneticPr fontId="8"/>
  </si>
  <si>
    <t>60

64
歳</t>
    <rPh sb="8" eb="9">
      <t>サイ</t>
    </rPh>
    <phoneticPr fontId="8"/>
  </si>
  <si>
    <t>65

69
歳</t>
    <rPh sb="8" eb="9">
      <t>サイ</t>
    </rPh>
    <phoneticPr fontId="8"/>
  </si>
  <si>
    <t>北秋田市、
三種町</t>
    <rPh sb="0" eb="4">
      <t>キタアキタシ</t>
    </rPh>
    <rPh sb="6" eb="9">
      <t>ミタネチョウ</t>
    </rPh>
    <phoneticPr fontId="8"/>
  </si>
  <si>
    <t>80

84
歳</t>
    <rPh sb="8" eb="9">
      <t>サイ</t>
    </rPh>
    <phoneticPr fontId="8"/>
  </si>
  <si>
    <t>図Ⅰ－２－２　男女、年齢（５歳階級）別移動人口の割合　〔秋田県〕　（令和２年）</t>
    <rPh sb="0" eb="1">
      <t>ズ</t>
    </rPh>
    <rPh sb="7" eb="9">
      <t>ダンジョ</t>
    </rPh>
    <rPh sb="10" eb="12">
      <t>ネンレイ</t>
    </rPh>
    <rPh sb="14" eb="15">
      <t>サイ</t>
    </rPh>
    <rPh sb="15" eb="17">
      <t>カイキュウ</t>
    </rPh>
    <rPh sb="18" eb="19">
      <t>ベツ</t>
    </rPh>
    <rPh sb="19" eb="21">
      <t>イドウ</t>
    </rPh>
    <rPh sb="21" eb="23">
      <t>ジンコウ</t>
    </rPh>
    <rPh sb="24" eb="26">
      <t>ワリアイ</t>
    </rPh>
    <rPh sb="28" eb="31">
      <t>アキタケン</t>
    </rPh>
    <rPh sb="34" eb="36">
      <t>レイワ</t>
    </rPh>
    <rPh sb="37" eb="38">
      <t>ネン</t>
    </rPh>
    <phoneticPr fontId="8"/>
  </si>
  <si>
    <t>表　Ⅰ－３－１　居住期間、男女別人口と割合　〔秋田県〕　（令和２年）</t>
    <rPh sb="0" eb="1">
      <t>ひょう</t>
    </rPh>
    <rPh sb="8" eb="10">
      <t>きょじゅう</t>
    </rPh>
    <rPh sb="10" eb="12">
      <t>きかん</t>
    </rPh>
    <rPh sb="13" eb="16">
      <t>だんじょべつ</t>
    </rPh>
    <rPh sb="16" eb="18">
      <t>じんこう</t>
    </rPh>
    <rPh sb="19" eb="21">
      <t>わりあい</t>
    </rPh>
    <rPh sb="23" eb="26">
      <t>あきたけん</t>
    </rPh>
    <rPh sb="29" eb="31">
      <t>れいわ</t>
    </rPh>
    <rPh sb="32" eb="33">
      <t>ねん</t>
    </rPh>
    <phoneticPr fontId="8" type="Hiragana"/>
  </si>
  <si>
    <t>男女計</t>
    <rPh sb="0" eb="3">
      <t>だんじょけい</t>
    </rPh>
    <phoneticPr fontId="8" type="Hiragana"/>
  </si>
  <si>
    <t>県、
市町村</t>
    <rPh sb="0" eb="1">
      <t>ケン</t>
    </rPh>
    <rPh sb="3" eb="6">
      <t>シチョウソン</t>
    </rPh>
    <phoneticPr fontId="8"/>
  </si>
  <si>
    <t>男</t>
    <rPh sb="0" eb="1">
      <t>おとこ</t>
    </rPh>
    <phoneticPr fontId="8" type="Hiragana"/>
  </si>
  <si>
    <t>女</t>
    <rPh sb="0" eb="1">
      <t>おんな</t>
    </rPh>
    <phoneticPr fontId="8" type="Hiragana"/>
  </si>
  <si>
    <t>転入・転出
超過数</t>
    <rPh sb="0" eb="2">
      <t>テンニュウ</t>
    </rPh>
    <rPh sb="3" eb="4">
      <t>テン</t>
    </rPh>
    <rPh sb="4" eb="5">
      <t>シュツ</t>
    </rPh>
    <rPh sb="6" eb="8">
      <t>チョウカ</t>
    </rPh>
    <rPh sb="8" eb="9">
      <t>スウ</t>
    </rPh>
    <phoneticPr fontId="8"/>
  </si>
  <si>
    <t>５年前に
住んでいた
市町村</t>
    <rPh sb="1" eb="3">
      <t>ネンマエ</t>
    </rPh>
    <rPh sb="5" eb="6">
      <t>ス</t>
    </rPh>
    <rPh sb="11" eb="14">
      <t>シチョウソン</t>
    </rPh>
    <phoneticPr fontId="8"/>
  </si>
  <si>
    <t>表Ⅱ－３－１　市町村間移動の状況（上位３位の転入・転出者数の割合）　〔秋田県〕　（令和２年）</t>
    <rPh sb="0" eb="1">
      <t>ヒョウ</t>
    </rPh>
    <rPh sb="7" eb="10">
      <t>シチョウソン</t>
    </rPh>
    <rPh sb="10" eb="11">
      <t>カン</t>
    </rPh>
    <rPh sb="11" eb="13">
      <t>イドウ</t>
    </rPh>
    <rPh sb="14" eb="16">
      <t>ジョウキョウ</t>
    </rPh>
    <rPh sb="17" eb="19">
      <t>ジョウイ</t>
    </rPh>
    <rPh sb="20" eb="21">
      <t>イ</t>
    </rPh>
    <rPh sb="22" eb="24">
      <t>テンニュウ</t>
    </rPh>
    <rPh sb="25" eb="27">
      <t>テンシュツ</t>
    </rPh>
    <rPh sb="27" eb="28">
      <t>シャ</t>
    </rPh>
    <rPh sb="28" eb="29">
      <t>スウ</t>
    </rPh>
    <rPh sb="30" eb="32">
      <t>ワリアイ</t>
    </rPh>
    <rPh sb="35" eb="38">
      <t>アキタケン</t>
    </rPh>
    <rPh sb="41" eb="43">
      <t>レイワ</t>
    </rPh>
    <rPh sb="44" eb="45">
      <t>ネン</t>
    </rPh>
    <phoneticPr fontId="8"/>
  </si>
  <si>
    <t>総数</t>
  </si>
  <si>
    <t>出生時
から</t>
  </si>
  <si>
    <t>1年未満</t>
  </si>
  <si>
    <t>現在の
住所地</t>
    <rPh sb="0" eb="2">
      <t>ゲンザイ</t>
    </rPh>
    <rPh sb="4" eb="7">
      <t>ジュウショチ</t>
    </rPh>
    <phoneticPr fontId="8"/>
  </si>
  <si>
    <t>1年以上
5年未満</t>
  </si>
  <si>
    <t>5年以上
10年未満</t>
  </si>
  <si>
    <t>10年以上
20年未満</t>
  </si>
  <si>
    <t>居住期間
「不詳」</t>
  </si>
  <si>
    <t>表Ⅰ－３－１　居住期間、都道府県別人口の割合　〔全国〕 （令和２年）</t>
    <rPh sb="0" eb="1">
      <t>ヒョウ</t>
    </rPh>
    <rPh sb="7" eb="9">
      <t>キョジュウ</t>
    </rPh>
    <rPh sb="9" eb="11">
      <t>キカン</t>
    </rPh>
    <rPh sb="12" eb="16">
      <t>トドウフケン</t>
    </rPh>
    <rPh sb="16" eb="17">
      <t>ベツ</t>
    </rPh>
    <rPh sb="17" eb="19">
      <t>ジンコウ</t>
    </rPh>
    <rPh sb="20" eb="22">
      <t>ワリアイ</t>
    </rPh>
    <rPh sb="24" eb="26">
      <t>ゼンコク</t>
    </rPh>
    <rPh sb="29" eb="31">
      <t>レイワ</t>
    </rPh>
    <rPh sb="32" eb="33">
      <t>ネン</t>
    </rPh>
    <phoneticPr fontId="8"/>
  </si>
  <si>
    <t>出生時
から</t>
    <rPh sb="0" eb="3">
      <t>シュッセイジ</t>
    </rPh>
    <phoneticPr fontId="8"/>
  </si>
  <si>
    <t>5年以上
10年未満</t>
    <rPh sb="1" eb="4">
      <t>ネンイジョウ</t>
    </rPh>
    <rPh sb="7" eb="8">
      <t>ネン</t>
    </rPh>
    <rPh sb="8" eb="10">
      <t>ミマン</t>
    </rPh>
    <phoneticPr fontId="8"/>
  </si>
  <si>
    <t>五城目町</t>
    <rPh sb="0" eb="4">
      <t>ゴジョウメマチ</t>
    </rPh>
    <phoneticPr fontId="8"/>
  </si>
  <si>
    <t>図Ⅰ－３－１　居住期間、男女別人口　〔秋田県〕　（令和２年）</t>
    <rPh sb="0" eb="1">
      <t>ズ</t>
    </rPh>
    <rPh sb="7" eb="9">
      <t>キョジュウ</t>
    </rPh>
    <rPh sb="9" eb="11">
      <t>キカン</t>
    </rPh>
    <rPh sb="12" eb="15">
      <t>ダンジョベツ</t>
    </rPh>
    <rPh sb="15" eb="17">
      <t>ジンコウ</t>
    </rPh>
    <rPh sb="19" eb="22">
      <t>アキタケン</t>
    </rPh>
    <rPh sb="25" eb="27">
      <t>レイワ</t>
    </rPh>
    <rPh sb="28" eb="29">
      <t>ネン</t>
    </rPh>
    <phoneticPr fontId="8"/>
  </si>
  <si>
    <t>順位</t>
    <rPh sb="0" eb="2">
      <t>ジュンイ</t>
    </rPh>
    <phoneticPr fontId="8"/>
  </si>
  <si>
    <t>◎大阪府</t>
  </si>
  <si>
    <t>実数（人）</t>
    <rPh sb="0" eb="2">
      <t>ジッスウ</t>
    </rPh>
    <rPh sb="3" eb="4">
      <t>ニン</t>
    </rPh>
    <phoneticPr fontId="8"/>
  </si>
  <si>
    <t>宮城県</t>
  </si>
  <si>
    <t>表Ⅰ－３－２　居住期間、都道府県別人口の割合　〔全国〕 （令和２年）</t>
    <rPh sb="0" eb="1">
      <t>ヒョウ</t>
    </rPh>
    <rPh sb="7" eb="9">
      <t>キョジュウ</t>
    </rPh>
    <rPh sb="9" eb="11">
      <t>キカン</t>
    </rPh>
    <rPh sb="12" eb="16">
      <t>トドウフケン</t>
    </rPh>
    <rPh sb="16" eb="17">
      <t>ベツ</t>
    </rPh>
    <rPh sb="17" eb="19">
      <t>ジンコウ</t>
    </rPh>
    <rPh sb="20" eb="22">
      <t>ワリアイ</t>
    </rPh>
    <rPh sb="24" eb="26">
      <t>ゼンコク</t>
    </rPh>
    <rPh sb="29" eb="31">
      <t>レイワ</t>
    </rPh>
    <rPh sb="32" eb="33">
      <t>ネン</t>
    </rPh>
    <phoneticPr fontId="8"/>
  </si>
  <si>
    <t>10～14歳</t>
    <rPh sb="5" eb="6">
      <t>サイ</t>
    </rPh>
    <phoneticPr fontId="8"/>
  </si>
  <si>
    <t>15～19歳</t>
    <rPh sb="5" eb="6">
      <t>サイ</t>
    </rPh>
    <phoneticPr fontId="8"/>
  </si>
  <si>
    <t>20～24歳</t>
    <rPh sb="5" eb="6">
      <t>サイ</t>
    </rPh>
    <phoneticPr fontId="8"/>
  </si>
  <si>
    <t>25～29歳</t>
    <rPh sb="5" eb="6">
      <t>サイ</t>
    </rPh>
    <phoneticPr fontId="8"/>
  </si>
  <si>
    <t>30～34歳</t>
    <rPh sb="5" eb="6">
      <t>サイ</t>
    </rPh>
    <phoneticPr fontId="8"/>
  </si>
  <si>
    <t>45～49歳</t>
    <rPh sb="5" eb="6">
      <t>サイ</t>
    </rPh>
    <phoneticPr fontId="8"/>
  </si>
  <si>
    <t>50～54歳</t>
    <rPh sb="5" eb="6">
      <t>サイ</t>
    </rPh>
    <phoneticPr fontId="8"/>
  </si>
  <si>
    <t>55～59歳</t>
    <rPh sb="5" eb="6">
      <t>サイ</t>
    </rPh>
    <phoneticPr fontId="8"/>
  </si>
  <si>
    <t>65～69歳</t>
    <rPh sb="5" eb="6">
      <t>サイ</t>
    </rPh>
    <phoneticPr fontId="8"/>
  </si>
  <si>
    <t>県北地域</t>
    <rPh sb="0" eb="2">
      <t>ケンホク</t>
    </rPh>
    <rPh sb="2" eb="4">
      <t>チイキ</t>
    </rPh>
    <phoneticPr fontId="8"/>
  </si>
  <si>
    <t>75～79歳</t>
    <rPh sb="5" eb="6">
      <t>サイ</t>
    </rPh>
    <phoneticPr fontId="8"/>
  </si>
  <si>
    <t>80～84歳</t>
    <rPh sb="5" eb="6">
      <t>サイ</t>
    </rPh>
    <phoneticPr fontId="8"/>
  </si>
  <si>
    <t>表Ⅰ－２－１　5年前の常住地、年齢（５歳階級）、男女別人口　〔秋田県〕　（令和２年）</t>
    <rPh sb="0" eb="1">
      <t>ヒョウ</t>
    </rPh>
    <rPh sb="8" eb="10">
      <t>ネンマエ</t>
    </rPh>
    <rPh sb="11" eb="14">
      <t>ジョウジュウチ</t>
    </rPh>
    <rPh sb="15" eb="17">
      <t>ネンレイ</t>
    </rPh>
    <rPh sb="19" eb="20">
      <t>サイ</t>
    </rPh>
    <rPh sb="20" eb="22">
      <t>カイキュウ</t>
    </rPh>
    <rPh sb="24" eb="27">
      <t>ダンジョベツ</t>
    </rPh>
    <rPh sb="27" eb="29">
      <t>ジンコウ</t>
    </rPh>
    <rPh sb="31" eb="34">
      <t>アキタケン</t>
    </rPh>
    <rPh sb="37" eb="39">
      <t>レイワ</t>
    </rPh>
    <rPh sb="40" eb="41">
      <t>ネン</t>
    </rPh>
    <phoneticPr fontId="8"/>
  </si>
  <si>
    <t>大仙市</t>
    <rPh sb="0" eb="2">
      <t>ダイセン</t>
    </rPh>
    <phoneticPr fontId="8"/>
  </si>
  <si>
    <t>表Ⅱ－１－１　5年前の常住地、市町村別移動人口　〔秋田県〕　（令和２年）</t>
    <rPh sb="0" eb="1">
      <t>ヒョウ</t>
    </rPh>
    <rPh sb="8" eb="10">
      <t>ネンマエ</t>
    </rPh>
    <rPh sb="11" eb="14">
      <t>ジョウジュウチ</t>
    </rPh>
    <rPh sb="15" eb="18">
      <t>シチョウソン</t>
    </rPh>
    <rPh sb="18" eb="19">
      <t>ベツ</t>
    </rPh>
    <rPh sb="19" eb="21">
      <t>イドウ</t>
    </rPh>
    <rPh sb="21" eb="23">
      <t>ジンコウ</t>
    </rPh>
    <rPh sb="25" eb="28">
      <t>アキタケン</t>
    </rPh>
    <rPh sb="31" eb="33">
      <t>レイワ</t>
    </rPh>
    <rPh sb="34" eb="35">
      <t>ネン</t>
    </rPh>
    <phoneticPr fontId="8"/>
  </si>
  <si>
    <t>市町村</t>
    <rPh sb="0" eb="3">
      <t>シチョウソン</t>
    </rPh>
    <phoneticPr fontId="8"/>
  </si>
  <si>
    <t>東成瀬村</t>
  </si>
  <si>
    <t>秋田市</t>
    <rPh sb="0" eb="3">
      <t>アキタシ</t>
    </rPh>
    <phoneticPr fontId="8"/>
  </si>
  <si>
    <t>注)　不詳補完値による。</t>
    <rPh sb="0" eb="1">
      <t>チュウ</t>
    </rPh>
    <rPh sb="3" eb="5">
      <t>フショウ</t>
    </rPh>
    <rPh sb="5" eb="7">
      <t>ホカン</t>
    </rPh>
    <rPh sb="7" eb="8">
      <t>チ</t>
    </rPh>
    <phoneticPr fontId="8"/>
  </si>
  <si>
    <t>表Ⅰ－４－２　年齢（５歳階級）、上位５都県別転入者数及び割合　〔秋田県〕</t>
    <rPh sb="0" eb="1">
      <t>ヒョウ</t>
    </rPh>
    <rPh sb="7" eb="9">
      <t>ネンレイ</t>
    </rPh>
    <rPh sb="11" eb="12">
      <t>サイ</t>
    </rPh>
    <rPh sb="12" eb="14">
      <t>カイキュウ</t>
    </rPh>
    <rPh sb="16" eb="18">
      <t>ジョウイ</t>
    </rPh>
    <rPh sb="19" eb="21">
      <t>トケン</t>
    </rPh>
    <rPh sb="21" eb="22">
      <t>ベツ</t>
    </rPh>
    <rPh sb="22" eb="25">
      <t>テンニュウシャ</t>
    </rPh>
    <rPh sb="25" eb="26">
      <t>スウ</t>
    </rPh>
    <rPh sb="26" eb="27">
      <t>オヨ</t>
    </rPh>
    <rPh sb="28" eb="30">
      <t>ワリアイ</t>
    </rPh>
    <rPh sb="32" eb="35">
      <t>アキタケン</t>
    </rPh>
    <phoneticPr fontId="8"/>
  </si>
  <si>
    <t>横手市</t>
    <rPh sb="0" eb="3">
      <t>ヨコテシ</t>
    </rPh>
    <phoneticPr fontId="8"/>
  </si>
  <si>
    <t>☆福島県</t>
  </si>
  <si>
    <t>小坂町</t>
    <rPh sb="0" eb="3">
      <t>コサカマチ</t>
    </rPh>
    <phoneticPr fontId="8"/>
  </si>
  <si>
    <t>湯沢市</t>
    <rPh sb="0" eb="3">
      <t>ユザワシ</t>
    </rPh>
    <phoneticPr fontId="8"/>
  </si>
  <si>
    <t>鹿角市</t>
    <rPh sb="0" eb="3">
      <t>カヅノシ</t>
    </rPh>
    <phoneticPr fontId="8"/>
  </si>
  <si>
    <t>由利本荘市</t>
    <rPh sb="0" eb="5">
      <t>ユリホンジョウシ</t>
    </rPh>
    <phoneticPr fontId="8"/>
  </si>
  <si>
    <t>潟上市</t>
    <rPh sb="0" eb="3">
      <t>カタガミシ</t>
    </rPh>
    <phoneticPr fontId="8"/>
  </si>
  <si>
    <t>大潟村</t>
  </si>
  <si>
    <t>現住所
以   外
（移動
  人口）</t>
    <rPh sb="0" eb="3">
      <t>ゲンジュウショ</t>
    </rPh>
    <rPh sb="4" eb="5">
      <t>イ</t>
    </rPh>
    <rPh sb="8" eb="9">
      <t>ソト</t>
    </rPh>
    <rPh sb="11" eb="13">
      <t>イドウ</t>
    </rPh>
    <rPh sb="16" eb="18">
      <t>ジンコウ</t>
    </rPh>
    <phoneticPr fontId="8"/>
  </si>
  <si>
    <t>大仙市</t>
    <rPh sb="0" eb="3">
      <t>ダイセンシ</t>
    </rPh>
    <phoneticPr fontId="8"/>
  </si>
  <si>
    <t>自市
町村内</t>
    <rPh sb="0" eb="1">
      <t>ジ</t>
    </rPh>
    <rPh sb="1" eb="2">
      <t>イチ</t>
    </rPh>
    <rPh sb="3" eb="5">
      <t>チョウソン</t>
    </rPh>
    <rPh sb="5" eb="6">
      <t>ナイ</t>
    </rPh>
    <phoneticPr fontId="8"/>
  </si>
  <si>
    <t>北秋田市</t>
    <rPh sb="0" eb="4">
      <t>キタアキタシ</t>
    </rPh>
    <phoneticPr fontId="8"/>
  </si>
  <si>
    <t>にかほ市</t>
    <rPh sb="3" eb="4">
      <t>シ</t>
    </rPh>
    <phoneticPr fontId="8"/>
  </si>
  <si>
    <t>表Ⅰ－４－１　都道府県間の移動状況（転入及び転出者）　〔秋田県〕　（令和２年）</t>
    <rPh sb="0" eb="1">
      <t>ヒョウ</t>
    </rPh>
    <rPh sb="7" eb="11">
      <t>トドウフケン</t>
    </rPh>
    <rPh sb="11" eb="12">
      <t>カン</t>
    </rPh>
    <rPh sb="13" eb="15">
      <t>イドウ</t>
    </rPh>
    <rPh sb="15" eb="17">
      <t>ジョウキョウ</t>
    </rPh>
    <rPh sb="18" eb="20">
      <t>テンニュウ</t>
    </rPh>
    <rPh sb="20" eb="21">
      <t>オヨ</t>
    </rPh>
    <rPh sb="22" eb="24">
      <t>テンシュツ</t>
    </rPh>
    <rPh sb="24" eb="25">
      <t>シャ</t>
    </rPh>
    <rPh sb="28" eb="31">
      <t>アキタケン</t>
    </rPh>
    <rPh sb="34" eb="36">
      <t>レイワ</t>
    </rPh>
    <rPh sb="37" eb="38">
      <t>ネン</t>
    </rPh>
    <phoneticPr fontId="8"/>
  </si>
  <si>
    <t>仙北市</t>
    <rPh sb="0" eb="3">
      <t>センボクシ</t>
    </rPh>
    <phoneticPr fontId="8"/>
  </si>
  <si>
    <t>藤里町</t>
    <rPh sb="0" eb="3">
      <t>フジサトマチ</t>
    </rPh>
    <phoneticPr fontId="8"/>
  </si>
  <si>
    <t>三種町</t>
    <rPh sb="0" eb="3">
      <t>ミタネチョウ</t>
    </rPh>
    <phoneticPr fontId="8"/>
  </si>
  <si>
    <t>秋田県への
転入者</t>
    <rPh sb="0" eb="3">
      <t>アキタケン</t>
    </rPh>
    <rPh sb="6" eb="8">
      <t>テンニュウ</t>
    </rPh>
    <rPh sb="8" eb="9">
      <t>シャ</t>
    </rPh>
    <phoneticPr fontId="8"/>
  </si>
  <si>
    <t>八峰町</t>
    <rPh sb="0" eb="3">
      <t>ハッポウチョウ</t>
    </rPh>
    <phoneticPr fontId="8"/>
  </si>
  <si>
    <t>八郎潟町</t>
    <rPh sb="0" eb="4">
      <t>ハチロウガタマチ</t>
    </rPh>
    <phoneticPr fontId="8"/>
  </si>
  <si>
    <t>注） 不詳補完値による。</t>
    <rPh sb="0" eb="1">
      <t>チュウ</t>
    </rPh>
    <rPh sb="3" eb="5">
      <t>フショウ</t>
    </rPh>
    <rPh sb="5" eb="7">
      <t>ホカン</t>
    </rPh>
    <rPh sb="7" eb="8">
      <t>チ</t>
    </rPh>
    <phoneticPr fontId="8"/>
  </si>
  <si>
    <t>都県</t>
    <rPh sb="0" eb="1">
      <t>ト</t>
    </rPh>
    <rPh sb="1" eb="2">
      <t>ケン</t>
    </rPh>
    <phoneticPr fontId="8"/>
  </si>
  <si>
    <t>由　利
本荘市</t>
  </si>
  <si>
    <t>井川町</t>
    <rPh sb="0" eb="3">
      <t>イカワマチ</t>
    </rPh>
    <phoneticPr fontId="8"/>
  </si>
  <si>
    <t>美郷町</t>
    <rPh sb="0" eb="3">
      <t>ミサトチョウ</t>
    </rPh>
    <phoneticPr fontId="8"/>
  </si>
  <si>
    <t>東成瀬村</t>
    <rPh sb="0" eb="4">
      <t>ヒガシナルセムラ</t>
    </rPh>
    <phoneticPr fontId="8"/>
  </si>
  <si>
    <t xml:space="preserve">実　　　　　　数　　　　（　人　） </t>
    <rPh sb="0" eb="1">
      <t>ジツ</t>
    </rPh>
    <rPh sb="7" eb="8">
      <t>スウ</t>
    </rPh>
    <rPh sb="14" eb="15">
      <t>ニン</t>
    </rPh>
    <phoneticPr fontId="8"/>
  </si>
  <si>
    <t>総  数</t>
    <rPh sb="0" eb="1">
      <t>ソウ</t>
    </rPh>
    <rPh sb="3" eb="4">
      <t>スウ</t>
    </rPh>
    <phoneticPr fontId="8"/>
  </si>
  <si>
    <t>表Ⅱ－３－１　市町村間移動の状況（上位３市町村の転入・転出者数の割合）　〔秋田県〕</t>
    <rPh sb="0" eb="1">
      <t>ヒョウ</t>
    </rPh>
    <rPh sb="7" eb="10">
      <t>シチョウソン</t>
    </rPh>
    <rPh sb="10" eb="11">
      <t>カン</t>
    </rPh>
    <rPh sb="11" eb="13">
      <t>イドウ</t>
    </rPh>
    <rPh sb="14" eb="16">
      <t>ジョウキョウ</t>
    </rPh>
    <rPh sb="17" eb="19">
      <t>ジョウイ</t>
    </rPh>
    <rPh sb="20" eb="23">
      <t>シチョウソン</t>
    </rPh>
    <rPh sb="24" eb="26">
      <t>テンニュウ</t>
    </rPh>
    <rPh sb="27" eb="29">
      <t>テンシュツ</t>
    </rPh>
    <rPh sb="29" eb="30">
      <t>シャ</t>
    </rPh>
    <rPh sb="30" eb="31">
      <t>スウ</t>
    </rPh>
    <rPh sb="32" eb="34">
      <t>ワリアイ</t>
    </rPh>
    <rPh sb="37" eb="40">
      <t>アキタケン</t>
    </rPh>
    <phoneticPr fontId="8"/>
  </si>
  <si>
    <t>能代市</t>
  </si>
  <si>
    <t>横手市</t>
  </si>
  <si>
    <t>男鹿市</t>
  </si>
  <si>
    <t>湯沢市</t>
  </si>
  <si>
    <t>由利本荘市</t>
  </si>
  <si>
    <t>潟上市</t>
  </si>
  <si>
    <t>北秋田市</t>
  </si>
  <si>
    <t>にかほ市</t>
  </si>
  <si>
    <t>仙北市</t>
  </si>
  <si>
    <t>小坂町</t>
  </si>
  <si>
    <t>上小阿仁村</t>
  </si>
  <si>
    <t>三種町</t>
  </si>
  <si>
    <t>八峰町</t>
  </si>
  <si>
    <t>五城目町</t>
  </si>
  <si>
    <t>八郎潟町</t>
  </si>
  <si>
    <t>美郷町</t>
  </si>
  <si>
    <t xml:space="preserve">割　　　　　　合　　　　（　％　） </t>
    <rPh sb="0" eb="1">
      <t>ワリ</t>
    </rPh>
    <rPh sb="7" eb="8">
      <t>ア</t>
    </rPh>
    <phoneticPr fontId="8"/>
  </si>
  <si>
    <t>注)　☆は東北各県、◎は3大都市圏を有する都府県。</t>
    <rPh sb="0" eb="1">
      <t>チュウ</t>
    </rPh>
    <rPh sb="5" eb="7">
      <t>トウホク</t>
    </rPh>
    <rPh sb="7" eb="9">
      <t>カクケン</t>
    </rPh>
    <rPh sb="13" eb="16">
      <t>ダイトシ</t>
    </rPh>
    <rPh sb="16" eb="17">
      <t>ケン</t>
    </rPh>
    <rPh sb="18" eb="19">
      <t>ユウ</t>
    </rPh>
    <rPh sb="21" eb="24">
      <t>トフケン</t>
    </rPh>
    <phoneticPr fontId="8"/>
  </si>
  <si>
    <t>表Ⅱ－１－２　５年前の常住地、市町村別移動人口の割合　〔秋田県〕　（令和２年）</t>
    <rPh sb="0" eb="1">
      <t>ヒョウ</t>
    </rPh>
    <rPh sb="8" eb="10">
      <t>ネンマエ</t>
    </rPh>
    <rPh sb="11" eb="14">
      <t>ジョウジュウチ</t>
    </rPh>
    <rPh sb="15" eb="18">
      <t>シチョウソン</t>
    </rPh>
    <rPh sb="18" eb="19">
      <t>ベツ</t>
    </rPh>
    <rPh sb="19" eb="21">
      <t>イドウ</t>
    </rPh>
    <rPh sb="21" eb="23">
      <t>ジンコウ</t>
    </rPh>
    <rPh sb="24" eb="26">
      <t>ワリアイ</t>
    </rPh>
    <rPh sb="28" eb="31">
      <t>アキタケン</t>
    </rPh>
    <rPh sb="34" eb="36">
      <t>レイワ</t>
    </rPh>
    <rPh sb="37" eb="38">
      <t>ネン</t>
    </rPh>
    <phoneticPr fontId="8"/>
  </si>
  <si>
    <t>県　南　地　域</t>
    <rPh sb="0" eb="1">
      <t>ケン</t>
    </rPh>
    <rPh sb="2" eb="3">
      <t>ミナミ</t>
    </rPh>
    <rPh sb="4" eb="5">
      <t>チ</t>
    </rPh>
    <rPh sb="6" eb="7">
      <t>イキ</t>
    </rPh>
    <phoneticPr fontId="8"/>
  </si>
  <si>
    <t>能代市、
大館市</t>
    <rPh sb="0" eb="3">
      <t>ノシロシ</t>
    </rPh>
    <rPh sb="5" eb="8">
      <t>オオダテシ</t>
    </rPh>
    <phoneticPr fontId="8"/>
  </si>
  <si>
    <t>5年前の
住所地</t>
    <rPh sb="1" eb="3">
      <t>ネンマエ</t>
    </rPh>
    <rPh sb="5" eb="8">
      <t>ジュウショチ</t>
    </rPh>
    <phoneticPr fontId="8"/>
  </si>
  <si>
    <t>転出先上位市町村（％）</t>
    <rPh sb="0" eb="3">
      <t>テンシュツサキ</t>
    </rPh>
    <rPh sb="3" eb="5">
      <t>ジョウイ</t>
    </rPh>
    <rPh sb="5" eb="8">
      <t>シチョウソン</t>
    </rPh>
    <phoneticPr fontId="8"/>
  </si>
  <si>
    <t>図Ⅰ－４－１　年齢（５歳階級）、上位５都県別転入者数の割合　〔秋田県〕</t>
    <rPh sb="0" eb="1">
      <t>ズ</t>
    </rPh>
    <rPh sb="7" eb="9">
      <t>ネンレイ</t>
    </rPh>
    <rPh sb="11" eb="12">
      <t>サイ</t>
    </rPh>
    <rPh sb="12" eb="14">
      <t>カイキュウ</t>
    </rPh>
    <rPh sb="16" eb="18">
      <t>ジョウイ</t>
    </rPh>
    <rPh sb="19" eb="21">
      <t>トケン</t>
    </rPh>
    <rPh sb="21" eb="22">
      <t>ベツ</t>
    </rPh>
    <rPh sb="22" eb="25">
      <t>テンニュウシャ</t>
    </rPh>
    <rPh sb="25" eb="26">
      <t>スウ</t>
    </rPh>
    <rPh sb="27" eb="29">
      <t>ワリアイ</t>
    </rPh>
    <rPh sb="31" eb="34">
      <t>アキタケン</t>
    </rPh>
    <phoneticPr fontId="8"/>
  </si>
  <si>
    <t>表Ⅰ－４－２　年齢（５歳階級）、上位５都県別転出者数及び割合　〔秋田県〕　（令和２年）</t>
    <rPh sb="0" eb="1">
      <t>ヒョウ</t>
    </rPh>
    <rPh sb="7" eb="9">
      <t>ネンレイ</t>
    </rPh>
    <rPh sb="11" eb="12">
      <t>サイ</t>
    </rPh>
    <rPh sb="12" eb="14">
      <t>カイキュウ</t>
    </rPh>
    <rPh sb="16" eb="18">
      <t>ジョウイ</t>
    </rPh>
    <rPh sb="19" eb="21">
      <t>トケン</t>
    </rPh>
    <rPh sb="21" eb="22">
      <t>ベツ</t>
    </rPh>
    <rPh sb="22" eb="24">
      <t>テンシュツ</t>
    </rPh>
    <rPh sb="24" eb="25">
      <t>シャ</t>
    </rPh>
    <rPh sb="25" eb="26">
      <t>スウ</t>
    </rPh>
    <rPh sb="26" eb="27">
      <t>オヨ</t>
    </rPh>
    <rPh sb="28" eb="30">
      <t>ワリアイ</t>
    </rPh>
    <rPh sb="32" eb="35">
      <t>アキタケン</t>
    </rPh>
    <rPh sb="38" eb="40">
      <t>レイワ</t>
    </rPh>
    <rPh sb="41" eb="42">
      <t>ネン</t>
    </rPh>
    <phoneticPr fontId="8"/>
  </si>
  <si>
    <t>表Ⅱ－３－２　年齢（5歳階級)、市町村（上位１０位）別移動人口及び割合　〔秋田県〕　（令和２年）</t>
    <rPh sb="0" eb="1">
      <t>ヒョウ</t>
    </rPh>
    <rPh sb="7" eb="9">
      <t>ネンレイ</t>
    </rPh>
    <rPh sb="11" eb="12">
      <t>サイ</t>
    </rPh>
    <rPh sb="12" eb="14">
      <t>カイキュウ</t>
    </rPh>
    <rPh sb="16" eb="19">
      <t>シチョウソン</t>
    </rPh>
    <rPh sb="20" eb="22">
      <t>ジョウイ</t>
    </rPh>
    <rPh sb="24" eb="25">
      <t>イ</t>
    </rPh>
    <rPh sb="26" eb="27">
      <t>ベツ</t>
    </rPh>
    <rPh sb="27" eb="29">
      <t>イドウ</t>
    </rPh>
    <rPh sb="29" eb="31">
      <t>ジンコウ</t>
    </rPh>
    <rPh sb="31" eb="32">
      <t>オヨ</t>
    </rPh>
    <rPh sb="33" eb="35">
      <t>ワリアイ</t>
    </rPh>
    <rPh sb="37" eb="40">
      <t>アキタケン</t>
    </rPh>
    <rPh sb="43" eb="45">
      <t>レイワ</t>
    </rPh>
    <rPh sb="46" eb="47">
      <t>ネン</t>
    </rPh>
    <phoneticPr fontId="8"/>
  </si>
  <si>
    <t>（別掲）</t>
    <rPh sb="1" eb="3">
      <t>ベッケイ</t>
    </rPh>
    <phoneticPr fontId="8"/>
  </si>
  <si>
    <t>順
位</t>
    <rPh sb="0" eb="1">
      <t>ジュン</t>
    </rPh>
    <rPh sb="2" eb="3">
      <t>イ</t>
    </rPh>
    <phoneticPr fontId="8"/>
  </si>
  <si>
    <t>表Ⅱ－２－１　居住期間、市町村別人口の割合　〔秋田県〕　（令和２年）</t>
    <rPh sb="0" eb="1">
      <t>ヒョウ</t>
    </rPh>
    <rPh sb="7" eb="9">
      <t>キョジュウ</t>
    </rPh>
    <rPh sb="9" eb="11">
      <t>キカン</t>
    </rPh>
    <rPh sb="12" eb="15">
      <t>シチョウソン</t>
    </rPh>
    <rPh sb="15" eb="16">
      <t>ベツ</t>
    </rPh>
    <rPh sb="16" eb="18">
      <t>ジンコウ</t>
    </rPh>
    <rPh sb="19" eb="21">
      <t>ワリアイ</t>
    </rPh>
    <rPh sb="23" eb="26">
      <t>アキタケン</t>
    </rPh>
    <rPh sb="29" eb="31">
      <t>レイワ</t>
    </rPh>
    <rPh sb="32" eb="33">
      <t>ネン</t>
    </rPh>
    <phoneticPr fontId="8"/>
  </si>
  <si>
    <t>転出
者数
（人）</t>
    <rPh sb="0" eb="2">
      <t>テンシュツ</t>
    </rPh>
    <rPh sb="3" eb="4">
      <t>シャ</t>
    </rPh>
    <rPh sb="4" eb="5">
      <t>スウ</t>
    </rPh>
    <rPh sb="7" eb="8">
      <t>ニン</t>
    </rPh>
    <phoneticPr fontId="8"/>
  </si>
  <si>
    <t>現在
住んでいる
市町村</t>
    <rPh sb="0" eb="2">
      <t>ゲンザイ</t>
    </rPh>
    <rPh sb="3" eb="4">
      <t>ス</t>
    </rPh>
    <rPh sb="9" eb="12">
      <t>シチョウソン</t>
    </rPh>
    <phoneticPr fontId="8"/>
  </si>
  <si>
    <t>実　　　　　　　　　数　　　（人）</t>
    <rPh sb="0" eb="1">
      <t>ジツ</t>
    </rPh>
    <rPh sb="10" eb="11">
      <t>カズ</t>
    </rPh>
    <rPh sb="15" eb="16">
      <t>ニン</t>
    </rPh>
    <phoneticPr fontId="8"/>
  </si>
  <si>
    <t>総　数
     1)</t>
    <rPh sb="0" eb="1">
      <t>ソウ</t>
    </rPh>
    <rPh sb="2" eb="3">
      <t>スウ</t>
    </rPh>
    <phoneticPr fontId="8"/>
  </si>
  <si>
    <t>割　　　　　　　　　合　　　（％）</t>
    <rPh sb="0" eb="1">
      <t>ワリ</t>
    </rPh>
    <rPh sb="10" eb="11">
      <t>ア</t>
    </rPh>
    <phoneticPr fontId="8"/>
  </si>
  <si>
    <t>0～4歳 2)</t>
    <rPh sb="3" eb="4">
      <t>サイ</t>
    </rPh>
    <phoneticPr fontId="8"/>
  </si>
  <si>
    <t>5歳
以上</t>
  </si>
  <si>
    <t>◎東京都</t>
  </si>
  <si>
    <t>表Ⅱ－３－３　市町村間の移動状況　（クロス表）〔秋田県〕　（令和２年）</t>
    <rPh sb="0" eb="1">
      <t>ヒョウ</t>
    </rPh>
    <rPh sb="7" eb="10">
      <t>シチョウソン</t>
    </rPh>
    <rPh sb="10" eb="11">
      <t>カン</t>
    </rPh>
    <rPh sb="12" eb="14">
      <t>イドウ</t>
    </rPh>
    <rPh sb="14" eb="16">
      <t>ジョウキョウ</t>
    </rPh>
    <rPh sb="21" eb="22">
      <t>ヒョウ</t>
    </rPh>
    <rPh sb="24" eb="27">
      <t>アキタケン</t>
    </rPh>
    <rPh sb="30" eb="32">
      <t>レイワ</t>
    </rPh>
    <rPh sb="33" eb="34">
      <t>ネン</t>
    </rPh>
    <phoneticPr fontId="8"/>
  </si>
  <si>
    <t>図Ⅰ－４－１　年齢（５歳階級）、上位５都県別転入者数の割合　〔秋田県〕　（令和２年）</t>
    <rPh sb="0" eb="1">
      <t>ズ</t>
    </rPh>
    <rPh sb="7" eb="9">
      <t>ネンレイ</t>
    </rPh>
    <rPh sb="11" eb="12">
      <t>サイ</t>
    </rPh>
    <rPh sb="12" eb="14">
      <t>カイキュウ</t>
    </rPh>
    <rPh sb="16" eb="18">
      <t>ジョウイ</t>
    </rPh>
    <rPh sb="19" eb="21">
      <t>トケン</t>
    </rPh>
    <rPh sb="21" eb="22">
      <t>ベツ</t>
    </rPh>
    <rPh sb="22" eb="25">
      <t>テンニュウシャ</t>
    </rPh>
    <rPh sb="25" eb="26">
      <t>スウ</t>
    </rPh>
    <rPh sb="27" eb="29">
      <t>ワリアイ</t>
    </rPh>
    <rPh sb="31" eb="34">
      <t>アキタケン</t>
    </rPh>
    <rPh sb="37" eb="39">
      <t>レイワ</t>
    </rPh>
    <rPh sb="40" eb="41">
      <t>ネン</t>
    </rPh>
    <phoneticPr fontId="8"/>
  </si>
  <si>
    <t>市町村</t>
    <rPh sb="0" eb="1">
      <t>シ</t>
    </rPh>
    <rPh sb="1" eb="2">
      <t>マチ</t>
    </rPh>
    <rPh sb="2" eb="3">
      <t>ムラ</t>
    </rPh>
    <phoneticPr fontId="8"/>
  </si>
  <si>
    <t xml:space="preserve"> 転出者合計</t>
    <rPh sb="1" eb="3">
      <t>テンシュツ</t>
    </rPh>
    <rPh sb="3" eb="4">
      <t>シャ</t>
    </rPh>
    <rPh sb="4" eb="6">
      <t>ゴウケイ</t>
    </rPh>
    <phoneticPr fontId="8"/>
  </si>
  <si>
    <t>県　　南　　地　　域</t>
    <rPh sb="0" eb="1">
      <t>ケン</t>
    </rPh>
    <rPh sb="3" eb="4">
      <t>ミナミ</t>
    </rPh>
    <rPh sb="6" eb="7">
      <t>チ</t>
    </rPh>
    <rPh sb="9" eb="10">
      <t>イキ</t>
    </rPh>
    <phoneticPr fontId="8"/>
  </si>
  <si>
    <t>転入者
合　計</t>
    <rPh sb="0" eb="2">
      <t>テンニュウ</t>
    </rPh>
    <rPh sb="2" eb="3">
      <t>シャ</t>
    </rPh>
    <rPh sb="5" eb="6">
      <t>ガッ</t>
    </rPh>
    <rPh sb="7" eb="8">
      <t>ケイ</t>
    </rPh>
    <phoneticPr fontId="8"/>
  </si>
  <si>
    <t>表Ⅱ－３－４　県内の地域間の移動状況（県北、県央、県南地域）　〔秋田県〕　（令和２年）</t>
    <rPh sb="0" eb="1">
      <t>ヒョウ</t>
    </rPh>
    <rPh sb="7" eb="9">
      <t>ケンナイ</t>
    </rPh>
    <rPh sb="10" eb="13">
      <t>チイキカン</t>
    </rPh>
    <rPh sb="14" eb="16">
      <t>イドウ</t>
    </rPh>
    <rPh sb="16" eb="18">
      <t>ジョウキョウ</t>
    </rPh>
    <rPh sb="19" eb="21">
      <t>ケンホク</t>
    </rPh>
    <rPh sb="22" eb="24">
      <t>ケンオウ</t>
    </rPh>
    <rPh sb="25" eb="27">
      <t>ケンナン</t>
    </rPh>
    <rPh sb="27" eb="29">
      <t>チイキ</t>
    </rPh>
    <rPh sb="32" eb="35">
      <t>アキタケン</t>
    </rPh>
    <rPh sb="38" eb="40">
      <t>レイワ</t>
    </rPh>
    <rPh sb="41" eb="42">
      <t>ネン</t>
    </rPh>
    <phoneticPr fontId="8"/>
  </si>
  <si>
    <t>地　　域</t>
    <rPh sb="0" eb="1">
      <t>チ</t>
    </rPh>
    <rPh sb="3" eb="4">
      <t>イキ</t>
    </rPh>
    <phoneticPr fontId="8"/>
  </si>
  <si>
    <t>県央地域</t>
    <rPh sb="0" eb="2">
      <t>ケンオウ</t>
    </rPh>
    <rPh sb="2" eb="4">
      <t>チイキ</t>
    </rPh>
    <phoneticPr fontId="8"/>
  </si>
  <si>
    <t>県央地域</t>
    <rPh sb="0" eb="1">
      <t>ケン</t>
    </rPh>
    <rPh sb="1" eb="2">
      <t>オウ</t>
    </rPh>
    <rPh sb="2" eb="4">
      <t>チイキ</t>
    </rPh>
    <phoneticPr fontId="8"/>
  </si>
  <si>
    <t>総転出</t>
    <rPh sb="0" eb="1">
      <t>ソウ</t>
    </rPh>
    <rPh sb="1" eb="3">
      <t>テンシュツ</t>
    </rPh>
    <phoneticPr fontId="8"/>
  </si>
  <si>
    <t>総転入</t>
    <rPh sb="0" eb="1">
      <t>ソウ</t>
    </rPh>
    <rPh sb="1" eb="3">
      <t>テンニュウ</t>
    </rPh>
    <phoneticPr fontId="8"/>
  </si>
  <si>
    <t>転　　出</t>
    <rPh sb="0" eb="1">
      <t>テン</t>
    </rPh>
    <rPh sb="3" eb="4">
      <t>デ</t>
    </rPh>
    <phoneticPr fontId="8"/>
  </si>
  <si>
    <t>北海道</t>
  </si>
  <si>
    <t>山形県</t>
  </si>
  <si>
    <t>転出者数
（人）</t>
    <rPh sb="0" eb="2">
      <t>テンシュツ</t>
    </rPh>
    <rPh sb="2" eb="3">
      <t>シャ</t>
    </rPh>
    <rPh sb="3" eb="4">
      <t>スウ</t>
    </rPh>
    <rPh sb="6" eb="7">
      <t>ニン</t>
    </rPh>
    <phoneticPr fontId="8"/>
  </si>
  <si>
    <t>表Ⅰ－４－１　都道府県間の移動状況（転入者・転出者）　〔秋田県〕　（令和２年）</t>
    <rPh sb="0" eb="1">
      <t>ヒョウ</t>
    </rPh>
    <rPh sb="7" eb="11">
      <t>トドウフケン</t>
    </rPh>
    <rPh sb="11" eb="12">
      <t>カン</t>
    </rPh>
    <rPh sb="13" eb="15">
      <t>イドウ</t>
    </rPh>
    <rPh sb="15" eb="17">
      <t>ジョウキョウ</t>
    </rPh>
    <rPh sb="18" eb="20">
      <t>テンニュウ</t>
    </rPh>
    <rPh sb="20" eb="21">
      <t>シャ</t>
    </rPh>
    <rPh sb="22" eb="24">
      <t>テンシュツ</t>
    </rPh>
    <rPh sb="24" eb="25">
      <t>シャ</t>
    </rPh>
    <rPh sb="28" eb="31">
      <t>アキタケン</t>
    </rPh>
    <rPh sb="34" eb="36">
      <t>レイワ</t>
    </rPh>
    <rPh sb="37" eb="38">
      <t>ネン</t>
    </rPh>
    <phoneticPr fontId="8"/>
  </si>
  <si>
    <t>表　移動人口集計の概要（男女計）　〔秋田県〕　（令和２年）</t>
    <rPh sb="0" eb="1">
      <t>ひょう</t>
    </rPh>
    <rPh sb="2" eb="4">
      <t>いどう</t>
    </rPh>
    <rPh sb="4" eb="6">
      <t>じんこう</t>
    </rPh>
    <rPh sb="6" eb="8">
      <t>しゅうけい</t>
    </rPh>
    <rPh sb="9" eb="11">
      <t>がいよう</t>
    </rPh>
    <rPh sb="12" eb="15">
      <t>だんじょけい</t>
    </rPh>
    <rPh sb="18" eb="21">
      <t>あきたけん</t>
    </rPh>
    <rPh sb="24" eb="26">
      <t>れいわ</t>
    </rPh>
    <rPh sb="27" eb="28">
      <t>ねん</t>
    </rPh>
    <phoneticPr fontId="3" type="Hiragana"/>
  </si>
  <si>
    <t>☆岩手県</t>
  </si>
  <si>
    <t>◎愛知県</t>
  </si>
  <si>
    <t>☆山形県</t>
  </si>
  <si>
    <t>　総　　数</t>
    <rPh sb="1" eb="2">
      <t>ソウ</t>
    </rPh>
    <rPh sb="4" eb="5">
      <t>スウ</t>
    </rPh>
    <phoneticPr fontId="8"/>
  </si>
  <si>
    <t>表Ⅰ－１－２　5年前の常住地、都道府県別人口の割合　〔全国〕　（令和２年）</t>
    <rPh sb="0" eb="1">
      <t>ヒョウ</t>
    </rPh>
    <rPh sb="8" eb="10">
      <t>ネンマエ</t>
    </rPh>
    <rPh sb="11" eb="14">
      <t>ジョウジュウチ</t>
    </rPh>
    <rPh sb="15" eb="19">
      <t>トドウフケン</t>
    </rPh>
    <rPh sb="19" eb="20">
      <t>ベツ</t>
    </rPh>
    <rPh sb="20" eb="22">
      <t>ジンコウ</t>
    </rPh>
    <rPh sb="23" eb="25">
      <t>ワリアイ</t>
    </rPh>
    <rPh sb="27" eb="29">
      <t>ゼンコク</t>
    </rPh>
    <rPh sb="32" eb="34">
      <t>レイワ</t>
    </rPh>
    <rPh sb="35" eb="36">
      <t>ネン</t>
    </rPh>
    <phoneticPr fontId="8"/>
  </si>
  <si>
    <t>図Ⅰ－２－１　５年前の常住地、年齢（５歳階級）別、移動人口の割合　〔秋田県〕　（令和２年）</t>
    <rPh sb="0" eb="1">
      <t>ズ</t>
    </rPh>
    <rPh sb="8" eb="10">
      <t>ネンマエ</t>
    </rPh>
    <rPh sb="11" eb="14">
      <t>ジョウジュウチ</t>
    </rPh>
    <rPh sb="15" eb="17">
      <t>ネンレイ</t>
    </rPh>
    <rPh sb="19" eb="20">
      <t>サイ</t>
    </rPh>
    <rPh sb="20" eb="22">
      <t>カイキュウ</t>
    </rPh>
    <rPh sb="23" eb="24">
      <t>ベツ</t>
    </rPh>
    <rPh sb="25" eb="27">
      <t>イドウ</t>
    </rPh>
    <rPh sb="27" eb="29">
      <t>ジンコウ</t>
    </rPh>
    <rPh sb="30" eb="32">
      <t>ワリアイ</t>
    </rPh>
    <rPh sb="34" eb="37">
      <t>アキタケン</t>
    </rPh>
    <rPh sb="40" eb="42">
      <t>レイワ</t>
    </rPh>
    <rPh sb="43" eb="44">
      <t>ネン</t>
    </rPh>
    <phoneticPr fontId="8"/>
  </si>
  <si>
    <t>転入 1)</t>
  </si>
  <si>
    <t>転出 2)</t>
  </si>
  <si>
    <t>図Ⅰ－４－２　年齢（５歳階級）、上位５都県別転出者数の割合　〔秋田県〕　（令和２年）</t>
    <rPh sb="0" eb="1">
      <t>ズ</t>
    </rPh>
    <rPh sb="7" eb="9">
      <t>ネンレイ</t>
    </rPh>
    <rPh sb="11" eb="12">
      <t>サイ</t>
    </rPh>
    <rPh sb="12" eb="14">
      <t>カイキュウ</t>
    </rPh>
    <rPh sb="16" eb="18">
      <t>ジョウイ</t>
    </rPh>
    <rPh sb="19" eb="21">
      <t>トケン</t>
    </rPh>
    <rPh sb="21" eb="22">
      <t>ベツ</t>
    </rPh>
    <rPh sb="22" eb="25">
      <t>テンシュツシャ</t>
    </rPh>
    <rPh sb="25" eb="26">
      <t>スウ</t>
    </rPh>
    <rPh sb="27" eb="29">
      <t>ワリアイ</t>
    </rPh>
    <rPh sb="31" eb="34">
      <t>アキタケン</t>
    </rPh>
    <rPh sb="37" eb="39">
      <t>レイワ</t>
    </rPh>
    <rPh sb="40" eb="41">
      <t>ネン</t>
    </rPh>
    <phoneticPr fontId="8"/>
  </si>
  <si>
    <t>秋田県
からの
転出者</t>
    <rPh sb="0" eb="3">
      <t>アキタケン</t>
    </rPh>
    <rPh sb="8" eb="10">
      <t>テンシュツ</t>
    </rPh>
    <rPh sb="10" eb="11">
      <t>シャ</t>
    </rPh>
    <phoneticPr fontId="8"/>
  </si>
  <si>
    <t>秋田県
からの
転出者</t>
    <rPh sb="0" eb="3">
      <t>アキタケン</t>
    </rPh>
    <rPh sb="8" eb="9">
      <t>テン</t>
    </rPh>
    <rPh sb="9" eb="10">
      <t>シュツ</t>
    </rPh>
    <rPh sb="10" eb="11">
      <t>シャ</t>
    </rPh>
    <phoneticPr fontId="8"/>
  </si>
  <si>
    <t>（単位：人）</t>
    <rPh sb="1" eb="3">
      <t>タンイ</t>
    </rPh>
    <rPh sb="4" eb="5">
      <t>ニン</t>
    </rPh>
    <phoneticPr fontId="8"/>
  </si>
  <si>
    <t>転入
者数
（人）</t>
    <rPh sb="0" eb="2">
      <t>テンニュウ</t>
    </rPh>
    <rPh sb="3" eb="4">
      <t>シャ</t>
    </rPh>
    <rPh sb="4" eb="5">
      <t>スウ</t>
    </rPh>
    <rPh sb="7" eb="8">
      <t>ニン</t>
    </rPh>
    <phoneticPr fontId="8"/>
  </si>
  <si>
    <t>　（別掲）転出・転入超過数</t>
    <rPh sb="2" eb="4">
      <t>ベッケイ</t>
    </rPh>
    <rPh sb="5" eb="7">
      <t>テンシュツ</t>
    </rPh>
    <rPh sb="8" eb="10">
      <t>テンニュウ</t>
    </rPh>
    <rPh sb="10" eb="12">
      <t>チョウカ</t>
    </rPh>
    <rPh sb="12" eb="13">
      <t>スウ</t>
    </rPh>
    <phoneticPr fontId="8"/>
  </si>
  <si>
    <t>転入・転出超過</t>
    <rPh sb="0" eb="2">
      <t>テンニュウ</t>
    </rPh>
    <rPh sb="3" eb="5">
      <t>テンシュツ</t>
    </rPh>
    <rPh sb="5" eb="7">
      <t>チョウカ</t>
    </rPh>
    <phoneticPr fontId="8"/>
  </si>
  <si>
    <t>注）不詳補完値による。</t>
    <rPh sb="0" eb="1">
      <t>チュウ</t>
    </rPh>
    <rPh sb="2" eb="4">
      <t>フショウ</t>
    </rPh>
    <rPh sb="4" eb="6">
      <t>ホカン</t>
    </rPh>
    <rPh sb="6" eb="7">
      <t>チ</t>
    </rPh>
    <phoneticPr fontId="8"/>
  </si>
  <si>
    <t>注）５歳未満の者については、出生後にふだん住んでいた場所による。</t>
    <rPh sb="0" eb="1">
      <t>チュウ</t>
    </rPh>
    <rPh sb="3" eb="4">
      <t>サイ</t>
    </rPh>
    <rPh sb="4" eb="6">
      <t>ミマン</t>
    </rPh>
    <rPh sb="7" eb="8">
      <t>モノ</t>
    </rPh>
    <rPh sb="14" eb="17">
      <t>シュッセイゴ</t>
    </rPh>
    <rPh sb="21" eb="22">
      <t>ス</t>
    </rPh>
    <rPh sb="26" eb="28">
      <t>バショ</t>
    </rPh>
    <phoneticPr fontId="8"/>
  </si>
  <si>
    <t>表Ⅰ－４－４　男女、都道府県別転入・転出超過数　〔秋田県〕 　（令和２年）</t>
    <rPh sb="0" eb="1">
      <t>ヒョウ</t>
    </rPh>
    <rPh sb="7" eb="9">
      <t>ダンジョ</t>
    </rPh>
    <rPh sb="10" eb="14">
      <t>トドウフケン</t>
    </rPh>
    <rPh sb="14" eb="15">
      <t>ベツ</t>
    </rPh>
    <rPh sb="15" eb="17">
      <t>テンニュウ</t>
    </rPh>
    <rPh sb="18" eb="20">
      <t>テンシュツ</t>
    </rPh>
    <rPh sb="20" eb="22">
      <t>チョウカ</t>
    </rPh>
    <rPh sb="22" eb="23">
      <t>カズ</t>
    </rPh>
    <rPh sb="25" eb="28">
      <t>アキタケン</t>
    </rPh>
    <rPh sb="32" eb="34">
      <t>レイワ</t>
    </rPh>
    <rPh sb="35" eb="36">
      <t>ネン</t>
    </rPh>
    <phoneticPr fontId="8"/>
  </si>
  <si>
    <t>図Ⅰ－１－１　5年前の常住地別人口の割合 〔秋田県〕 （平成27年、令和２年）</t>
    <rPh sb="0" eb="1">
      <t>ズ</t>
    </rPh>
    <rPh sb="8" eb="10">
      <t>ネンマエ</t>
    </rPh>
    <rPh sb="11" eb="14">
      <t>ジョウジュウチ</t>
    </rPh>
    <rPh sb="14" eb="15">
      <t>ベツ</t>
    </rPh>
    <rPh sb="15" eb="17">
      <t>ジンコウ</t>
    </rPh>
    <rPh sb="18" eb="20">
      <t>ワリアイ</t>
    </rPh>
    <rPh sb="22" eb="25">
      <t>アキタケン</t>
    </rPh>
    <rPh sb="28" eb="30">
      <t>ヘイセイ</t>
    </rPh>
    <rPh sb="32" eb="33">
      <t>ネン</t>
    </rPh>
    <rPh sb="34" eb="36">
      <t>レイワ</t>
    </rPh>
    <rPh sb="37" eb="38">
      <t>ネン</t>
    </rPh>
    <phoneticPr fontId="8"/>
  </si>
  <si>
    <t>図Ⅰ－２－１　５年前の常住地、年齢（5歳階級）別、移動人口の割合　〔秋田県〕　（令和２年）</t>
    <rPh sb="0" eb="1">
      <t>ズ</t>
    </rPh>
    <rPh sb="8" eb="10">
      <t>ネンマエ</t>
    </rPh>
    <rPh sb="11" eb="14">
      <t>ジョウジュウチ</t>
    </rPh>
    <rPh sb="15" eb="17">
      <t>ネンレイ</t>
    </rPh>
    <rPh sb="19" eb="20">
      <t>サイ</t>
    </rPh>
    <rPh sb="20" eb="22">
      <t>カイキュウ</t>
    </rPh>
    <rPh sb="23" eb="24">
      <t>ベツ</t>
    </rPh>
    <rPh sb="25" eb="27">
      <t>イドウ</t>
    </rPh>
    <rPh sb="27" eb="29">
      <t>ジンコウ</t>
    </rPh>
    <rPh sb="30" eb="32">
      <t>ワリアイ</t>
    </rPh>
    <rPh sb="34" eb="37">
      <t>アキタケン</t>
    </rPh>
    <rPh sb="40" eb="42">
      <t>レイワ</t>
    </rPh>
    <rPh sb="43" eb="44">
      <t>ネン</t>
    </rPh>
    <phoneticPr fontId="8"/>
  </si>
  <si>
    <t>図Ⅰ－２－２　年齢（５歳階級）、男女別移動人口の割合　〔秋田県〕　（令和２年）</t>
    <rPh sb="0" eb="1">
      <t>ズ</t>
    </rPh>
    <rPh sb="7" eb="9">
      <t>ネンレイ</t>
    </rPh>
    <rPh sb="11" eb="12">
      <t>サイ</t>
    </rPh>
    <rPh sb="12" eb="14">
      <t>カイキュウ</t>
    </rPh>
    <rPh sb="16" eb="18">
      <t>ダンジョ</t>
    </rPh>
    <rPh sb="18" eb="19">
      <t>ベツ</t>
    </rPh>
    <rPh sb="19" eb="21">
      <t>イドウ</t>
    </rPh>
    <rPh sb="21" eb="23">
      <t>ジンコウ</t>
    </rPh>
    <rPh sb="24" eb="26">
      <t>ワリアイ</t>
    </rPh>
    <rPh sb="28" eb="31">
      <t>アキタケン</t>
    </rPh>
    <rPh sb="34" eb="36">
      <t>レイワ</t>
    </rPh>
    <rPh sb="37" eb="38">
      <t>ネン</t>
    </rPh>
    <phoneticPr fontId="8"/>
  </si>
  <si>
    <t>注) ５歳未満の者については、出生後にふだん住んでいた場所による。</t>
    <rPh sb="0" eb="1">
      <t>チュウ</t>
    </rPh>
    <rPh sb="4" eb="5">
      <t>サイ</t>
    </rPh>
    <rPh sb="5" eb="7">
      <t>ミマン</t>
    </rPh>
    <rPh sb="8" eb="9">
      <t>モノ</t>
    </rPh>
    <rPh sb="15" eb="18">
      <t>シュッセイゴ</t>
    </rPh>
    <rPh sb="22" eb="23">
      <t>ス</t>
    </rPh>
    <rPh sb="27" eb="29">
      <t>バショ</t>
    </rPh>
    <phoneticPr fontId="8"/>
  </si>
  <si>
    <t>表Ⅰ－２－１　5年前の常住地、年齢（5歳階級）、男女別移動人口及び割合　〔秋田県〕　（令和２年）</t>
    <rPh sb="0" eb="1">
      <t>ヒョウ</t>
    </rPh>
    <rPh sb="8" eb="10">
      <t>ネンマエ</t>
    </rPh>
    <rPh sb="11" eb="14">
      <t>ジョウジュウチ</t>
    </rPh>
    <rPh sb="15" eb="17">
      <t>ネンレイ</t>
    </rPh>
    <rPh sb="19" eb="20">
      <t>サイ</t>
    </rPh>
    <rPh sb="20" eb="22">
      <t>カイキュウ</t>
    </rPh>
    <rPh sb="24" eb="27">
      <t>ダンジョベツ</t>
    </rPh>
    <rPh sb="27" eb="29">
      <t>イドウ</t>
    </rPh>
    <rPh sb="29" eb="31">
      <t>ジンコウ</t>
    </rPh>
    <rPh sb="31" eb="32">
      <t>オヨ</t>
    </rPh>
    <rPh sb="33" eb="35">
      <t>ワリアイ</t>
    </rPh>
    <rPh sb="37" eb="40">
      <t>アキタケン</t>
    </rPh>
    <rPh sb="43" eb="45">
      <t>レイワ</t>
    </rPh>
    <rPh sb="46" eb="47">
      <t>ネン</t>
    </rPh>
    <phoneticPr fontId="8"/>
  </si>
  <si>
    <t>注）　5歳未満については、出生後にふだん住んでいた場所による。</t>
    <rPh sb="0" eb="1">
      <t>チュウ</t>
    </rPh>
    <rPh sb="4" eb="5">
      <t>サイ</t>
    </rPh>
    <rPh sb="5" eb="7">
      <t>ミマン</t>
    </rPh>
    <rPh sb="13" eb="16">
      <t>シュッセイゴ</t>
    </rPh>
    <rPh sb="20" eb="21">
      <t>ス</t>
    </rPh>
    <rPh sb="25" eb="27">
      <t>バショ</t>
    </rPh>
    <phoneticPr fontId="8"/>
  </si>
  <si>
    <t>表Ⅱ－３－２　年齢（5歳階級)、上位１０市町村間別移動人口及び割合　〔秋田県〕　（令和２年）</t>
    <rPh sb="0" eb="1">
      <t>ヒョウ</t>
    </rPh>
    <rPh sb="7" eb="9">
      <t>ネンレイ</t>
    </rPh>
    <rPh sb="11" eb="12">
      <t>サイ</t>
    </rPh>
    <rPh sb="12" eb="14">
      <t>カイキュウ</t>
    </rPh>
    <rPh sb="16" eb="18">
      <t>ジョウイ</t>
    </rPh>
    <rPh sb="20" eb="23">
      <t>シチョウソン</t>
    </rPh>
    <rPh sb="23" eb="24">
      <t>カン</t>
    </rPh>
    <rPh sb="24" eb="25">
      <t>ベツ</t>
    </rPh>
    <rPh sb="25" eb="27">
      <t>イドウ</t>
    </rPh>
    <rPh sb="27" eb="29">
      <t>ジンコウ</t>
    </rPh>
    <rPh sb="29" eb="30">
      <t>オヨ</t>
    </rPh>
    <rPh sb="31" eb="33">
      <t>ワリアイ</t>
    </rPh>
    <rPh sb="35" eb="38">
      <t>アキタケン</t>
    </rPh>
    <rPh sb="41" eb="43">
      <t>レイワ</t>
    </rPh>
    <rPh sb="44" eb="45">
      <t>ネン</t>
    </rPh>
    <phoneticPr fontId="8"/>
  </si>
  <si>
    <t>注）よこ軸を右に見ていくと転入元市町村ごとの転入者数が、たて軸を下に見ていくと転出先市町村ごとの転出者数がわかるようになっている。</t>
    <rPh sb="0" eb="1">
      <t>チュウ</t>
    </rPh>
    <rPh sb="13" eb="15">
      <t>テンニュウ</t>
    </rPh>
    <rPh sb="15" eb="16">
      <t>モト</t>
    </rPh>
    <rPh sb="16" eb="19">
      <t>シチョウソン</t>
    </rPh>
    <rPh sb="22" eb="25">
      <t>テンニュウシャ</t>
    </rPh>
    <rPh sb="25" eb="26">
      <t>スウ</t>
    </rPh>
    <rPh sb="39" eb="41">
      <t>テンシュツ</t>
    </rPh>
    <rPh sb="41" eb="42">
      <t>サキ</t>
    </rPh>
    <rPh sb="42" eb="45">
      <t>シチョウソン</t>
    </rPh>
    <rPh sb="49" eb="50">
      <t>シュツ</t>
    </rPh>
    <phoneticPr fontId="8"/>
  </si>
  <si>
    <t>注）△の数値は転出超過。</t>
    <rPh sb="0" eb="1">
      <t>チュウ</t>
    </rPh>
    <rPh sb="4" eb="6">
      <t>スウチ</t>
    </rPh>
    <rPh sb="7" eb="9">
      <t>テンシュツ</t>
    </rPh>
    <rPh sb="9" eb="11">
      <t>チョウカ</t>
    </rPh>
    <phoneticPr fontId="8"/>
  </si>
  <si>
    <t>表Ⅱ－３－４　地域間の移動状況（転入・転出超過数）　〔秋田県〕　（令和２年）</t>
    <rPh sb="0" eb="1">
      <t>ヒョウ</t>
    </rPh>
    <rPh sb="7" eb="10">
      <t>チイキカン</t>
    </rPh>
    <rPh sb="11" eb="13">
      <t>イドウ</t>
    </rPh>
    <rPh sb="13" eb="15">
      <t>ジョウキョウ</t>
    </rPh>
    <rPh sb="16" eb="18">
      <t>テンニュウ</t>
    </rPh>
    <rPh sb="19" eb="21">
      <t>テンシュツ</t>
    </rPh>
    <rPh sb="21" eb="23">
      <t>チョウカ</t>
    </rPh>
    <rPh sb="23" eb="24">
      <t>スウ</t>
    </rPh>
    <rPh sb="27" eb="30">
      <t>アキタケン</t>
    </rPh>
    <rPh sb="33" eb="35">
      <t>レイワ</t>
    </rPh>
    <rPh sb="36" eb="37">
      <t>ネン</t>
    </rPh>
    <phoneticPr fontId="8"/>
  </si>
  <si>
    <t>表Ⅰ－４－２　年齢（５歳階級）、上位５都県別転入者数と割合　〔秋田県〕　（令和２年）</t>
    <rPh sb="0" eb="1">
      <t>ヒョウ</t>
    </rPh>
    <rPh sb="7" eb="9">
      <t>ネンレイ</t>
    </rPh>
    <rPh sb="11" eb="12">
      <t>サイ</t>
    </rPh>
    <rPh sb="12" eb="14">
      <t>カイキュウ</t>
    </rPh>
    <rPh sb="16" eb="18">
      <t>ジョウイ</t>
    </rPh>
    <rPh sb="19" eb="21">
      <t>トケン</t>
    </rPh>
    <rPh sb="21" eb="22">
      <t>ベツ</t>
    </rPh>
    <rPh sb="22" eb="25">
      <t>テンニュウシャ</t>
    </rPh>
    <rPh sb="25" eb="26">
      <t>スウ</t>
    </rPh>
    <rPh sb="27" eb="29">
      <t>ワリアイ</t>
    </rPh>
    <rPh sb="31" eb="34">
      <t>アキタケン</t>
    </rPh>
    <rPh sb="37" eb="39">
      <t>レイワ</t>
    </rPh>
    <rPh sb="40" eb="41">
      <t>ネン</t>
    </rPh>
    <phoneticPr fontId="8"/>
  </si>
</sst>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_ "/>
    <numFmt numFmtId="177" formatCode="#,##0.0_ "/>
    <numFmt numFmtId="178" formatCode="0.0_ "/>
    <numFmt numFmtId="179" formatCode="0.0_);[Red]\(0.0\)"/>
    <numFmt numFmtId="180" formatCode="#,##0\ ;&quot;△ &quot;#,##0\ "/>
    <numFmt numFmtId="181" formatCode="#,##0.0\ ;&quot;△ &quot;#,##0.0\ "/>
    <numFmt numFmtId="182" formatCode="00"/>
    <numFmt numFmtId="183" formatCode="#,##0_);[Red]\(#,##0\)"/>
    <numFmt numFmtId="184" formatCode="#,##0;&quot;△ &quot;#,##0"/>
  </numFmts>
  <fonts count="18">
    <font>
      <sz val="11"/>
      <color theme="1"/>
      <name val="ＭＳ Ｐゴシック"/>
      <family val="3"/>
      <scheme val="minor"/>
    </font>
    <font>
      <u/>
      <sz val="11"/>
      <color indexed="12"/>
      <name val="ＭＳ Ｐゴシック"/>
      <family val="3"/>
      <scheme val="minor"/>
    </font>
    <font>
      <sz val="11"/>
      <color theme="1"/>
      <name val="ＭＳ Ｐゴシック"/>
      <family val="3"/>
      <scheme val="minor"/>
    </font>
    <font>
      <sz val="6"/>
      <color auto="1"/>
      <name val="游ゴシック"/>
      <family val="3"/>
    </font>
    <font>
      <sz val="12"/>
      <color theme="1"/>
      <name val="ＭＳ Ｐゴシック"/>
      <family val="3"/>
    </font>
    <font>
      <sz val="16"/>
      <color theme="1"/>
      <name val="ＭＳ Ｐゴシック"/>
      <family val="3"/>
    </font>
    <font>
      <u/>
      <sz val="11"/>
      <color indexed="36"/>
      <name val="ＭＳ Ｐゴシック"/>
      <family val="3"/>
      <scheme val="minor"/>
    </font>
    <font>
      <u/>
      <sz val="12"/>
      <color indexed="36"/>
      <name val="ＭＳ Ｐゴシック"/>
    </font>
    <font>
      <sz val="6"/>
      <color auto="1"/>
      <name val="ＭＳ Ｐゴシック"/>
      <family val="3"/>
    </font>
    <font>
      <sz val="11"/>
      <color theme="1"/>
      <name val="ＭＳ Ｐ明朝"/>
      <family val="1"/>
    </font>
    <font>
      <b/>
      <sz val="14"/>
      <color theme="1"/>
      <name val="ＭＳ Ｐゴシック"/>
      <family val="3"/>
    </font>
    <font>
      <b/>
      <sz val="14"/>
      <color theme="1"/>
      <name val="ＭＳ Ｐ明朝"/>
      <family val="1"/>
    </font>
    <font>
      <sz val="11"/>
      <color auto="1"/>
      <name val="ＭＳ Ｐ明朝"/>
      <family val="1"/>
    </font>
    <font>
      <sz val="11"/>
      <color theme="0"/>
      <name val="ＭＳ Ｐ明朝"/>
      <family val="1"/>
    </font>
    <font>
      <sz val="11"/>
      <color auto="1"/>
      <name val="ＭＳ Ｐゴシック"/>
      <family val="3"/>
      <scheme val="minor"/>
    </font>
    <font>
      <u/>
      <sz val="11"/>
      <color indexed="12"/>
      <name val="ＭＳ Ｐ明朝"/>
      <family val="1"/>
    </font>
    <font>
      <sz val="10"/>
      <color theme="1"/>
      <name val="ＭＳ Ｐ明朝"/>
      <family val="1"/>
    </font>
    <font>
      <b/>
      <sz val="11"/>
      <color theme="1"/>
      <name val="ＭＳ Ｐ明朝"/>
      <family val="1"/>
    </font>
  </fonts>
  <fills count="2">
    <fill>
      <patternFill patternType="none"/>
    </fill>
    <fill>
      <patternFill patternType="gray125"/>
    </fill>
  </fills>
  <borders count="63">
    <border>
      <left/>
      <right/>
      <top/>
      <bottom/>
      <diagonal/>
    </border>
    <border>
      <left/>
      <right/>
      <top style="thin">
        <color indexed="64"/>
      </top>
      <bottom style="thin">
        <color indexed="64"/>
      </bottom>
      <diagonal/>
    </border>
    <border>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auto="1"/>
      </bottom>
      <diagonal/>
    </border>
    <border>
      <left/>
      <right/>
      <top/>
      <bottom style="hair">
        <color auto="1"/>
      </bottom>
      <diagonal/>
    </border>
    <border>
      <left/>
      <right style="thin">
        <color indexed="64"/>
      </right>
      <top/>
      <bottom style="hair">
        <color indexed="64"/>
      </bottom>
      <diagonal/>
    </border>
    <border>
      <left style="thin">
        <color indexed="64"/>
      </left>
      <right/>
      <top/>
      <bottom style="hair">
        <color indexed="64"/>
      </bottom>
      <diagonal/>
    </border>
    <border diagonalDown="1">
      <left style="thin">
        <color indexed="64"/>
      </left>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Down="1">
      <left style="thin">
        <color indexed="64"/>
      </left>
      <right style="thin">
        <color indexed="64"/>
      </right>
      <top/>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hair">
        <color indexed="64"/>
      </top>
      <bottom style="thin">
        <color indexed="64"/>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left/>
      <right/>
      <top style="thin">
        <color indexed="64"/>
      </top>
      <bottom style="hair">
        <color indexed="64"/>
      </bottom>
      <diagonal/>
    </border>
    <border>
      <left/>
      <right style="thin">
        <color indexed="64"/>
      </right>
      <top style="hair">
        <color auto="1"/>
      </top>
      <bottom style="hair">
        <color auto="1"/>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top style="hair">
        <color auto="1"/>
      </top>
      <bottom style="hair">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397">
    <xf numFmtId="0" fontId="0" fillId="0" borderId="0" xfId="0">
      <alignment vertical="center"/>
    </xf>
    <xf numFmtId="0" fontId="4" fillId="0" borderId="0" xfId="0" applyFont="1">
      <alignment vertical="center"/>
    </xf>
    <xf numFmtId="0" fontId="5" fillId="0" borderId="0" xfId="0" applyFont="1" applyAlignment="1">
      <alignment horizontal="centerContinuous" vertical="center"/>
    </xf>
    <xf numFmtId="0" fontId="1" fillId="0" borderId="0" xfId="1" applyFont="1">
      <alignment vertical="center"/>
    </xf>
    <xf numFmtId="0" fontId="6" fillId="0" borderId="0" xfId="1" applyFont="1">
      <alignment vertical="center"/>
    </xf>
    <xf numFmtId="0" fontId="7" fillId="0" borderId="0" xfId="1" applyFont="1">
      <alignment vertical="center"/>
    </xf>
    <xf numFmtId="0" fontId="9" fillId="0" borderId="0" xfId="0" applyFont="1">
      <alignment vertical="center"/>
    </xf>
    <xf numFmtId="176" fontId="9" fillId="0" borderId="0" xfId="0" applyNumberFormat="1" applyFont="1">
      <alignment vertical="center"/>
    </xf>
    <xf numFmtId="0" fontId="10" fillId="0" borderId="0" xfId="0" applyFont="1" applyAlignment="1">
      <alignment horizontal="centerContinuous" vertical="center"/>
    </xf>
    <xf numFmtId="0" fontId="11" fillId="0" borderId="0" xfId="0" applyFont="1" applyAlignment="1">
      <alignment horizontal="centerContinuous" vertical="center"/>
    </xf>
    <xf numFmtId="0" fontId="9" fillId="0" borderId="1" xfId="0" applyFont="1" applyBorder="1" applyAlignment="1">
      <alignment horizontal="centerContinuous" vertical="center"/>
    </xf>
    <xf numFmtId="0" fontId="9" fillId="0" borderId="0" xfId="0" applyFont="1" applyAlignment="1">
      <alignment horizontal="centerContinuous"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176" fontId="9" fillId="0" borderId="0" xfId="0" applyNumberFormat="1" applyFont="1" applyAlignment="1">
      <alignment horizontal="centerContinuous" vertical="center"/>
    </xf>
    <xf numFmtId="176" fontId="9" fillId="0" borderId="12" xfId="0" applyNumberFormat="1" applyFont="1" applyBorder="1" applyAlignment="1">
      <alignment horizontal="center" vertical="center"/>
    </xf>
    <xf numFmtId="176" fontId="9" fillId="0" borderId="13" xfId="0" applyNumberFormat="1" applyFont="1" applyBorder="1">
      <alignment vertical="center"/>
    </xf>
    <xf numFmtId="176" fontId="9" fillId="0" borderId="12" xfId="0" applyNumberFormat="1" applyFont="1" applyBorder="1">
      <alignment vertical="center"/>
    </xf>
    <xf numFmtId="176" fontId="9" fillId="0" borderId="14" xfId="0" applyNumberFormat="1" applyFont="1" applyBorder="1">
      <alignment vertical="center"/>
    </xf>
    <xf numFmtId="176" fontId="9" fillId="0" borderId="15" xfId="0" applyNumberFormat="1" applyFont="1" applyBorder="1">
      <alignment vertical="center"/>
    </xf>
    <xf numFmtId="176" fontId="9" fillId="0" borderId="16" xfId="0" applyNumberFormat="1" applyFont="1" applyBorder="1">
      <alignment vertical="center"/>
    </xf>
    <xf numFmtId="176" fontId="9" fillId="0" borderId="17" xfId="0" applyNumberFormat="1" applyFont="1" applyBorder="1">
      <alignment vertical="center"/>
    </xf>
    <xf numFmtId="177" fontId="9" fillId="0" borderId="12" xfId="0" applyNumberFormat="1" applyFont="1" applyBorder="1">
      <alignment vertical="center"/>
    </xf>
    <xf numFmtId="177" fontId="9" fillId="0" borderId="18" xfId="0" applyNumberFormat="1"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8" fontId="9" fillId="0" borderId="12" xfId="0" applyNumberFormat="1" applyFont="1" applyBorder="1">
      <alignment vertical="center"/>
    </xf>
    <xf numFmtId="178" fontId="9" fillId="0" borderId="18"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0" fontId="9" fillId="0" borderId="13" xfId="0" applyFont="1" applyBorder="1">
      <alignment vertical="center"/>
    </xf>
    <xf numFmtId="0" fontId="9" fillId="0" borderId="17" xfId="0" applyFont="1" applyBorder="1">
      <alignment vertical="center"/>
    </xf>
    <xf numFmtId="0" fontId="6" fillId="0" borderId="0" xfId="1" applyFont="1" applyAlignment="1">
      <alignment horizontal="center" vertical="center"/>
    </xf>
    <xf numFmtId="0" fontId="0" fillId="0" borderId="0" xfId="0" applyFont="1">
      <alignment vertical="center"/>
    </xf>
    <xf numFmtId="0" fontId="1" fillId="0" borderId="0" xfId="1" applyAlignment="1">
      <alignment horizontal="center" vertical="center"/>
    </xf>
    <xf numFmtId="0" fontId="9" fillId="0" borderId="19"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9" fillId="0" borderId="20"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22" xfId="0" applyFont="1" applyBorder="1" applyAlignment="1">
      <alignment horizontal="center" vertical="center" textRotation="255"/>
    </xf>
    <xf numFmtId="0" fontId="9" fillId="0" borderId="13" xfId="0" applyFont="1" applyBorder="1" applyAlignment="1">
      <alignment horizontal="left" vertical="center"/>
    </xf>
    <xf numFmtId="179" fontId="9" fillId="0" borderId="17" xfId="0" applyNumberFormat="1"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23" xfId="0" applyFont="1" applyBorder="1" applyAlignment="1">
      <alignment horizontal="left"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0" xfId="0" applyFont="1" applyBorder="1" applyAlignment="1">
      <alignment horizontal="left" vertical="center"/>
    </xf>
    <xf numFmtId="179" fontId="9" fillId="0" borderId="24" xfId="0" applyNumberFormat="1" applyFont="1" applyBorder="1" applyAlignment="1">
      <alignment horizontal="right" vertical="center"/>
    </xf>
    <xf numFmtId="0" fontId="9" fillId="0" borderId="22" xfId="0" applyFont="1" applyBorder="1" applyAlignment="1">
      <alignment horizontal="left" vertical="center"/>
    </xf>
    <xf numFmtId="0" fontId="9" fillId="0" borderId="19" xfId="0" applyFont="1" applyBorder="1" applyAlignment="1">
      <alignment horizontal="center" vertical="center" wrapText="1"/>
    </xf>
    <xf numFmtId="176" fontId="9" fillId="0" borderId="0" xfId="0" applyNumberFormat="1" applyFont="1" applyBorder="1">
      <alignment vertical="center"/>
    </xf>
    <xf numFmtId="179" fontId="9" fillId="0" borderId="10" xfId="0" applyNumberFormat="1" applyFont="1" applyBorder="1">
      <alignment vertical="center"/>
    </xf>
    <xf numFmtId="180" fontId="9" fillId="0" borderId="22" xfId="0" applyNumberFormat="1" applyFont="1" applyBorder="1">
      <alignment vertical="center"/>
    </xf>
    <xf numFmtId="181" fontId="9" fillId="0" borderId="25" xfId="0" quotePrefix="1" applyNumberFormat="1" applyFont="1" applyBorder="1" applyAlignment="1">
      <alignment horizontal="right" vertical="center"/>
    </xf>
    <xf numFmtId="180" fontId="9" fillId="0" borderId="20" xfId="0" applyNumberFormat="1" applyFont="1" applyBorder="1">
      <alignment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176" fontId="9" fillId="0" borderId="27" xfId="0" applyNumberFormat="1" applyFont="1" applyBorder="1">
      <alignment vertical="center"/>
    </xf>
    <xf numFmtId="179" fontId="9" fillId="0" borderId="29" xfId="0" applyNumberFormat="1" applyFont="1" applyBorder="1">
      <alignment vertical="center"/>
    </xf>
    <xf numFmtId="180" fontId="9" fillId="0" borderId="19" xfId="0" applyNumberFormat="1" applyFont="1" applyBorder="1">
      <alignment vertical="center"/>
    </xf>
    <xf numFmtId="181" fontId="9" fillId="0" borderId="10" xfId="0" quotePrefix="1" applyNumberFormat="1" applyFont="1" applyBorder="1" applyAlignment="1">
      <alignment horizontal="right" vertical="center"/>
    </xf>
    <xf numFmtId="180" fontId="9" fillId="0" borderId="0" xfId="0" applyNumberFormat="1" applyFont="1" applyBorder="1">
      <alignment vertical="center"/>
    </xf>
    <xf numFmtId="180" fontId="9" fillId="0" borderId="26" xfId="0" applyNumberFormat="1" applyFont="1" applyBorder="1">
      <alignment vertical="center"/>
    </xf>
    <xf numFmtId="181" fontId="9" fillId="0" borderId="29" xfId="0" quotePrefix="1" applyNumberFormat="1" applyFont="1" applyBorder="1" applyAlignment="1">
      <alignment horizontal="right" vertical="center"/>
    </xf>
    <xf numFmtId="180" fontId="9" fillId="0" borderId="27" xfId="0" applyNumberFormat="1" applyFont="1" applyBorder="1">
      <alignment vertical="center"/>
    </xf>
    <xf numFmtId="0" fontId="9" fillId="0" borderId="13" xfId="0" applyFont="1" applyBorder="1" applyAlignment="1">
      <alignment horizontal="center" vertical="center"/>
    </xf>
    <xf numFmtId="0" fontId="9" fillId="0" borderId="17" xfId="0" applyFont="1" applyBorder="1" applyAlignment="1">
      <alignment horizontal="center" vertical="center"/>
    </xf>
    <xf numFmtId="179" fontId="9" fillId="0" borderId="15" xfId="0" applyNumberFormat="1" applyFont="1" applyBorder="1">
      <alignment vertical="center"/>
    </xf>
    <xf numFmtId="0" fontId="9" fillId="0" borderId="19" xfId="0" applyFont="1" applyBorder="1">
      <alignment vertical="center"/>
    </xf>
    <xf numFmtId="0" fontId="9" fillId="0" borderId="1" xfId="0" applyFont="1" applyBorder="1" applyAlignment="1">
      <alignment horizontal="center" vertical="center"/>
    </xf>
    <xf numFmtId="0" fontId="9" fillId="0" borderId="23" xfId="0" applyFont="1" applyBorder="1" applyAlignment="1">
      <alignment horizontal="center" vertical="center"/>
    </xf>
    <xf numFmtId="180" fontId="9" fillId="0" borderId="23" xfId="0" applyNumberFormat="1" applyFont="1" applyBorder="1">
      <alignment vertical="center"/>
    </xf>
    <xf numFmtId="181" fontId="9" fillId="0" borderId="15" xfId="0" quotePrefix="1" applyNumberFormat="1" applyFont="1" applyBorder="1" applyAlignment="1">
      <alignment horizontal="right" vertical="center"/>
    </xf>
    <xf numFmtId="180" fontId="9" fillId="0" borderId="13" xfId="0" applyNumberFormat="1" applyFont="1" applyBorder="1">
      <alignment vertical="center"/>
    </xf>
    <xf numFmtId="0" fontId="9" fillId="0" borderId="26" xfId="0" applyFont="1" applyBorder="1" applyAlignment="1">
      <alignment horizontal="center" vertical="center" wrapText="1"/>
    </xf>
    <xf numFmtId="181" fontId="9" fillId="0" borderId="29" xfId="0" applyNumberFormat="1" applyFont="1" applyBorder="1">
      <alignment vertical="center"/>
    </xf>
    <xf numFmtId="0" fontId="9" fillId="0" borderId="1" xfId="0" applyFont="1" applyBorder="1" applyAlignment="1">
      <alignment vertical="center"/>
    </xf>
    <xf numFmtId="0" fontId="9" fillId="0" borderId="30" xfId="0" applyFont="1" applyBorder="1" applyAlignment="1">
      <alignment vertical="center"/>
    </xf>
    <xf numFmtId="0" fontId="9" fillId="0" borderId="2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179" fontId="9" fillId="0" borderId="15" xfId="0" quotePrefix="1" applyNumberFormat="1" applyFont="1" applyBorder="1" applyAlignment="1">
      <alignment horizontal="right" vertical="center"/>
    </xf>
    <xf numFmtId="0" fontId="9" fillId="0" borderId="0" xfId="0" applyFont="1" applyAlignment="1">
      <alignment vertical="center"/>
    </xf>
    <xf numFmtId="0" fontId="12" fillId="0" borderId="22"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left" vertical="center"/>
    </xf>
    <xf numFmtId="0" fontId="9" fillId="0" borderId="12" xfId="0" applyFont="1" applyBorder="1" applyAlignment="1">
      <alignment horizontal="center" vertical="center"/>
    </xf>
    <xf numFmtId="176" fontId="9" fillId="0" borderId="20" xfId="0" applyNumberFormat="1" applyFont="1" applyBorder="1" applyAlignment="1">
      <alignment vertical="center" wrapText="1"/>
    </xf>
    <xf numFmtId="177" fontId="9" fillId="0" borderId="27" xfId="0" applyNumberFormat="1" applyFont="1" applyBorder="1" applyAlignment="1">
      <alignment vertical="center"/>
    </xf>
    <xf numFmtId="0" fontId="9" fillId="0" borderId="21" xfId="0" applyFont="1" applyBorder="1" applyAlignment="1">
      <alignment vertical="center"/>
    </xf>
    <xf numFmtId="178" fontId="9" fillId="0" borderId="20" xfId="0" applyNumberFormat="1" applyFont="1" applyBorder="1">
      <alignment vertical="center"/>
    </xf>
    <xf numFmtId="178" fontId="9" fillId="0" borderId="28" xfId="0" applyNumberFormat="1" applyFont="1" applyBorder="1">
      <alignment vertical="center"/>
    </xf>
    <xf numFmtId="0" fontId="9" fillId="0" borderId="0" xfId="0" applyFont="1" applyBorder="1" applyAlignment="1">
      <alignment horizontal="center" vertical="center" wrapText="1"/>
    </xf>
    <xf numFmtId="178" fontId="9" fillId="0" borderId="0" xfId="0" applyNumberFormat="1" applyFont="1" applyBorder="1">
      <alignment vertical="center"/>
    </xf>
    <xf numFmtId="178" fontId="9" fillId="0" borderId="27" xfId="0" applyNumberFormat="1" applyFont="1" applyBorder="1">
      <alignment vertical="center"/>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178" fontId="9" fillId="0" borderId="13" xfId="0" applyNumberFormat="1" applyFont="1" applyBorder="1">
      <alignment vertical="center"/>
    </xf>
    <xf numFmtId="178" fontId="9" fillId="0" borderId="17" xfId="0" applyNumberFormat="1" applyFont="1" applyBorder="1">
      <alignment vertical="center"/>
    </xf>
    <xf numFmtId="0" fontId="9" fillId="0" borderId="0" xfId="0" applyNumberFormat="1" applyFont="1" applyAlignment="1">
      <alignment horizontal="right" vertical="center" readingOrder="1"/>
    </xf>
    <xf numFmtId="0" fontId="9" fillId="0" borderId="0" xfId="0" applyFont="1" applyAlignment="1">
      <alignment horizontal="right" vertical="center"/>
    </xf>
    <xf numFmtId="0" fontId="13" fillId="0" borderId="0" xfId="0" applyFont="1">
      <alignment vertical="center"/>
    </xf>
    <xf numFmtId="0" fontId="12" fillId="0" borderId="0" xfId="0" applyFont="1">
      <alignment vertical="center"/>
    </xf>
    <xf numFmtId="0" fontId="9" fillId="0" borderId="2" xfId="0" applyFont="1" applyBorder="1" applyAlignment="1">
      <alignment horizontal="center" vertical="center" wrapText="1"/>
    </xf>
    <xf numFmtId="0" fontId="9" fillId="0" borderId="0" xfId="0" applyFont="1" applyBorder="1" applyAlignment="1">
      <alignment horizontal="right" vertical="center"/>
    </xf>
    <xf numFmtId="0" fontId="9" fillId="0" borderId="0" xfId="0" applyFont="1" applyBorder="1" applyAlignment="1">
      <alignment horizontal="left" vertical="center"/>
    </xf>
    <xf numFmtId="0" fontId="9" fillId="0" borderId="2" xfId="0" applyFont="1" applyBorder="1" applyAlignment="1">
      <alignment horizontal="right" vertical="center"/>
    </xf>
    <xf numFmtId="0" fontId="9" fillId="0" borderId="0" xfId="0" applyFont="1" applyBorder="1" applyAlignment="1">
      <alignment vertical="center"/>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0" xfId="0" applyFont="1" applyBorder="1">
      <alignment vertical="center"/>
    </xf>
    <xf numFmtId="0" fontId="9" fillId="0" borderId="21" xfId="0" applyFont="1" applyBorder="1">
      <alignment vertical="center"/>
    </xf>
    <xf numFmtId="176" fontId="9" fillId="0" borderId="28" xfId="0" applyNumberFormat="1" applyFont="1" applyBorder="1">
      <alignment vertical="center"/>
    </xf>
    <xf numFmtId="178" fontId="9" fillId="0" borderId="28" xfId="0" applyNumberFormat="1" applyFont="1" applyBorder="1" applyAlignment="1">
      <alignment horizontal="right" vertical="center"/>
    </xf>
    <xf numFmtId="178" fontId="9" fillId="0" borderId="17" xfId="0" applyNumberFormat="1" applyFont="1" applyBorder="1" applyAlignment="1">
      <alignment horizontal="right" vertical="center"/>
    </xf>
    <xf numFmtId="0" fontId="13" fillId="0" borderId="0" xfId="0" applyFont="1" applyBorder="1" applyAlignment="1">
      <alignment horizontal="right" vertical="center"/>
    </xf>
    <xf numFmtId="0" fontId="13" fillId="0" borderId="0" xfId="0" applyFont="1" applyBorder="1" applyAlignment="1">
      <alignment horizontal="right" vertical="center" wrapText="1"/>
    </xf>
    <xf numFmtId="177" fontId="14" fillId="0" borderId="0" xfId="0" applyNumberFormat="1" applyFont="1">
      <alignment vertical="center"/>
    </xf>
    <xf numFmtId="176" fontId="9" fillId="0" borderId="0" xfId="0" applyNumberFormat="1" applyFont="1" applyBorder="1" applyAlignment="1">
      <alignment vertical="center"/>
    </xf>
    <xf numFmtId="176" fontId="9" fillId="0" borderId="2" xfId="0" applyNumberFormat="1" applyFont="1" applyBorder="1">
      <alignment vertical="center"/>
    </xf>
    <xf numFmtId="176" fontId="9" fillId="0" borderId="0" xfId="0" applyNumberFormat="1" applyFont="1" applyBorder="1" applyAlignment="1">
      <alignment horizontal="center" vertical="center"/>
    </xf>
    <xf numFmtId="176" fontId="9" fillId="0" borderId="4" xfId="0" applyNumberFormat="1" applyFont="1" applyBorder="1" applyAlignment="1">
      <alignment horizontal="center" vertical="center"/>
    </xf>
    <xf numFmtId="0" fontId="9" fillId="0" borderId="31" xfId="0" applyFont="1" applyBorder="1" applyAlignment="1">
      <alignment horizontal="center" vertical="center"/>
    </xf>
    <xf numFmtId="177" fontId="9" fillId="0" borderId="29" xfId="0" applyNumberFormat="1" applyFont="1" applyBorder="1">
      <alignment vertical="center"/>
    </xf>
    <xf numFmtId="178" fontId="9" fillId="0" borderId="29" xfId="0" applyNumberFormat="1" applyFont="1" applyBorder="1">
      <alignment vertical="center"/>
    </xf>
    <xf numFmtId="0" fontId="9" fillId="0" borderId="31" xfId="0" applyFont="1" applyBorder="1" applyAlignment="1">
      <alignment horizontal="center" vertical="center" wrapText="1"/>
    </xf>
    <xf numFmtId="177" fontId="9" fillId="0" borderId="0" xfId="0" applyNumberFormat="1" applyFont="1">
      <alignment vertical="center"/>
    </xf>
    <xf numFmtId="0" fontId="9" fillId="0" borderId="1" xfId="0" applyFont="1" applyBorder="1" applyAlignment="1">
      <alignment horizontal="center" vertical="center" wrapText="1"/>
    </xf>
    <xf numFmtId="176" fontId="9" fillId="0" borderId="10" xfId="0" applyNumberFormat="1" applyFont="1" applyBorder="1" applyAlignment="1">
      <alignment horizontal="right" vertical="center"/>
    </xf>
    <xf numFmtId="176" fontId="9" fillId="0" borderId="10" xfId="0" applyNumberFormat="1" applyFont="1" applyBorder="1">
      <alignment vertical="center"/>
    </xf>
    <xf numFmtId="0" fontId="15" fillId="0" borderId="0" xfId="1" applyFont="1" applyAlignment="1">
      <alignment horizontal="center" vertical="center"/>
    </xf>
    <xf numFmtId="177" fontId="9" fillId="0" borderId="20" xfId="0" applyNumberFormat="1" applyFont="1" applyBorder="1">
      <alignment vertical="center"/>
    </xf>
    <xf numFmtId="178" fontId="9" fillId="0" borderId="21" xfId="0" applyNumberFormat="1" applyFont="1" applyBorder="1">
      <alignment vertical="center"/>
    </xf>
    <xf numFmtId="177" fontId="9" fillId="0" borderId="27" xfId="0" applyNumberFormat="1" applyFont="1" applyBorder="1">
      <alignment vertical="center"/>
    </xf>
    <xf numFmtId="177" fontId="9" fillId="0" borderId="13" xfId="0" applyNumberFormat="1" applyFont="1" applyBorder="1">
      <alignment vertical="center"/>
    </xf>
    <xf numFmtId="0" fontId="9" fillId="0" borderId="19" xfId="0" applyFont="1" applyBorder="1" applyAlignment="1">
      <alignment horizontal="center" vertical="center" textRotation="255"/>
    </xf>
    <xf numFmtId="0" fontId="9" fillId="0" borderId="32" xfId="0" applyFont="1" applyBorder="1">
      <alignment vertical="center"/>
    </xf>
    <xf numFmtId="182" fontId="9" fillId="0" borderId="23" xfId="0" applyNumberFormat="1" applyFont="1" applyBorder="1" applyAlignment="1">
      <alignment horizontal="center" vertical="center"/>
    </xf>
    <xf numFmtId="182" fontId="9" fillId="0" borderId="17" xfId="0" applyNumberFormat="1" applyFont="1" applyBorder="1" applyAlignment="1">
      <alignment horizontal="center" vertical="center"/>
    </xf>
    <xf numFmtId="182" fontId="9" fillId="0" borderId="17" xfId="0" applyNumberFormat="1" applyFont="1" applyBorder="1">
      <alignment vertical="center"/>
    </xf>
    <xf numFmtId="182" fontId="9" fillId="0" borderId="13" xfId="0" applyNumberFormat="1" applyFont="1" applyBorder="1">
      <alignment vertical="center"/>
    </xf>
    <xf numFmtId="182" fontId="9" fillId="0" borderId="16" xfId="0" applyNumberFormat="1" applyFont="1" applyBorder="1">
      <alignment vertical="center"/>
    </xf>
    <xf numFmtId="182" fontId="9" fillId="0" borderId="22" xfId="0" applyNumberFormat="1" applyFont="1" applyBorder="1" applyAlignment="1">
      <alignment horizontal="center" vertical="center"/>
    </xf>
    <xf numFmtId="182" fontId="9" fillId="0" borderId="21" xfId="0" applyNumberFormat="1" applyFont="1" applyBorder="1" applyAlignment="1">
      <alignment horizontal="center" vertical="center"/>
    </xf>
    <xf numFmtId="182" fontId="9" fillId="0" borderId="21" xfId="0" applyNumberFormat="1" applyFont="1" applyBorder="1">
      <alignment vertical="center"/>
    </xf>
    <xf numFmtId="180" fontId="9" fillId="0" borderId="33" xfId="0" applyNumberFormat="1" applyFont="1" applyBorder="1">
      <alignment vertical="center"/>
    </xf>
    <xf numFmtId="180" fontId="9" fillId="0" borderId="21" xfId="0" applyNumberFormat="1" applyFont="1" applyBorder="1">
      <alignment vertical="center"/>
    </xf>
    <xf numFmtId="183" fontId="9" fillId="0" borderId="2" xfId="0" applyNumberFormat="1" applyFont="1" applyBorder="1">
      <alignment vertical="center"/>
    </xf>
    <xf numFmtId="183" fontId="9" fillId="0" borderId="0" xfId="0" applyNumberFormat="1" applyFont="1" applyBorder="1">
      <alignment vertical="center"/>
    </xf>
    <xf numFmtId="183" fontId="9" fillId="0" borderId="34" xfId="0" applyNumberFormat="1" applyFont="1" applyBorder="1">
      <alignment vertical="center"/>
    </xf>
    <xf numFmtId="0" fontId="9" fillId="0" borderId="35" xfId="0" applyFont="1" applyBorder="1">
      <alignment vertical="center"/>
    </xf>
    <xf numFmtId="182" fontId="9" fillId="0" borderId="17" xfId="0" applyNumberFormat="1" applyFont="1" applyBorder="1" applyAlignment="1">
      <alignment vertical="center"/>
    </xf>
    <xf numFmtId="182" fontId="9" fillId="0" borderId="36" xfId="0" applyNumberFormat="1" applyFont="1" applyBorder="1">
      <alignment vertical="center"/>
    </xf>
    <xf numFmtId="182" fontId="9" fillId="0" borderId="19" xfId="0" applyNumberFormat="1" applyFont="1" applyBorder="1">
      <alignment vertical="center"/>
    </xf>
    <xf numFmtId="182" fontId="9" fillId="0" borderId="0" xfId="0" applyNumberFormat="1" applyFont="1" applyBorder="1">
      <alignment vertical="center"/>
    </xf>
    <xf numFmtId="182" fontId="9" fillId="0" borderId="21" xfId="0" applyNumberFormat="1" applyFont="1" applyBorder="1" applyAlignment="1">
      <alignment vertical="center"/>
    </xf>
    <xf numFmtId="183" fontId="9" fillId="0" borderId="37" xfId="0" quotePrefix="1" applyNumberFormat="1" applyFont="1" applyBorder="1" applyAlignment="1">
      <alignment horizontal="right" vertical="center"/>
    </xf>
    <xf numFmtId="0" fontId="0" fillId="0" borderId="0" xfId="0" applyBorder="1">
      <alignment vertical="center"/>
    </xf>
    <xf numFmtId="176" fontId="9" fillId="0" borderId="0" xfId="0" applyNumberFormat="1" applyFont="1" applyAlignment="1">
      <alignment vertical="center"/>
    </xf>
    <xf numFmtId="0" fontId="9" fillId="0" borderId="0" xfId="0" applyFont="1" applyBorder="1">
      <alignment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9" xfId="0" applyFont="1" applyBorder="1">
      <alignment vertical="center"/>
    </xf>
    <xf numFmtId="176" fontId="9" fillId="0" borderId="39" xfId="0" applyNumberFormat="1" applyFont="1" applyBorder="1" applyAlignment="1">
      <alignment vertical="center"/>
    </xf>
    <xf numFmtId="0" fontId="9" fillId="0" borderId="40" xfId="0" applyFont="1" applyBorder="1">
      <alignment vertical="center"/>
    </xf>
    <xf numFmtId="176" fontId="9" fillId="0" borderId="20" xfId="0" applyNumberFormat="1" applyFont="1" applyBorder="1" applyAlignment="1">
      <alignment vertical="center"/>
    </xf>
    <xf numFmtId="176" fontId="9" fillId="0" borderId="21" xfId="0" applyNumberFormat="1" applyFont="1" applyBorder="1" applyAlignment="1">
      <alignment vertical="center"/>
    </xf>
    <xf numFmtId="176" fontId="9" fillId="0" borderId="27" xfId="0" applyNumberFormat="1" applyFont="1" applyBorder="1" applyAlignment="1">
      <alignment vertical="center"/>
    </xf>
    <xf numFmtId="176" fontId="9" fillId="0" borderId="28" xfId="0" applyNumberFormat="1" applyFont="1" applyBorder="1" applyAlignment="1">
      <alignment vertical="center"/>
    </xf>
    <xf numFmtId="0" fontId="9" fillId="0" borderId="28" xfId="0" applyFont="1" applyBorder="1">
      <alignment vertical="center"/>
    </xf>
    <xf numFmtId="176" fontId="9" fillId="0" borderId="13" xfId="0" applyNumberFormat="1" applyFont="1" applyBorder="1" applyAlignment="1">
      <alignment vertical="center"/>
    </xf>
    <xf numFmtId="176" fontId="9" fillId="0" borderId="2" xfId="0" applyNumberFormat="1" applyFont="1" applyBorder="1" applyAlignment="1">
      <alignment vertical="center"/>
    </xf>
    <xf numFmtId="0" fontId="9" fillId="0" borderId="0" xfId="0" applyFont="1" applyAlignment="1">
      <alignment horizontal="center" vertical="center"/>
    </xf>
    <xf numFmtId="178" fontId="9" fillId="0" borderId="0" xfId="0" applyNumberFormat="1" applyFont="1">
      <alignment vertical="center"/>
    </xf>
    <xf numFmtId="0" fontId="9" fillId="0" borderId="41" xfId="0" applyFont="1" applyBorder="1" applyAlignment="1">
      <alignment horizontal="center" vertical="center" textRotation="255"/>
    </xf>
    <xf numFmtId="0" fontId="9" fillId="0" borderId="42" xfId="0" applyFont="1" applyBorder="1" applyAlignment="1">
      <alignment horizontal="center" vertical="center" textRotation="255"/>
    </xf>
    <xf numFmtId="0" fontId="9" fillId="0" borderId="43" xfId="0" applyFont="1" applyBorder="1" applyAlignment="1">
      <alignment horizontal="center" vertical="center" textRotation="255"/>
    </xf>
    <xf numFmtId="0" fontId="9" fillId="0" borderId="38" xfId="0" applyFont="1" applyBorder="1">
      <alignment vertical="center"/>
    </xf>
    <xf numFmtId="176" fontId="9" fillId="0" borderId="20" xfId="0" applyNumberFormat="1" applyFont="1" applyBorder="1">
      <alignment vertical="center"/>
    </xf>
    <xf numFmtId="176" fontId="9" fillId="0" borderId="21" xfId="0" applyNumberFormat="1" applyFont="1" applyBorder="1">
      <alignment vertical="center"/>
    </xf>
    <xf numFmtId="0" fontId="9" fillId="0" borderId="27" xfId="0" applyFont="1" applyBorder="1">
      <alignment vertical="center"/>
    </xf>
    <xf numFmtId="0" fontId="16" fillId="0" borderId="0" xfId="0" applyFont="1">
      <alignment vertical="center"/>
    </xf>
    <xf numFmtId="0" fontId="16" fillId="0" borderId="0" xfId="0" applyFont="1" applyBorder="1">
      <alignment vertical="center"/>
    </xf>
    <xf numFmtId="0" fontId="16" fillId="0" borderId="1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182" fontId="16" fillId="0" borderId="0" xfId="0" applyNumberFormat="1" applyFont="1" applyBorder="1">
      <alignment vertical="center"/>
    </xf>
    <xf numFmtId="182" fontId="16" fillId="0" borderId="44" xfId="0" applyNumberFormat="1" applyFont="1" applyBorder="1">
      <alignment vertical="center"/>
    </xf>
    <xf numFmtId="182" fontId="16" fillId="0" borderId="2" xfId="0" applyNumberFormat="1" applyFont="1" applyBorder="1">
      <alignment vertical="center"/>
    </xf>
    <xf numFmtId="182" fontId="16" fillId="0" borderId="0" xfId="0" applyNumberFormat="1" applyFont="1">
      <alignment vertical="center"/>
    </xf>
    <xf numFmtId="0" fontId="16" fillId="0" borderId="22"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lignment vertical="center"/>
    </xf>
    <xf numFmtId="0" fontId="16" fillId="0" borderId="35" xfId="0" applyFont="1" applyBorder="1">
      <alignment vertical="center"/>
    </xf>
    <xf numFmtId="0" fontId="16" fillId="0" borderId="2" xfId="0" applyFont="1" applyBorder="1">
      <alignment vertical="center"/>
    </xf>
    <xf numFmtId="0" fontId="16" fillId="0" borderId="12"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xf>
    <xf numFmtId="0" fontId="16" fillId="0" borderId="27" xfId="0" applyFont="1" applyBorder="1" applyAlignment="1">
      <alignment horizontal="center" vertical="center"/>
    </xf>
    <xf numFmtId="176" fontId="16" fillId="0" borderId="27" xfId="0" applyNumberFormat="1" applyFont="1" applyBorder="1">
      <alignment vertical="center"/>
    </xf>
    <xf numFmtId="176" fontId="16" fillId="0" borderId="45" xfId="0" applyNumberFormat="1" applyFont="1" applyBorder="1">
      <alignment vertical="center"/>
    </xf>
    <xf numFmtId="0" fontId="16" fillId="0" borderId="28" xfId="0" applyFont="1" applyBorder="1">
      <alignment vertical="center"/>
    </xf>
    <xf numFmtId="0" fontId="16" fillId="0" borderId="1" xfId="0" applyFont="1" applyBorder="1" applyAlignment="1">
      <alignment horizontal="center" vertical="center"/>
    </xf>
    <xf numFmtId="176" fontId="16" fillId="0" borderId="0" xfId="0" applyNumberFormat="1" applyFont="1" applyBorder="1">
      <alignment vertical="center"/>
    </xf>
    <xf numFmtId="176" fontId="16" fillId="0" borderId="44" xfId="0" applyNumberFormat="1" applyFont="1" applyBorder="1">
      <alignment vertical="center"/>
    </xf>
    <xf numFmtId="0" fontId="16" fillId="0" borderId="13" xfId="0" applyFont="1" applyBorder="1" applyAlignment="1">
      <alignment horizontal="center" vertical="center" wrapText="1"/>
    </xf>
    <xf numFmtId="0" fontId="16" fillId="0" borderId="17" xfId="0" applyFont="1" applyBorder="1" applyAlignment="1">
      <alignment horizontal="center" vertical="center"/>
    </xf>
    <xf numFmtId="0" fontId="16" fillId="0" borderId="13" xfId="0" applyFont="1" applyBorder="1" applyAlignment="1">
      <alignment horizontal="center" vertical="center"/>
    </xf>
    <xf numFmtId="184" fontId="16" fillId="0" borderId="13" xfId="0" applyNumberFormat="1" applyFont="1" applyBorder="1">
      <alignment vertical="center"/>
    </xf>
    <xf numFmtId="184" fontId="16" fillId="0" borderId="36" xfId="0" applyNumberFormat="1" applyFont="1" applyBorder="1">
      <alignment vertical="center"/>
    </xf>
    <xf numFmtId="0" fontId="16" fillId="0" borderId="17" xfId="0" applyFont="1" applyBorder="1">
      <alignment vertical="center"/>
    </xf>
    <xf numFmtId="184" fontId="16" fillId="0" borderId="0" xfId="0" applyNumberFormat="1" applyFont="1" applyBorder="1">
      <alignment vertical="center"/>
    </xf>
    <xf numFmtId="0" fontId="16" fillId="0" borderId="19" xfId="0" applyFont="1" applyBorder="1">
      <alignment vertical="center"/>
    </xf>
    <xf numFmtId="183" fontId="9" fillId="0" borderId="0" xfId="0" applyNumberFormat="1" applyFont="1">
      <alignment vertical="center"/>
    </xf>
    <xf numFmtId="0" fontId="12" fillId="0" borderId="1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183" fontId="9" fillId="0" borderId="12" xfId="0" applyNumberFormat="1" applyFont="1" applyBorder="1" applyAlignment="1">
      <alignment horizontal="center" vertical="center"/>
    </xf>
    <xf numFmtId="183" fontId="9" fillId="0" borderId="0" xfId="0" applyNumberFormat="1" applyFont="1" applyBorder="1" applyAlignment="1">
      <alignment horizontal="center" vertical="center" wrapText="1"/>
    </xf>
    <xf numFmtId="183" fontId="9" fillId="0" borderId="0" xfId="0" applyNumberFormat="1" applyFont="1" applyBorder="1" applyAlignment="1">
      <alignment horizontal="center" vertical="center"/>
    </xf>
    <xf numFmtId="183" fontId="9" fillId="0" borderId="2" xfId="0" applyNumberFormat="1" applyFont="1" applyBorder="1" applyAlignment="1">
      <alignment horizontal="center" vertical="center"/>
    </xf>
    <xf numFmtId="183" fontId="9" fillId="0" borderId="26" xfId="0" applyNumberFormat="1" applyFont="1" applyBorder="1" applyAlignment="1">
      <alignment horizontal="center" vertical="center"/>
    </xf>
    <xf numFmtId="183" fontId="9" fillId="0" borderId="27" xfId="0" applyNumberFormat="1" applyFont="1" applyBorder="1">
      <alignment vertical="center"/>
    </xf>
    <xf numFmtId="183" fontId="9" fillId="0" borderId="28" xfId="0" applyNumberFormat="1" applyFont="1" applyBorder="1">
      <alignment vertical="center"/>
    </xf>
    <xf numFmtId="183" fontId="9" fillId="0" borderId="1" xfId="0" applyNumberFormat="1" applyFont="1" applyBorder="1" applyAlignment="1">
      <alignment horizontal="center" vertical="center"/>
    </xf>
    <xf numFmtId="183" fontId="9" fillId="0" borderId="27" xfId="0" applyNumberFormat="1" applyFont="1" applyBorder="1" applyAlignment="1">
      <alignment horizontal="center" vertical="center"/>
    </xf>
    <xf numFmtId="183" fontId="9" fillId="0" borderId="28" xfId="0" applyNumberFormat="1" applyFont="1" applyBorder="1" applyAlignment="1">
      <alignment horizontal="center" vertical="center"/>
    </xf>
    <xf numFmtId="183" fontId="9" fillId="0" borderId="26" xfId="0" applyNumberFormat="1" applyFont="1" applyBorder="1" applyAlignment="1">
      <alignment horizontal="center" vertical="center" wrapText="1"/>
    </xf>
    <xf numFmtId="183" fontId="9" fillId="0" borderId="27" xfId="0" applyNumberFormat="1" applyFont="1" applyBorder="1" applyAlignment="1">
      <alignment horizontal="center" vertical="center" wrapText="1"/>
    </xf>
    <xf numFmtId="183" fontId="9" fillId="0" borderId="28" xfId="0" applyNumberFormat="1" applyFont="1" applyBorder="1" applyAlignment="1">
      <alignment horizontal="center" vertical="center" wrapText="1"/>
    </xf>
    <xf numFmtId="183" fontId="9" fillId="0" borderId="23" xfId="0" applyNumberFormat="1" applyFont="1" applyBorder="1" applyAlignment="1">
      <alignment horizontal="center" vertical="center"/>
    </xf>
    <xf numFmtId="183" fontId="9" fillId="0" borderId="13" xfId="0" applyNumberFormat="1" applyFont="1" applyBorder="1" applyAlignment="1">
      <alignment horizontal="center" vertical="center"/>
    </xf>
    <xf numFmtId="183" fontId="9" fillId="0" borderId="17" xfId="0" applyNumberFormat="1" applyFont="1" applyBorder="1" applyAlignment="1">
      <alignment horizontal="center" vertical="center"/>
    </xf>
    <xf numFmtId="183" fontId="9" fillId="0" borderId="19" xfId="0" applyNumberFormat="1" applyFont="1" applyBorder="1" applyAlignment="1">
      <alignment horizontal="center" vertical="center"/>
    </xf>
    <xf numFmtId="183" fontId="9" fillId="0" borderId="23" xfId="0" applyNumberFormat="1" applyFont="1" applyBorder="1" applyAlignment="1">
      <alignment horizontal="center" vertical="center" wrapText="1"/>
    </xf>
    <xf numFmtId="183" fontId="9" fillId="0" borderId="13" xfId="0" applyNumberFormat="1" applyFont="1" applyBorder="1" applyAlignment="1">
      <alignment horizontal="center" vertical="center" wrapText="1"/>
    </xf>
    <xf numFmtId="183" fontId="9" fillId="0" borderId="1" xfId="0" applyNumberFormat="1" applyFont="1" applyBorder="1" applyAlignment="1">
      <alignment vertical="center"/>
    </xf>
    <xf numFmtId="183" fontId="9" fillId="0" borderId="30" xfId="0" applyNumberFormat="1" applyFont="1" applyBorder="1" applyAlignment="1">
      <alignment vertical="center"/>
    </xf>
    <xf numFmtId="183" fontId="9" fillId="0" borderId="17" xfId="0" applyNumberFormat="1" applyFont="1" applyBorder="1" applyAlignment="1">
      <alignment horizontal="center" vertical="center" wrapText="1"/>
    </xf>
    <xf numFmtId="183" fontId="9" fillId="0" borderId="23" xfId="0" applyNumberFormat="1" applyFont="1" applyBorder="1">
      <alignment vertical="center"/>
    </xf>
    <xf numFmtId="183" fontId="9" fillId="0" borderId="13" xfId="0" applyNumberFormat="1" applyFont="1" applyBorder="1">
      <alignment vertical="center"/>
    </xf>
    <xf numFmtId="183" fontId="9" fillId="0" borderId="17" xfId="0" applyNumberFormat="1" applyFont="1" applyBorder="1">
      <alignment vertical="center"/>
    </xf>
    <xf numFmtId="0" fontId="9" fillId="0" borderId="26" xfId="0" applyFont="1" applyBorder="1">
      <alignment vertical="center"/>
    </xf>
    <xf numFmtId="179" fontId="9" fillId="0" borderId="0" xfId="0" applyNumberFormat="1" applyFont="1">
      <alignment vertical="center"/>
    </xf>
    <xf numFmtId="179" fontId="9" fillId="0" borderId="12" xfId="0" applyNumberFormat="1" applyFont="1" applyBorder="1" applyAlignment="1">
      <alignment horizontal="centerContinuous" vertical="center"/>
    </xf>
    <xf numFmtId="179" fontId="9" fillId="0" borderId="23" xfId="0" applyNumberFormat="1" applyFont="1" applyBorder="1">
      <alignment vertical="center"/>
    </xf>
    <xf numFmtId="179" fontId="9" fillId="0" borderId="13" xfId="0" applyNumberFormat="1" applyFont="1" applyBorder="1">
      <alignment vertical="center"/>
    </xf>
    <xf numFmtId="179" fontId="9" fillId="0" borderId="17" xfId="0" applyNumberFormat="1" applyFont="1" applyBorder="1">
      <alignment vertical="center"/>
    </xf>
    <xf numFmtId="179" fontId="9" fillId="0" borderId="1" xfId="0" applyNumberFormat="1" applyFont="1" applyBorder="1" applyAlignment="1">
      <alignment horizontal="centerContinuous" vertical="center"/>
    </xf>
    <xf numFmtId="179" fontId="9" fillId="0" borderId="26" xfId="0" applyNumberFormat="1" applyFont="1" applyBorder="1">
      <alignment vertical="center"/>
    </xf>
    <xf numFmtId="179" fontId="9" fillId="0" borderId="27" xfId="0" applyNumberFormat="1" applyFont="1" applyBorder="1">
      <alignment vertical="center"/>
    </xf>
    <xf numFmtId="179" fontId="9" fillId="0" borderId="28" xfId="0" applyNumberFormat="1" applyFont="1" applyBorder="1">
      <alignment vertical="center"/>
    </xf>
    <xf numFmtId="176" fontId="0" fillId="0" borderId="0" xfId="0" applyNumberFormat="1" applyFont="1">
      <alignment vertical="center"/>
    </xf>
    <xf numFmtId="176" fontId="9" fillId="0" borderId="19" xfId="0" applyNumberFormat="1" applyFont="1" applyBorder="1" applyAlignment="1">
      <alignment horizontal="center" vertical="center" wrapText="1"/>
    </xf>
    <xf numFmtId="176" fontId="9" fillId="0" borderId="0"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177" fontId="9" fillId="0" borderId="23" xfId="0" applyNumberFormat="1" applyFont="1" applyBorder="1" applyAlignment="1">
      <alignment horizontal="center" vertical="center"/>
    </xf>
    <xf numFmtId="176" fontId="9" fillId="0" borderId="26" xfId="0" applyNumberFormat="1" applyFont="1" applyBorder="1" applyAlignment="1">
      <alignment horizontal="center" vertical="center" wrapText="1"/>
    </xf>
    <xf numFmtId="176" fontId="9" fillId="0" borderId="27" xfId="0" applyNumberFormat="1" applyFont="1" applyBorder="1" applyAlignment="1">
      <alignment horizontal="center" vertical="center" wrapText="1"/>
    </xf>
    <xf numFmtId="176" fontId="9" fillId="0" borderId="28" xfId="0" applyNumberFormat="1" applyFont="1" applyBorder="1" applyAlignment="1">
      <alignment horizontal="center" vertical="center" wrapText="1"/>
    </xf>
    <xf numFmtId="177" fontId="9" fillId="0" borderId="19" xfId="0" applyNumberFormat="1" applyFont="1" applyBorder="1" applyAlignment="1">
      <alignment horizontal="center" vertical="center"/>
    </xf>
    <xf numFmtId="177" fontId="9" fillId="0" borderId="26" xfId="0" applyNumberFormat="1" applyFont="1" applyBorder="1" applyAlignment="1">
      <alignment horizontal="center" vertical="center" wrapText="1"/>
    </xf>
    <xf numFmtId="177" fontId="9" fillId="0" borderId="27" xfId="0" applyNumberFormat="1" applyFont="1" applyBorder="1" applyAlignment="1">
      <alignment horizontal="center" vertical="center" wrapText="1"/>
    </xf>
    <xf numFmtId="177" fontId="9" fillId="0" borderId="28" xfId="0" applyNumberFormat="1" applyFont="1" applyBorder="1" applyAlignment="1">
      <alignment horizontal="center" vertical="center" wrapText="1"/>
    </xf>
    <xf numFmtId="177" fontId="9" fillId="0" borderId="28" xfId="0" applyNumberFormat="1" applyFont="1" applyBorder="1">
      <alignment vertical="center"/>
    </xf>
    <xf numFmtId="177" fontId="9" fillId="0" borderId="26" xfId="0" applyNumberFormat="1" applyFont="1" applyBorder="1" applyAlignment="1">
      <alignment horizontal="center" vertical="center"/>
    </xf>
    <xf numFmtId="177" fontId="9" fillId="0" borderId="27" xfId="0" applyNumberFormat="1" applyFont="1" applyBorder="1" applyAlignment="1">
      <alignment horizontal="center" vertical="center"/>
    </xf>
    <xf numFmtId="177" fontId="9" fillId="0" borderId="28" xfId="0" applyNumberFormat="1" applyFont="1" applyBorder="1" applyAlignment="1">
      <alignment horizontal="center" vertical="center"/>
    </xf>
    <xf numFmtId="177" fontId="9" fillId="0" borderId="23" xfId="0" applyNumberFormat="1" applyFont="1" applyBorder="1" applyAlignment="1">
      <alignment horizontal="center" vertical="center" wrapText="1"/>
    </xf>
    <xf numFmtId="177" fontId="9" fillId="0" borderId="13" xfId="0" applyNumberFormat="1" applyFont="1" applyBorder="1" applyAlignment="1">
      <alignment horizontal="center" vertical="center" wrapText="1"/>
    </xf>
    <xf numFmtId="177" fontId="9" fillId="0" borderId="17" xfId="0" applyNumberFormat="1" applyFont="1" applyBorder="1" applyAlignment="1">
      <alignment horizontal="center" vertical="center" wrapText="1"/>
    </xf>
    <xf numFmtId="177" fontId="9" fillId="0" borderId="17" xfId="0" applyNumberFormat="1" applyFont="1" applyBorder="1">
      <alignment vertical="center"/>
    </xf>
    <xf numFmtId="176" fontId="15" fillId="0" borderId="0" xfId="1" applyNumberFormat="1" applyFont="1" applyAlignment="1">
      <alignment horizontal="center" vertical="center"/>
    </xf>
    <xf numFmtId="0" fontId="9" fillId="0" borderId="46" xfId="0" applyFont="1" applyBorder="1">
      <alignment vertical="center"/>
    </xf>
    <xf numFmtId="176" fontId="9" fillId="0" borderId="9" xfId="0" applyNumberFormat="1" applyFont="1" applyFill="1" applyBorder="1">
      <alignment vertical="center"/>
    </xf>
    <xf numFmtId="176" fontId="9" fillId="0" borderId="19" xfId="0" applyNumberFormat="1" applyFont="1" applyFill="1" applyBorder="1">
      <alignment vertical="center"/>
    </xf>
    <xf numFmtId="176" fontId="9" fillId="0" borderId="23" xfId="0" applyNumberFormat="1" applyFont="1" applyBorder="1">
      <alignment vertical="center"/>
    </xf>
    <xf numFmtId="176" fontId="9" fillId="0" borderId="30" xfId="0" applyNumberFormat="1" applyFont="1" applyBorder="1" applyAlignment="1">
      <alignment horizontal="center" vertical="center"/>
    </xf>
    <xf numFmtId="177" fontId="9" fillId="0" borderId="47" xfId="0" applyNumberFormat="1" applyFont="1" applyBorder="1">
      <alignment vertical="center"/>
    </xf>
    <xf numFmtId="177" fontId="9" fillId="0" borderId="21" xfId="0" applyNumberFormat="1" applyFont="1" applyBorder="1">
      <alignment vertical="center"/>
    </xf>
    <xf numFmtId="177" fontId="9" fillId="0" borderId="22" xfId="0" applyNumberFormat="1" applyFont="1" applyBorder="1">
      <alignment vertical="center"/>
    </xf>
    <xf numFmtId="176" fontId="9" fillId="0" borderId="14" xfId="0" applyNumberFormat="1" applyFont="1" applyBorder="1" applyAlignment="1">
      <alignment vertical="center" wrapText="1"/>
    </xf>
    <xf numFmtId="176" fontId="9" fillId="0" borderId="2" xfId="0" applyNumberFormat="1" applyFont="1" applyBorder="1" applyAlignment="1">
      <alignment horizontal="center" vertical="center"/>
    </xf>
    <xf numFmtId="176" fontId="9" fillId="0" borderId="9" xfId="0" applyNumberFormat="1" applyFont="1" applyBorder="1" applyAlignment="1">
      <alignment vertical="center" wrapText="1"/>
    </xf>
    <xf numFmtId="176" fontId="9" fillId="0" borderId="2" xfId="0" applyNumberFormat="1" applyFont="1" applyBorder="1" applyAlignment="1">
      <alignment vertical="center" wrapText="1"/>
    </xf>
    <xf numFmtId="177" fontId="9" fillId="0" borderId="0" xfId="0" applyNumberFormat="1" applyFont="1" applyBorder="1">
      <alignment vertical="center"/>
    </xf>
    <xf numFmtId="177" fontId="9" fillId="0" borderId="9" xfId="0" applyNumberFormat="1" applyFont="1" applyBorder="1">
      <alignment vertical="center"/>
    </xf>
    <xf numFmtId="177" fontId="9" fillId="0" borderId="2" xfId="0" applyNumberFormat="1" applyFont="1" applyBorder="1">
      <alignment vertical="center"/>
    </xf>
    <xf numFmtId="177" fontId="9" fillId="0" borderId="19" xfId="0" applyNumberFormat="1" applyFont="1" applyBorder="1">
      <alignment vertical="center"/>
    </xf>
    <xf numFmtId="176" fontId="9" fillId="0" borderId="17" xfId="0" applyNumberFormat="1" applyFont="1" applyBorder="1" applyAlignment="1">
      <alignment horizontal="center" vertical="center"/>
    </xf>
    <xf numFmtId="0" fontId="9" fillId="0" borderId="12" xfId="0" applyFont="1" applyBorder="1" applyAlignment="1">
      <alignment horizontal="centerContinuous" vertical="center"/>
    </xf>
    <xf numFmtId="0" fontId="9" fillId="0" borderId="17" xfId="0" applyFont="1" applyBorder="1" applyAlignment="1">
      <alignment horizontal="centerContinuous" vertical="center"/>
    </xf>
    <xf numFmtId="180" fontId="9" fillId="0" borderId="1" xfId="0" applyNumberFormat="1" applyFont="1" applyBorder="1" applyAlignment="1">
      <alignment horizontal="centerContinuous" vertical="center" wrapText="1"/>
    </xf>
    <xf numFmtId="180" fontId="9" fillId="0" borderId="26" xfId="0" applyNumberFormat="1" applyFont="1" applyBorder="1" applyAlignment="1">
      <alignment horizontal="center" vertical="center" wrapText="1"/>
    </xf>
    <xf numFmtId="180" fontId="9" fillId="0" borderId="27" xfId="0" applyNumberFormat="1" applyFont="1" applyBorder="1" applyAlignment="1">
      <alignment horizontal="center" vertical="center" wrapText="1"/>
    </xf>
    <xf numFmtId="180" fontId="9" fillId="0" borderId="28" xfId="0" applyNumberFormat="1" applyFont="1" applyBorder="1" applyAlignment="1">
      <alignment horizontal="center" vertical="center" wrapText="1"/>
    </xf>
    <xf numFmtId="180" fontId="9" fillId="0" borderId="2" xfId="0" applyNumberFormat="1" applyFont="1" applyBorder="1" applyAlignment="1">
      <alignment horizontal="centerContinuous" vertical="center" wrapText="1"/>
    </xf>
    <xf numFmtId="180" fontId="9" fillId="0" borderId="28" xfId="0" applyNumberFormat="1" applyFont="1" applyBorder="1" applyAlignment="1">
      <alignment horizontal="center" vertical="center"/>
    </xf>
    <xf numFmtId="0" fontId="9" fillId="0" borderId="2" xfId="0" applyFont="1" applyBorder="1" applyAlignment="1">
      <alignment horizontal="centerContinuous" vertical="center"/>
    </xf>
    <xf numFmtId="180" fontId="9" fillId="0" borderId="0" xfId="0" applyNumberFormat="1" applyFont="1">
      <alignment vertical="center"/>
    </xf>
    <xf numFmtId="180" fontId="9" fillId="0" borderId="0" xfId="0" applyNumberFormat="1" applyFont="1" applyAlignment="1">
      <alignment vertical="center"/>
    </xf>
    <xf numFmtId="180" fontId="9" fillId="0" borderId="0" xfId="0" applyNumberFormat="1" applyFont="1" applyAlignment="1">
      <alignment horizontal="center" vertical="center"/>
    </xf>
    <xf numFmtId="180" fontId="0" fillId="0" borderId="0" xfId="0" applyNumberFormat="1" applyFont="1">
      <alignment vertical="center"/>
    </xf>
    <xf numFmtId="180" fontId="9" fillId="0" borderId="19" xfId="0" applyNumberFormat="1" applyFont="1" applyBorder="1" applyAlignment="1">
      <alignment horizontal="center" vertical="center"/>
    </xf>
    <xf numFmtId="180" fontId="9" fillId="0" borderId="0" xfId="0" applyNumberFormat="1" applyFont="1" applyBorder="1" applyAlignment="1">
      <alignment horizontal="center" vertical="center"/>
    </xf>
    <xf numFmtId="180" fontId="9" fillId="0" borderId="2" xfId="0" applyNumberFormat="1" applyFont="1" applyBorder="1" applyAlignment="1">
      <alignment horizontal="center" vertical="center"/>
    </xf>
    <xf numFmtId="180" fontId="9" fillId="0" borderId="48" xfId="0" applyNumberFormat="1" applyFont="1" applyBorder="1" applyAlignment="1">
      <alignment vertical="center"/>
    </xf>
    <xf numFmtId="180" fontId="9" fillId="0" borderId="20" xfId="2" applyNumberFormat="1" applyFont="1" applyBorder="1" applyAlignment="1">
      <alignment horizontal="center" vertical="center" textRotation="255"/>
    </xf>
    <xf numFmtId="180" fontId="9" fillId="0" borderId="21" xfId="2" applyNumberFormat="1" applyFont="1" applyBorder="1" applyAlignment="1">
      <alignment horizontal="center" vertical="center" textRotation="255"/>
    </xf>
    <xf numFmtId="180" fontId="9" fillId="0" borderId="22" xfId="0" applyNumberFormat="1" applyFont="1" applyBorder="1" applyAlignment="1">
      <alignment horizontal="center" vertical="center" textRotation="255"/>
    </xf>
    <xf numFmtId="180" fontId="9" fillId="0" borderId="0" xfId="0" applyNumberFormat="1" applyFont="1" applyBorder="1" applyAlignment="1">
      <alignment vertical="center"/>
    </xf>
    <xf numFmtId="180" fontId="9" fillId="0" borderId="22" xfId="0" applyNumberFormat="1" applyFont="1" applyBorder="1" applyAlignment="1">
      <alignment horizontal="center" vertical="center"/>
    </xf>
    <xf numFmtId="180" fontId="9" fillId="0" borderId="20" xfId="0" applyNumberFormat="1" applyFont="1" applyBorder="1" applyAlignment="1">
      <alignment horizontal="center" vertical="center"/>
    </xf>
    <xf numFmtId="180" fontId="9" fillId="0" borderId="21" xfId="0" applyNumberFormat="1" applyFont="1" applyBorder="1" applyAlignment="1">
      <alignment horizontal="center" vertical="center"/>
    </xf>
    <xf numFmtId="180" fontId="9" fillId="0" borderId="49" xfId="0" applyNumberFormat="1" applyFont="1" applyBorder="1">
      <alignment vertical="center"/>
    </xf>
    <xf numFmtId="180" fontId="9" fillId="0" borderId="27" xfId="0" applyNumberFormat="1" applyFont="1" applyBorder="1" applyAlignment="1">
      <alignment vertical="center"/>
    </xf>
    <xf numFmtId="180" fontId="9" fillId="0" borderId="46" xfId="0" applyNumberFormat="1" applyFont="1" applyBorder="1" applyAlignment="1">
      <alignment vertical="center"/>
    </xf>
    <xf numFmtId="180" fontId="9" fillId="0" borderId="28" xfId="0" applyNumberFormat="1" applyFont="1" applyBorder="1" applyAlignment="1">
      <alignment vertical="center"/>
    </xf>
    <xf numFmtId="180" fontId="9" fillId="0" borderId="26" xfId="0" applyNumberFormat="1" applyFont="1" applyBorder="1" applyAlignment="1">
      <alignment vertical="center"/>
    </xf>
    <xf numFmtId="180" fontId="9" fillId="0" borderId="1" xfId="0" applyNumberFormat="1" applyFont="1" applyBorder="1" applyAlignment="1">
      <alignment vertical="center"/>
    </xf>
    <xf numFmtId="180" fontId="9" fillId="0" borderId="22" xfId="0" applyNumberFormat="1" applyFont="1" applyBorder="1" applyAlignment="1">
      <alignment horizontal="center" vertical="center" wrapText="1"/>
    </xf>
    <xf numFmtId="180" fontId="9" fillId="0" borderId="20" xfId="0" applyNumberFormat="1" applyFont="1" applyBorder="1" applyAlignment="1">
      <alignment horizontal="center" vertical="center" wrapText="1"/>
    </xf>
    <xf numFmtId="180" fontId="9" fillId="0" borderId="21" xfId="0" applyNumberFormat="1" applyFont="1" applyBorder="1" applyAlignment="1">
      <alignment horizontal="center" vertical="center" wrapText="1"/>
    </xf>
    <xf numFmtId="180" fontId="9" fillId="0" borderId="30" xfId="0" applyNumberFormat="1" applyFont="1" applyBorder="1" applyAlignment="1">
      <alignment vertical="center"/>
    </xf>
    <xf numFmtId="180" fontId="9" fillId="0" borderId="20" xfId="0" applyNumberFormat="1" applyFont="1" applyBorder="1" applyAlignment="1">
      <alignment vertical="center"/>
    </xf>
    <xf numFmtId="180" fontId="9" fillId="0" borderId="47" xfId="0" applyNumberFormat="1" applyFont="1" applyBorder="1" applyAlignment="1">
      <alignment vertical="center"/>
    </xf>
    <xf numFmtId="180" fontId="9" fillId="0" borderId="21" xfId="0" applyNumberFormat="1" applyFont="1" applyBorder="1" applyAlignment="1">
      <alignment vertical="center"/>
    </xf>
    <xf numFmtId="180" fontId="9" fillId="0" borderId="22" xfId="0" applyNumberFormat="1" applyFont="1" applyBorder="1" applyAlignment="1">
      <alignment vertical="center"/>
    </xf>
    <xf numFmtId="180" fontId="9" fillId="0" borderId="30" xfId="0" quotePrefix="1" applyNumberFormat="1" applyFont="1" applyBorder="1" applyAlignment="1">
      <alignment horizontal="right" vertical="center"/>
    </xf>
    <xf numFmtId="180" fontId="9" fillId="0" borderId="12" xfId="0" applyNumberFormat="1" applyFont="1" applyBorder="1" applyAlignment="1">
      <alignment horizontal="center" vertical="center"/>
    </xf>
    <xf numFmtId="180" fontId="16" fillId="0" borderId="23" xfId="0" applyNumberFormat="1" applyFont="1" applyBorder="1" applyAlignment="1">
      <alignment horizontal="center" vertical="center"/>
    </xf>
    <xf numFmtId="180" fontId="16" fillId="0" borderId="13" xfId="0" applyNumberFormat="1" applyFont="1" applyBorder="1" applyAlignment="1">
      <alignment horizontal="center" vertical="center"/>
    </xf>
    <xf numFmtId="180" fontId="16" fillId="0" borderId="17" xfId="0" applyNumberFormat="1" applyFont="1" applyBorder="1" applyAlignment="1">
      <alignment horizontal="center" vertical="center"/>
    </xf>
    <xf numFmtId="180" fontId="9" fillId="0" borderId="31" xfId="0" applyNumberFormat="1" applyFont="1" applyBorder="1">
      <alignment vertical="center"/>
    </xf>
    <xf numFmtId="180" fontId="9" fillId="0" borderId="50" xfId="0" quotePrefix="1" applyNumberFormat="1" applyFont="1" applyBorder="1" applyAlignment="1">
      <alignment horizontal="right" vertical="center"/>
    </xf>
    <xf numFmtId="180" fontId="9" fillId="0" borderId="46" xfId="0" applyNumberFormat="1" applyFont="1" applyBorder="1">
      <alignment vertical="center"/>
    </xf>
    <xf numFmtId="180" fontId="9" fillId="0" borderId="28" xfId="0" applyNumberFormat="1" applyFont="1" applyBorder="1">
      <alignment vertical="center"/>
    </xf>
    <xf numFmtId="180" fontId="9" fillId="0" borderId="31" xfId="0" applyNumberFormat="1" applyFont="1" applyBorder="1" applyAlignment="1">
      <alignment vertical="center"/>
    </xf>
    <xf numFmtId="180" fontId="9" fillId="0" borderId="1" xfId="0" applyNumberFormat="1" applyFont="1" applyBorder="1" applyAlignment="1">
      <alignment horizontal="center" vertical="center"/>
    </xf>
    <xf numFmtId="180" fontId="16" fillId="0" borderId="26" xfId="0" applyNumberFormat="1" applyFont="1" applyBorder="1" applyAlignment="1">
      <alignment horizontal="center" vertical="center"/>
    </xf>
    <xf numFmtId="180" fontId="16" fillId="0" borderId="27" xfId="0" applyNumberFormat="1" applyFont="1" applyBorder="1" applyAlignment="1">
      <alignment horizontal="center" vertical="center"/>
    </xf>
    <xf numFmtId="180" fontId="16" fillId="0" borderId="28" xfId="0" applyNumberFormat="1" applyFont="1" applyBorder="1" applyAlignment="1">
      <alignment horizontal="center" vertical="center"/>
    </xf>
    <xf numFmtId="180" fontId="9" fillId="0" borderId="51" xfId="0" quotePrefix="1" applyNumberFormat="1" applyFont="1" applyBorder="1" applyAlignment="1">
      <alignment horizontal="right" vertical="center"/>
    </xf>
    <xf numFmtId="180" fontId="16" fillId="0" borderId="26" xfId="0" applyNumberFormat="1" applyFont="1" applyBorder="1" applyAlignment="1">
      <alignment horizontal="center" vertical="center" wrapText="1"/>
    </xf>
    <xf numFmtId="180" fontId="16" fillId="0" borderId="27" xfId="0" applyNumberFormat="1" applyFont="1" applyBorder="1" applyAlignment="1">
      <alignment horizontal="center" vertical="center" wrapText="1"/>
    </xf>
    <xf numFmtId="180" fontId="16" fillId="0" borderId="28" xfId="0" applyNumberFormat="1" applyFont="1" applyBorder="1" applyAlignment="1">
      <alignment horizontal="center" vertical="center" wrapText="1"/>
    </xf>
    <xf numFmtId="180" fontId="9" fillId="0" borderId="30" xfId="0" applyNumberFormat="1" applyFont="1" applyBorder="1" applyAlignment="1">
      <alignment horizontal="center" vertical="center"/>
    </xf>
    <xf numFmtId="180" fontId="9" fillId="0" borderId="52" xfId="0" quotePrefix="1" applyNumberFormat="1" applyFont="1" applyBorder="1" applyAlignment="1">
      <alignment horizontal="right" vertical="center"/>
    </xf>
    <xf numFmtId="180" fontId="9" fillId="0" borderId="12" xfId="0" applyNumberFormat="1" applyFont="1" applyBorder="1">
      <alignment vertical="center"/>
    </xf>
    <xf numFmtId="180" fontId="9" fillId="0" borderId="14" xfId="0" applyNumberFormat="1" applyFont="1" applyBorder="1">
      <alignment vertical="center"/>
    </xf>
    <xf numFmtId="180" fontId="9" fillId="0" borderId="17" xfId="0" applyNumberFormat="1" applyFont="1" applyBorder="1">
      <alignment vertical="center"/>
    </xf>
    <xf numFmtId="180" fontId="9" fillId="0" borderId="53" xfId="0" quotePrefix="1" applyNumberFormat="1" applyFont="1" applyBorder="1" applyAlignment="1">
      <alignment horizontal="right" vertical="center"/>
    </xf>
    <xf numFmtId="180" fontId="9" fillId="0" borderId="36" xfId="0" applyNumberFormat="1" applyFont="1" applyFill="1" applyBorder="1">
      <alignment vertical="center"/>
    </xf>
    <xf numFmtId="180" fontId="9" fillId="0" borderId="54" xfId="0" applyNumberFormat="1" applyFont="1" applyFill="1" applyBorder="1">
      <alignment vertical="center"/>
    </xf>
    <xf numFmtId="180" fontId="9" fillId="0" borderId="46" xfId="0" quotePrefix="1" applyNumberFormat="1" applyFont="1" applyBorder="1" applyAlignment="1">
      <alignment horizontal="right" vertical="center"/>
    </xf>
    <xf numFmtId="180" fontId="9" fillId="0" borderId="30" xfId="0" applyNumberFormat="1" applyFont="1" applyBorder="1">
      <alignment vertical="center"/>
    </xf>
    <xf numFmtId="180" fontId="9" fillId="0" borderId="47" xfId="0" applyNumberFormat="1" applyFont="1" applyBorder="1">
      <alignment vertical="center"/>
    </xf>
    <xf numFmtId="180" fontId="9" fillId="0" borderId="55" xfId="0" quotePrefix="1" applyNumberFormat="1" applyFont="1" applyBorder="1" applyAlignment="1">
      <alignment horizontal="right" vertical="center"/>
    </xf>
    <xf numFmtId="180" fontId="9" fillId="0" borderId="0" xfId="0" applyNumberFormat="1" applyFont="1" applyAlignment="1">
      <alignment horizontal="right" vertical="center"/>
    </xf>
    <xf numFmtId="180" fontId="9" fillId="0" borderId="56" xfId="0" quotePrefix="1" applyNumberFormat="1" applyFont="1" applyBorder="1" applyAlignment="1">
      <alignment horizontal="right" vertical="center"/>
    </xf>
    <xf numFmtId="180" fontId="9" fillId="0" borderId="12" xfId="0" applyNumberFormat="1" applyFont="1" applyBorder="1" applyAlignment="1">
      <alignment vertical="center"/>
    </xf>
    <xf numFmtId="180" fontId="15" fillId="0" borderId="0" xfId="1" applyNumberFormat="1" applyFont="1" applyAlignment="1">
      <alignment horizontal="center" vertical="center"/>
    </xf>
    <xf numFmtId="0" fontId="17" fillId="0" borderId="0" xfId="0" applyFont="1" applyBorder="1">
      <alignment vertical="center"/>
    </xf>
    <xf numFmtId="0" fontId="9" fillId="0" borderId="57" xfId="0" applyFont="1" applyBorder="1" applyAlignment="1">
      <alignment horizontal="center" vertical="center"/>
    </xf>
    <xf numFmtId="0" fontId="17" fillId="0" borderId="0" xfId="0" applyFont="1">
      <alignment vertical="center"/>
    </xf>
    <xf numFmtId="0" fontId="9" fillId="0" borderId="30" xfId="0" applyFont="1" applyBorder="1" applyAlignment="1">
      <alignment horizontal="center" vertical="center"/>
    </xf>
    <xf numFmtId="0" fontId="9" fillId="0" borderId="58" xfId="0" applyFont="1" applyBorder="1" applyAlignment="1">
      <alignment horizontal="center" vertical="center"/>
    </xf>
    <xf numFmtId="176" fontId="9" fillId="0" borderId="59" xfId="0" applyNumberFormat="1" applyFont="1" applyBorder="1">
      <alignment vertical="center"/>
    </xf>
    <xf numFmtId="176" fontId="9" fillId="0" borderId="1" xfId="0" applyNumberFormat="1" applyFont="1" applyBorder="1">
      <alignment vertical="center"/>
    </xf>
    <xf numFmtId="176" fontId="9" fillId="0" borderId="60" xfId="0" applyNumberFormat="1" applyFont="1" applyBorder="1">
      <alignment vertical="center"/>
    </xf>
    <xf numFmtId="180" fontId="9" fillId="0" borderId="18" xfId="0" applyNumberFormat="1" applyFont="1" applyBorder="1">
      <alignment vertical="center"/>
    </xf>
    <xf numFmtId="180" fontId="9" fillId="0" borderId="57" xfId="0" applyNumberFormat="1" applyFont="1" applyBorder="1">
      <alignment vertical="center"/>
    </xf>
    <xf numFmtId="180" fontId="9" fillId="0" borderId="1" xfId="0" applyNumberFormat="1" applyFont="1" applyBorder="1">
      <alignment vertical="center"/>
    </xf>
    <xf numFmtId="176" fontId="9" fillId="0" borderId="31" xfId="0" applyNumberFormat="1" applyFont="1" applyBorder="1">
      <alignment vertical="center"/>
    </xf>
    <xf numFmtId="176" fontId="9" fillId="0" borderId="61" xfId="0" applyNumberFormat="1" applyFont="1" applyBorder="1">
      <alignment vertical="center"/>
    </xf>
    <xf numFmtId="176" fontId="9" fillId="0" borderId="62" xfId="0" applyNumberFormat="1" applyFont="1" applyBorder="1">
      <alignment vertical="center"/>
    </xf>
  </cellXfs>
  <cellStyles count="3">
    <cellStyle name="ハイパーリンク" xfId="1"/>
    <cellStyle name="桁区切り_22_表Ⅱ－３－３" xfId="2"/>
    <cellStyle name="標準" xfId="0" builtinId="0"/>
  </cellStyles>
  <dxfs count="27">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dxf>
    <dxf>
      <numFmt numFmtId="185" formatCode="&quot;- &quot;"/>
      <fill>
        <patternFill patternType="none">
          <bgColor auto="1"/>
        </patternFill>
      </fill>
    </dxf>
    <dxf>
      <numFmt numFmtId="185" formatCode="&quot;- &quot;"/>
    </dxf>
    <dxf>
      <numFmt numFmtId="185" formatCode="&quot;- &quot;"/>
    </dxf>
    <dxf>
      <numFmt numFmtId="185" formatCode="&quot;- &quot;"/>
    </dxf>
    <dxf>
      <numFmt numFmtId="185" formatCode="&quot;- &quot;"/>
    </dxf>
    <dxf>
      <numFmt numFmtId="185" formatCode="&quot;- &quot;"/>
    </dxf>
    <dxf>
      <numFmt numFmtId="186" formatCode="&quot;- &quot;\ "/>
    </dxf>
    <dxf>
      <numFmt numFmtId="185" formatCode="&quot;- &quo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1305732484076433"/>
          <c:y val="3.0837004405286344e-002"/>
          <c:w val="0.80891719745222934"/>
          <c:h val="0.86123348017621149"/>
        </c:manualLayout>
      </c:layout>
      <c:barChart>
        <c:barDir val="bar"/>
        <c:grouping val="percentStacked"/>
        <c:varyColors val="0"/>
        <c:ser>
          <c:idx val="0"/>
          <c:order val="0"/>
          <c:tx>
            <c:strRef>
              <c:f>'表Ⅰ－１－１'!$E$3</c:f>
              <c:strCache>
                <c:ptCount val="1"/>
                <c:pt idx="0">
                  <c:v>現住所</c:v>
                </c:pt>
              </c:strCache>
            </c:strRef>
          </c:tx>
          <c:spPr>
            <a:pattFill prst="pct50">
              <a:fgClr>
                <a:schemeClr val="tx1"/>
              </a:fgClr>
              <a:bgClr>
                <a:schemeClr val="bg1"/>
              </a:bgClr>
            </a:pattFill>
            <a:ln>
              <a:solidFill>
                <a:schemeClr val="tx1"/>
              </a:solidFill>
            </a:ln>
          </c:spPr>
          <c:invertIfNegative val="0"/>
          <c:dLbls>
            <c:numFmt formatCode="#,##0.0_);[Red]\(#,##0.0\)" sourceLinked="0"/>
            <c:spPr>
              <a:solidFill>
                <a:schemeClr val="bg1"/>
              </a:solidFill>
            </c:spPr>
            <c:txPr>
              <a:bodyPr rot="0" horzOverflow="overflow" lIns="36576" tIns="18288" rIns="36576" bIns="18288" anchor="ctr" anchorCtr="1">
                <a:spAutoFit/>
              </a:bodyPr>
              <a:lstStyle/>
              <a:p>
                <a:pPr algn="ctr" rtl="0">
                  <a:defRPr kumimoji="0" sz="10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s>
          <c:cat>
            <c:strRef>
              <c:f/>
              <c:strCache>
                <c:ptCount val="2"/>
                <c:pt idx="0">
                  <c:v>令和２年</c:v>
                </c:pt>
                <c:pt idx="1">
                  <c:v>平成27年</c:v>
                </c:pt>
              </c:strCache>
            </c:strRef>
          </c:cat>
          <c:val>
            <c:numRef>
              <c:f>'表Ⅰ－１－１'!$E$8,'表Ⅰ－１－１'!$E$14</c:f>
              <c:numCache>
                <c:formatCode>0.0_);[Red]\(0.0\)</c:formatCode>
                <c:ptCount val="2"/>
                <c:pt idx="0">
                  <c:v>84.198052739858795</c:v>
                </c:pt>
                <c:pt idx="1">
                  <c:v>84.042325477290518</c:v>
                </c:pt>
              </c:numCache>
            </c:numRef>
          </c:val>
        </c:ser>
        <c:ser>
          <c:idx val="3"/>
          <c:order val="1"/>
          <c:tx>
            <c:strRef>
              <c:f>'表Ⅰ－１－１'!$H$5</c:f>
              <c:strCache>
                <c:ptCount val="1"/>
                <c:pt idx="0">
                  <c:v>自市町村内</c:v>
                </c:pt>
              </c:strCache>
            </c:strRef>
          </c:tx>
          <c:spPr>
            <a:pattFill prst="pct10">
              <a:fgClr>
                <a:schemeClr val="tx1"/>
              </a:fgClr>
              <a:bgClr>
                <a:schemeClr val="bg1"/>
              </a:bgClr>
            </a:pattFill>
            <a:ln>
              <a:solidFill>
                <a:schemeClr val="tx1"/>
              </a:solidFill>
            </a:ln>
          </c:spPr>
          <c:invertIfNegative val="0"/>
          <c:dPt>
            <c:idx val="0"/>
            <c:invertIfNegative val="0"/>
            <c:bubble3D val="0"/>
          </c:dPt>
          <c:dPt>
            <c:idx val="1"/>
            <c:invertIfNegative val="0"/>
            <c:bubble3D val="0"/>
          </c:dPt>
          <c:dLbls>
            <c:dLbl>
              <c:idx val="0"/>
              <c:layout>
                <c:manualLayout>
                  <c:x val="6.6145833333333334e-003"/>
                  <c:y val="8.2314814814814924e-002"/>
                </c:manualLayout>
              </c:layout>
              <c:numFmt formatCode="#,##0.0_);[Red]\(#,##0.0\)" sourceLinked="0"/>
              <c:spPr>
                <a:solidFill>
                  <a:schemeClr val="bg1"/>
                </a:solidFill>
              </c:spPr>
              <c:txPr>
                <a:bodyPr>
                  <a:spAutoFit/>
                </a:bodyPr>
                <a:lstStyle/>
                <a:p>
                  <a:pPr>
                    <a:defRPr kumimoji="0" sz="1000" kern="1200">
                      <a:solidFill>
                        <a:schemeClr val="tx1"/>
                      </a:solidFill>
                      <a:latin typeface="ＭＳ Ｐ明朝"/>
                      <a:ea typeface="ＭＳ Ｐ明朝"/>
                    </a:defRPr>
                  </a:pPr>
                  <a:endParaRPr lang="ja-JP" altLang="en-US">
                    <a:latin typeface="ＭＳ Ｐ明朝"/>
                    <a:ea typeface="ＭＳ Ｐ明朝"/>
                  </a:endParaRPr>
                </a:p>
              </c:txPr>
              <c:dLblPos val="ctr"/>
              <c:showLegendKey val="0"/>
              <c:showVal val="1"/>
              <c:showCatName val="0"/>
              <c:showSerName val="0"/>
              <c:showPercent val="0"/>
              <c:showBubbleSize val="0"/>
            </c:dLbl>
            <c:dLbl>
              <c:idx val="1"/>
              <c:layout>
                <c:manualLayout>
                  <c:x val="0"/>
                  <c:y val="-7.9375000000000001e-002"/>
                </c:manualLayout>
              </c:layout>
              <c:numFmt formatCode="#,##0.0_);[Red]\(#,##0.0\)" sourceLinked="0"/>
              <c:spPr>
                <a:solidFill>
                  <a:schemeClr val="bg1"/>
                </a:solidFill>
              </c:spPr>
              <c:txPr>
                <a:bodyPr>
                  <a:spAutoFit/>
                </a:bodyPr>
                <a:lstStyle/>
                <a:p>
                  <a:pPr>
                    <a:defRPr kumimoji="0" sz="1000" kern="1200">
                      <a:solidFill>
                        <a:schemeClr val="tx1"/>
                      </a:solidFill>
                      <a:latin typeface="ＭＳ Ｐ明朝"/>
                      <a:ea typeface="ＭＳ Ｐ明朝"/>
                    </a:defRPr>
                  </a:pPr>
                  <a:endParaRPr lang="ja-JP" altLang="en-US">
                    <a:latin typeface="ＭＳ Ｐ明朝"/>
                    <a:ea typeface="ＭＳ Ｐ明朝"/>
                  </a:endParaRPr>
                </a:p>
              </c:txPr>
              <c:dLblPos val="ctr"/>
              <c:showLegendKey val="0"/>
              <c:showVal val="1"/>
              <c:showCatName val="0"/>
              <c:showSerName val="0"/>
              <c:showPercent val="0"/>
              <c:showBubbleSize val="0"/>
            </c:dLbl>
            <c:numFmt formatCode="#,##0.0_);[Red]\(#,##0.0\)" sourceLinked="0"/>
            <c:spPr>
              <a:solidFill>
                <a:schemeClr val="bg1"/>
              </a:solidFill>
            </c:spPr>
            <c:txPr>
              <a:bodyPr rot="0" horzOverflow="overflow" lIns="36576" tIns="18288" rIns="36576" bIns="18288" anchor="ctr" anchorCtr="1">
                <a:spAutoFit/>
              </a:bodyPr>
              <a:lstStyle/>
              <a:p>
                <a:pPr algn="ctr" rtl="0">
                  <a:defRPr kumimoji="0" sz="10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s>
          <c:cat>
            <c:strRef>
              <c:f/>
              <c:strCache>
                <c:ptCount val="2"/>
                <c:pt idx="0">
                  <c:v>令和２年</c:v>
                </c:pt>
                <c:pt idx="1">
                  <c:v>平成27年</c:v>
                </c:pt>
              </c:strCache>
            </c:strRef>
          </c:cat>
          <c:val>
            <c:numRef>
              <c:f>'表Ⅰ－１－１'!$H$8,'表Ⅰ－１－１'!$H$14</c:f>
              <c:numCache>
                <c:formatCode>0.0_);[Red]\(0.0\)</c:formatCode>
                <c:ptCount val="2"/>
                <c:pt idx="0">
                  <c:v>8.9606900246169374</c:v>
                </c:pt>
                <c:pt idx="1">
                  <c:v>9.0056972844801049</c:v>
                </c:pt>
              </c:numCache>
            </c:numRef>
          </c:val>
        </c:ser>
        <c:ser>
          <c:idx val="4"/>
          <c:order val="2"/>
          <c:tx>
            <c:strRef>
              <c:f>'表Ⅰ－１－１'!$I$5</c:f>
              <c:strCache>
                <c:ptCount val="1"/>
                <c:pt idx="0">
                  <c:v>県内
他市町村</c:v>
                </c:pt>
              </c:strCache>
            </c:strRef>
          </c:tx>
          <c:spPr>
            <a:pattFill prst="ltDnDiag">
              <a:fgClr>
                <a:schemeClr val="tx1"/>
              </a:fgClr>
              <a:bgClr>
                <a:schemeClr val="bg1"/>
              </a:bgClr>
            </a:pattFill>
            <a:ln>
              <a:solidFill>
                <a:schemeClr val="tx1"/>
              </a:solidFill>
            </a:ln>
          </c:spPr>
          <c:invertIfNegative val="0"/>
          <c:dPt>
            <c:idx val="0"/>
            <c:invertIfNegative val="0"/>
            <c:bubble3D val="0"/>
          </c:dPt>
          <c:dPt>
            <c:idx val="1"/>
            <c:invertIfNegative val="0"/>
            <c:bubble3D val="0"/>
          </c:dPt>
          <c:dLbls>
            <c:dLbl>
              <c:idx val="0"/>
              <c:layout>
                <c:manualLayout>
                  <c:x val="-1.7638888888888888e-002"/>
                  <c:y val="1.4699074074074074e-002"/>
                </c:manualLayout>
              </c:layout>
              <c:numFmt formatCode="#,##0.0_);[Red]\(#,##0.0\)" sourceLinked="0"/>
              <c:spPr>
                <a:solidFill>
                  <a:schemeClr val="bg1"/>
                </a:solidFill>
              </c:spPr>
              <c:txPr>
                <a:bodyPr>
                  <a:spAutoFit/>
                </a:bodyPr>
                <a:lstStyle/>
                <a:p>
                  <a:pPr>
                    <a:defRPr kumimoji="0" sz="1000" kern="1200">
                      <a:solidFill>
                        <a:schemeClr val="tx1"/>
                      </a:solidFill>
                      <a:latin typeface="ＭＳ Ｐ明朝"/>
                      <a:ea typeface="ＭＳ Ｐ明朝"/>
                    </a:defRPr>
                  </a:pPr>
                  <a:endParaRPr lang="ja-JP" altLang="en-US">
                    <a:latin typeface="ＭＳ Ｐ明朝"/>
                    <a:ea typeface="ＭＳ Ｐ明朝"/>
                  </a:endParaRPr>
                </a:p>
              </c:txPr>
              <c:dLblPos val="ctr"/>
              <c:showLegendKey val="0"/>
              <c:showVal val="1"/>
              <c:showCatName val="0"/>
              <c:showSerName val="0"/>
              <c:showPercent val="0"/>
              <c:showBubbleSize val="0"/>
            </c:dLbl>
            <c:dLbl>
              <c:idx val="1"/>
              <c:layout>
                <c:manualLayout>
                  <c:x val="-1.3229166666666667e-002"/>
                  <c:y val="-2.3518518518518518e-002"/>
                </c:manualLayout>
              </c:layout>
              <c:numFmt formatCode="#,##0.0_);[Red]\(#,##0.0\)" sourceLinked="0"/>
              <c:spPr>
                <a:solidFill>
                  <a:schemeClr val="bg1"/>
                </a:solidFill>
              </c:spPr>
              <c:txPr>
                <a:bodyPr>
                  <a:spAutoFit/>
                </a:bodyPr>
                <a:lstStyle/>
                <a:p>
                  <a:pPr>
                    <a:defRPr kumimoji="0" sz="1000" kern="1200">
                      <a:solidFill>
                        <a:schemeClr val="tx1"/>
                      </a:solidFill>
                      <a:latin typeface="ＭＳ Ｐ明朝"/>
                      <a:ea typeface="ＭＳ Ｐ明朝"/>
                    </a:defRPr>
                  </a:pPr>
                  <a:endParaRPr lang="ja-JP" altLang="en-US">
                    <a:latin typeface="ＭＳ Ｐ明朝"/>
                    <a:ea typeface="ＭＳ Ｐ明朝"/>
                  </a:endParaRPr>
                </a:p>
              </c:txPr>
              <c:dLblPos val="ctr"/>
              <c:showLegendKey val="0"/>
              <c:showVal val="1"/>
              <c:showCatName val="0"/>
              <c:showSerName val="0"/>
              <c:showPercent val="0"/>
              <c:showBubbleSize val="0"/>
            </c:dLbl>
            <c:numFmt formatCode="#,##0.0_);[Red]\(#,##0.0\)" sourceLinked="0"/>
            <c:spPr>
              <a:solidFill>
                <a:schemeClr val="bg1"/>
              </a:solidFill>
            </c:spPr>
            <c:txPr>
              <a:bodyPr rot="0" horzOverflow="overflow" lIns="36576" tIns="18288" rIns="36576" bIns="18288" anchor="ctr" anchorCtr="1">
                <a:spAutoFit/>
              </a:bodyPr>
              <a:lstStyle/>
              <a:p>
                <a:pPr algn="ctr" rtl="0">
                  <a:defRPr kumimoji="0" sz="10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s>
          <c:cat>
            <c:strRef>
              <c:f/>
              <c:strCache>
                <c:ptCount val="2"/>
                <c:pt idx="0">
                  <c:v>令和２年</c:v>
                </c:pt>
                <c:pt idx="1">
                  <c:v>平成27年</c:v>
                </c:pt>
              </c:strCache>
            </c:strRef>
          </c:cat>
          <c:val>
            <c:numRef>
              <c:f>'表Ⅰ－１－１'!$I$8,'表Ⅰ－１－１'!$I$14</c:f>
              <c:numCache>
                <c:formatCode>0.0_);[Red]\(0.0\)</c:formatCode>
                <c:ptCount val="2"/>
                <c:pt idx="0">
                  <c:v>3.1632034117698558</c:v>
                </c:pt>
                <c:pt idx="1">
                  <c:v>3.2929698304889268</c:v>
                </c:pt>
              </c:numCache>
            </c:numRef>
          </c:val>
        </c:ser>
        <c:ser>
          <c:idx val="5"/>
          <c:order val="3"/>
          <c:tx>
            <c:strRef>
              <c:f>'表Ⅰ－１－１'!$K$5</c:f>
              <c:strCache>
                <c:ptCount val="1"/>
                <c:pt idx="0">
                  <c:v>他県</c:v>
                </c:pt>
              </c:strCache>
            </c:strRef>
          </c:tx>
          <c:spPr>
            <a:pattFill prst="ltHorz">
              <a:fgClr>
                <a:schemeClr val="tx1"/>
              </a:fgClr>
              <a:bgClr>
                <a:schemeClr val="bg1"/>
              </a:bgClr>
            </a:pattFill>
            <a:ln>
              <a:solidFill>
                <a:schemeClr val="tx1"/>
              </a:solidFill>
            </a:ln>
          </c:spPr>
          <c:invertIfNegative val="0"/>
          <c:dPt>
            <c:idx val="0"/>
            <c:invertIfNegative val="0"/>
            <c:bubble3D val="0"/>
          </c:dPt>
          <c:dPt>
            <c:idx val="1"/>
            <c:invertIfNegative val="0"/>
            <c:bubble3D val="0"/>
          </c:dPt>
          <c:dLbls>
            <c:dLbl>
              <c:idx val="0"/>
              <c:layout>
                <c:manualLayout>
                  <c:x val="-6.6145833333333334e-003"/>
                  <c:y val="-6.173611111111111e-002"/>
                </c:manualLayout>
              </c:layout>
              <c:numFmt formatCode="#,##0.0_);[Red]\(#,##0.0\)" sourceLinked="0"/>
              <c:spPr>
                <a:solidFill>
                  <a:schemeClr val="bg1"/>
                </a:solidFill>
              </c:spPr>
              <c:txPr>
                <a:bodyPr>
                  <a:spAutoFit/>
                </a:bodyPr>
                <a:lstStyle/>
                <a:p>
                  <a:pPr>
                    <a:defRPr kumimoji="0" sz="1000" kern="1200">
                      <a:solidFill>
                        <a:schemeClr val="tx1"/>
                      </a:solidFill>
                      <a:latin typeface="ＭＳ Ｐ明朝"/>
                      <a:ea typeface="ＭＳ Ｐ明朝"/>
                    </a:defRPr>
                  </a:pPr>
                  <a:endParaRPr lang="ja-JP" altLang="en-US">
                    <a:latin typeface="ＭＳ Ｐ明朝"/>
                    <a:ea typeface="ＭＳ Ｐ明朝"/>
                  </a:endParaRPr>
                </a:p>
              </c:txPr>
              <c:dLblPos val="ctr"/>
              <c:showLegendKey val="0"/>
              <c:showVal val="1"/>
              <c:showCatName val="0"/>
              <c:showSerName val="0"/>
              <c:showPercent val="0"/>
              <c:showBubbleSize val="0"/>
            </c:dLbl>
            <c:dLbl>
              <c:idx val="1"/>
              <c:layout>
                <c:manualLayout>
                  <c:x val="-8.819444444444444e-003"/>
                  <c:y val="4.4097222222222225e-002"/>
                </c:manualLayout>
              </c:layout>
              <c:numFmt formatCode="#,##0.0_);[Red]\(#,##0.0\)" sourceLinked="0"/>
              <c:spPr>
                <a:solidFill>
                  <a:schemeClr val="bg1"/>
                </a:solidFill>
              </c:spPr>
              <c:txPr>
                <a:bodyPr>
                  <a:spAutoFit/>
                </a:bodyPr>
                <a:lstStyle/>
                <a:p>
                  <a:pPr>
                    <a:defRPr kumimoji="0" sz="1000" kern="1200">
                      <a:solidFill>
                        <a:schemeClr val="tx1"/>
                      </a:solidFill>
                      <a:latin typeface="ＭＳ Ｐ明朝"/>
                      <a:ea typeface="ＭＳ Ｐ明朝"/>
                    </a:defRPr>
                  </a:pPr>
                  <a:endParaRPr lang="ja-JP" altLang="en-US">
                    <a:latin typeface="ＭＳ Ｐ明朝"/>
                    <a:ea typeface="ＭＳ Ｐ明朝"/>
                  </a:endParaRPr>
                </a:p>
              </c:txPr>
              <c:dLblPos val="ctr"/>
              <c:showLegendKey val="0"/>
              <c:showVal val="1"/>
              <c:showCatName val="0"/>
              <c:showSerName val="0"/>
              <c:showPercent val="0"/>
              <c:showBubbleSize val="0"/>
            </c:dLbl>
            <c:numFmt formatCode="#,##0.0_);[Red]\(#,##0.0\)" sourceLinked="0"/>
            <c:spPr>
              <a:solidFill>
                <a:schemeClr val="bg1"/>
              </a:solidFill>
            </c:spPr>
            <c:txPr>
              <a:bodyPr rot="0" horzOverflow="overflow" lIns="36576" tIns="18288" rIns="36576" bIns="18288" anchor="ctr" anchorCtr="1">
                <a:spAutoFit/>
              </a:bodyPr>
              <a:lstStyle/>
              <a:p>
                <a:pPr algn="ctr" rtl="0">
                  <a:defRPr kumimoji="0" sz="10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s>
          <c:cat>
            <c:strRef>
              <c:f/>
              <c:strCache>
                <c:ptCount val="2"/>
                <c:pt idx="0">
                  <c:v>令和２年</c:v>
                </c:pt>
                <c:pt idx="1">
                  <c:v>平成27年</c:v>
                </c:pt>
              </c:strCache>
            </c:strRef>
          </c:cat>
          <c:val>
            <c:numRef>
              <c:f>'表Ⅰ－１－１'!$K$8,'表Ⅰ－１－１'!$K$14</c:f>
              <c:numCache>
                <c:formatCode>0.0_);[Red]\(0.0\)</c:formatCode>
                <c:ptCount val="2"/>
                <c:pt idx="0">
                  <c:v>3.4579396395213355</c:v>
                </c:pt>
                <c:pt idx="1">
                  <c:v>3.5103443489955715</c:v>
                </c:pt>
              </c:numCache>
            </c:numRef>
          </c:val>
        </c:ser>
        <c:ser>
          <c:idx val="6"/>
          <c:order val="4"/>
          <c:tx>
            <c:strRef>
              <c:f>'表Ⅰ－１－１'!$L$5</c:f>
              <c:strCache>
                <c:ptCount val="1"/>
                <c:pt idx="0">
                  <c:v>国外</c:v>
                </c:pt>
              </c:strCache>
            </c:strRef>
          </c:tx>
          <c:spPr>
            <a:solidFill>
              <a:schemeClr val="tx1">
                <a:lumMod val="50000"/>
                <a:lumOff val="50000"/>
              </a:schemeClr>
            </a:solidFill>
          </c:spPr>
          <c:invertIfNegative val="0"/>
          <c:dPt>
            <c:idx val="0"/>
            <c:invertIfNegative val="0"/>
            <c:bubble3D val="0"/>
          </c:dPt>
          <c:dPt>
            <c:idx val="1"/>
            <c:invertIfNegative val="0"/>
            <c:bubble3D val="0"/>
          </c:dPt>
          <c:dLbls>
            <c:dLbl>
              <c:idx val="0"/>
              <c:layout>
                <c:manualLayout>
                  <c:x val="2.4253472222222221e-002"/>
                  <c:y val="0"/>
                </c:manualLayout>
              </c:layout>
              <c:numFmt formatCode="#,##0.0_);[Red]\(#,##0.0\)" sourceLinked="0"/>
              <c:spPr>
                <a:solidFill>
                  <a:schemeClr val="bg1"/>
                </a:solidFill>
              </c:spPr>
              <c:txPr>
                <a:bodyPr lIns="36576" tIns="18288" rIns="36576" bIns="18288">
                  <a:spAutoFit/>
                </a:bodyPr>
                <a:lstStyle/>
                <a:p>
                  <a:pPr>
                    <a:defRPr kumimoji="0" sz="10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
              <c:layout>
                <c:manualLayout>
                  <c:x val="9.4642632480857244e-003"/>
                  <c:y val="-5.4662550441106758e-003"/>
                </c:manualLayout>
              </c:layout>
              <c:numFmt formatCode="#,##0.0_);[Red]\(#,##0.0\)" sourceLinked="0"/>
              <c:spPr>
                <a:solidFill>
                  <a:schemeClr val="bg1"/>
                </a:solidFill>
              </c:spPr>
              <c:txPr>
                <a:bodyPr lIns="36576" tIns="18288" rIns="36576" bIns="18288">
                  <a:spAutoFit/>
                </a:bodyPr>
                <a:lstStyle/>
                <a:p>
                  <a:pPr>
                    <a:defRPr kumimoji="0" sz="10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numFmt formatCode="#,##0.0_);[Red]\(#,##0.0\)" sourceLinked="0"/>
            <c:spPr>
              <a:solidFill>
                <a:schemeClr val="bg1"/>
              </a:solidFill>
            </c:spPr>
            <c:txPr>
              <a:bodyPr rot="0" horzOverflow="overflow" anchor="ctr" anchorCtr="1">
                <a:spAutoFit/>
              </a:bodyPr>
              <a:lstStyle/>
              <a:p>
                <a:pPr algn="ctr" rtl="0">
                  <a:defRPr sz="1000">
                    <a:solidFill>
                      <a:schemeClr val="tx1"/>
                    </a:solidFill>
                  </a:defRPr>
                </a:pPr>
                <a:endParaRPr lang="ja-JP" altLang="en-US"/>
              </a:p>
            </c:txPr>
            <c:dLblPos val="ctr"/>
            <c:showLegendKey val="0"/>
            <c:showVal val="1"/>
            <c:showCatName val="0"/>
            <c:showSerName val="0"/>
            <c:showPercent val="0"/>
            <c:showBubbleSize val="0"/>
          </c:dLbls>
          <c:cat>
            <c:strRef>
              <c:f/>
              <c:strCache>
                <c:ptCount val="2"/>
                <c:pt idx="0">
                  <c:v>令和２年</c:v>
                </c:pt>
                <c:pt idx="1">
                  <c:v>平成27年</c:v>
                </c:pt>
              </c:strCache>
            </c:strRef>
          </c:cat>
          <c:val>
            <c:numRef>
              <c:f>'表Ⅰ－１－１'!$L$8,'表Ⅰ－１－１'!$L$14</c:f>
              <c:numCache>
                <c:formatCode>0.0_);[Red]\(0.0\)</c:formatCode>
                <c:ptCount val="2"/>
                <c:pt idx="0">
                  <c:v>0.22011418423307089</c:v>
                </c:pt>
                <c:pt idx="1">
                  <c:v>0.14866305874487717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80"/>
        <c:overlap val="100"/>
        <c:serLines>
          <c:spPr>
            <a:ln>
              <a:noFill/>
            </a:ln>
          </c:spPr>
        </c:serLines>
        <c:axId val="1"/>
        <c:axId val="2"/>
      </c:barChart>
      <c:catAx>
        <c:axId val="1"/>
        <c:scaling>
          <c:orientation val="minMax"/>
        </c:scaling>
        <c:delete val="0"/>
        <c:axPos val="l"/>
        <c:numFmt formatCode="0.0_);[Red]\(0.0\)" sourceLinked="1"/>
        <c:majorTickMark val="none"/>
        <c:minorTickMark val="none"/>
        <c:tickLblPos val="nextTo"/>
        <c:txPr>
          <a:bodyPr horzOverflow="overflow" anchor="ctr" anchorCtr="1"/>
          <a:lstStyle/>
          <a:p>
            <a:pPr algn="ctr" rtl="0">
              <a:defRPr kumimoji="0" sz="1000" kern="1200">
                <a:solidFill>
                  <a:schemeClr val="tx1"/>
                </a:solidFill>
                <a:latin typeface="ＭＳ Ｐ明朝"/>
                <a:ea typeface="ＭＳ Ｐ明朝"/>
              </a:defRPr>
            </a:pPr>
            <a:endParaRPr lang="ja-JP" altLang="en-US"/>
          </a:p>
        </c:txPr>
        <c:crossAx val="2"/>
        <c:crosses val="autoZero"/>
        <c:auto val="1"/>
        <c:lblAlgn val="ctr"/>
        <c:lblOffset val="100"/>
        <c:noMultiLvlLbl val="0"/>
      </c:catAx>
      <c:valAx>
        <c:axId val="2"/>
        <c:scaling>
          <c:orientation val="minMax"/>
          <c:min val="0"/>
        </c:scaling>
        <c:delete val="0"/>
        <c:axPos val="b"/>
        <c:majorGridlines>
          <c:spPr>
            <a:ln>
              <a:solidFill>
                <a:schemeClr val="tx1"/>
              </a:solidFill>
            </a:ln>
          </c:spPr>
        </c:majorGridlines>
        <c:title>
          <c:tx>
            <c:rich>
              <a:bodyPr rot="0" horzOverflow="overflow" anchor="ctr" anchorCtr="1"/>
              <a:lstStyle/>
              <a:p>
                <a:pPr algn="ctr" rtl="0">
                  <a:defRPr kumimoji="0" sz="1000" b="0" i="0" u="none" strike="noStrike" kern="1200" baseline="0">
                    <a:solidFill>
                      <a:schemeClr val="tx1"/>
                    </a:solidFill>
                    <a:latin typeface="ＭＳ Ｐ明朝"/>
                    <a:ea typeface="ＭＳ Ｐ明朝"/>
                  </a:defRPr>
                </a:pPr>
                <a:r>
                  <a:rPr kumimoji="0" lang="ja-JP" altLang="en-US" sz="1000" b="0" i="0" u="none" strike="noStrike" kern="1200" baseline="0">
                    <a:solidFill>
                      <a:schemeClr val="tx1"/>
                    </a:solidFill>
                    <a:latin typeface="ＭＳ Ｐ明朝"/>
                    <a:ea typeface="ＭＳ Ｐ明朝"/>
                  </a:rPr>
                  <a:t>（単位：％）</a:t>
                </a:r>
                <a:endParaRPr kumimoji="0" lang="ja-JP" altLang="en-US" sz="1000" b="0" i="0" u="none" strike="noStrike" kern="1200" baseline="0">
                  <a:solidFill>
                    <a:schemeClr val="tx1"/>
                  </a:solidFill>
                  <a:latin typeface="ＭＳ Ｐ明朝"/>
                  <a:ea typeface="ＭＳ Ｐ明朝"/>
                </a:endParaRPr>
              </a:p>
            </c:rich>
          </c:tx>
          <c:layout>
            <c:manualLayout>
              <c:xMode val="edge"/>
              <c:yMode val="edge"/>
              <c:x val="0.88332898674289917"/>
              <c:y val="0.95296287303294136"/>
            </c:manualLayout>
          </c:layout>
          <c:overlay val="0"/>
        </c:title>
        <c:numFmt formatCode="0.0%" sourceLinked="0"/>
        <c:majorTickMark val="none"/>
        <c:minorTickMark val="none"/>
        <c:tickLblPos val="nextTo"/>
        <c:spPr>
          <a:ln>
            <a:solidFill>
              <a:schemeClr val="tx1"/>
            </a:solidFill>
          </a:ln>
        </c:spPr>
        <c:txPr>
          <a:bodyPr horzOverflow="overflow" anchor="ctr" anchorCtr="1"/>
          <a:lstStyle/>
          <a:p>
            <a:pPr algn="ctr" rtl="0">
              <a:defRPr kumimoji="0" sz="1000" kern="1200">
                <a:solidFill>
                  <a:schemeClr val="tx1"/>
                </a:solidFill>
                <a:latin typeface="ＭＳ Ｐ明朝"/>
                <a:ea typeface="ＭＳ Ｐ明朝"/>
              </a:defRPr>
            </a:pPr>
            <a:endParaRPr lang="ja-JP" altLang="en-US"/>
          </a:p>
        </c:txPr>
        <c:crossAx val="1"/>
        <c:crosses val="autoZero"/>
        <c:crossBetween val="between"/>
        <c:majorUnit val="0.2"/>
      </c:valAx>
      <c:spPr>
        <a:ln>
          <a:solidFill>
            <a:schemeClr val="tx1"/>
          </a:solidFill>
        </a:ln>
      </c:spPr>
    </c:plotArea>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67807153965783e-002"/>
          <c:y val="5.7026476578411409e-002"/>
          <c:w val="0.80870917573872469"/>
          <c:h val="0.78004073319755596"/>
        </c:manualLayout>
      </c:layout>
      <c:barChart>
        <c:barDir val="col"/>
        <c:grouping val="stacked"/>
        <c:varyColors val="0"/>
        <c:ser>
          <c:idx val="1"/>
          <c:order val="0"/>
          <c:tx>
            <c:strRef>
              <c:f>'表Ⅰ－２－１'!$Q$6</c:f>
              <c:strCache>
                <c:ptCount val="1"/>
                <c:pt idx="0">
                  <c:v>自市
町村内</c:v>
                </c:pt>
              </c:strCache>
            </c:strRef>
          </c:tx>
          <c:spPr>
            <a:pattFill prst="pct50">
              <a:fgClr>
                <a:schemeClr val="tx1"/>
              </a:fgClr>
              <a:bgClr>
                <a:schemeClr val="bg1"/>
              </a:bgClr>
            </a:pattFill>
            <a:ln>
              <a:solidFill>
                <a:schemeClr val="tx1"/>
              </a:solidFill>
            </a:ln>
          </c:spPr>
          <c:invertIfNegative val="0"/>
          <c:dPt>
            <c:idx val="1"/>
            <c:invertIfNegative val="0"/>
            <c:bubble3D val="0"/>
          </c:dPt>
          <c:dPt>
            <c:idx val="11"/>
            <c:invertIfNegative val="0"/>
            <c:bubble3D val="0"/>
            <c:spPr>
              <a:pattFill prst="pct50">
                <a:fgClr>
                  <a:schemeClr val="tx1"/>
                </a:fgClr>
                <a:bgClr>
                  <a:schemeClr val="bg1"/>
                </a:bgClr>
              </a:pattFill>
              <a:ln>
                <a:solidFill>
                  <a:schemeClr val="tx1"/>
                </a:solidFill>
              </a:ln>
            </c:spPr>
          </c:dPt>
          <c:dPt>
            <c:idx val="12"/>
            <c:invertIfNegative val="0"/>
            <c:bubble3D val="0"/>
            <c:spPr>
              <a:pattFill prst="pct50">
                <a:fgClr>
                  <a:schemeClr val="tx1"/>
                </a:fgClr>
                <a:bgClr>
                  <a:schemeClr val="bg1"/>
                </a:bgClr>
              </a:pattFill>
              <a:ln>
                <a:solidFill>
                  <a:schemeClr val="tx1"/>
                </a:solidFill>
              </a:ln>
            </c:spPr>
          </c:dPt>
          <c:dPt>
            <c:idx val="13"/>
            <c:invertIfNegative val="0"/>
            <c:bubble3D val="0"/>
            <c:spPr>
              <a:pattFill prst="pct50">
                <a:fgClr>
                  <a:schemeClr val="tx1"/>
                </a:fgClr>
                <a:bgClr>
                  <a:schemeClr val="bg1"/>
                </a:bgClr>
              </a:pattFill>
              <a:ln>
                <a:solidFill>
                  <a:schemeClr val="tx1"/>
                </a:solidFill>
              </a:ln>
            </c:spPr>
          </c:dPt>
          <c:dPt>
            <c:idx val="14"/>
            <c:invertIfNegative val="0"/>
            <c:bubble3D val="0"/>
            <c:spPr>
              <a:pattFill prst="pct50">
                <a:fgClr>
                  <a:schemeClr val="tx1"/>
                </a:fgClr>
                <a:bgClr>
                  <a:schemeClr val="bg1"/>
                </a:bgClr>
              </a:pattFill>
              <a:ln>
                <a:solidFill>
                  <a:schemeClr val="tx1"/>
                </a:solidFill>
              </a:ln>
            </c:spPr>
          </c:dPt>
          <c:dPt>
            <c:idx val="15"/>
            <c:invertIfNegative val="0"/>
            <c:bubble3D val="0"/>
            <c:spPr>
              <a:pattFill prst="pct50">
                <a:fgClr>
                  <a:schemeClr val="tx1"/>
                </a:fgClr>
                <a:bgClr>
                  <a:schemeClr val="bg1"/>
                </a:bgClr>
              </a:pattFill>
              <a:ln>
                <a:solidFill>
                  <a:schemeClr val="tx1"/>
                </a:solidFill>
              </a:ln>
            </c:spPr>
          </c:dPt>
          <c:dPt>
            <c:idx val="16"/>
            <c:invertIfNegative val="0"/>
            <c:bubble3D val="0"/>
            <c:spPr>
              <a:pattFill prst="pct50">
                <a:fgClr>
                  <a:schemeClr val="tx1"/>
                </a:fgClr>
                <a:bgClr>
                  <a:schemeClr val="bg1"/>
                </a:bgClr>
              </a:pattFill>
              <a:ln>
                <a:solidFill>
                  <a:schemeClr val="tx1"/>
                </a:solidFill>
              </a:ln>
            </c:spPr>
          </c:dPt>
          <c:dPt>
            <c:idx val="17"/>
            <c:invertIfNegative val="0"/>
            <c:bubble3D val="0"/>
          </c:dPt>
          <c:dPt>
            <c:idx val="18"/>
            <c:invertIfNegative val="0"/>
            <c:bubble3D val="0"/>
          </c:dPt>
          <c:dLbls>
            <c:dLbl>
              <c:idx val="1"/>
              <c:layout>
                <c:manualLayout>
                  <c:x val="-1.9269432194610619e-003"/>
                  <c:y val="1.6342248716886099e-002"/>
                </c:manualLayout>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11"/>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2"/>
              <c:layout/>
              <c:numFmt formatCode="#,##0.0_);[Red]\(#,##0.0\)" sourceLinked="0"/>
              <c:spPr>
                <a:solidFill>
                  <a:schemeClr val="bg1"/>
                </a:solidFill>
              </c:spPr>
              <c:txPr>
                <a:bodyPr/>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3"/>
              <c:layout/>
              <c:numFmt formatCode="#,##0.0_);[Red]\(#,##0.0\)" sourceLinked="0"/>
              <c:spPr>
                <a:solidFill>
                  <a:schemeClr val="bg1"/>
                </a:solidFill>
              </c:spPr>
              <c:txPr>
                <a:bodyPr/>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4"/>
              <c:layout/>
              <c:numFmt formatCode="#,##0.0_);[Red]\(#,##0.0\)" sourceLinked="0"/>
              <c:spPr>
                <a:solidFill>
                  <a:schemeClr val="bg1"/>
                </a:solidFill>
              </c:spPr>
              <c:txPr>
                <a:bodyPr/>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5"/>
              <c:layout/>
              <c:numFmt formatCode="#,##0.0_);[Red]\(#,##0.0\)" sourceLinked="0"/>
              <c:spPr>
                <a:solidFill>
                  <a:schemeClr val="bg1"/>
                </a:solidFill>
              </c:spPr>
              <c:txPr>
                <a:bodyPr/>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6"/>
              <c:layout/>
              <c:numFmt formatCode="#,##0.0_);[Red]\(#,##0.0\)" sourceLinked="0"/>
              <c:spPr>
                <a:solidFill>
                  <a:schemeClr val="bg1"/>
                </a:solidFill>
              </c:spPr>
              <c:txPr>
                <a:bodyPr/>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7"/>
              <c:layout/>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8"/>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numFmt formatCode="#,##0.0_);[Red]\(#,##0.0\)" sourceLinked="0"/>
            <c:spPr>
              <a:solidFill>
                <a:schemeClr val="bg1"/>
              </a:solidFill>
            </c:spPr>
            <c:txPr>
              <a:bodyPr rot="0" horzOverflow="overflow" lIns="36576" tIns="18288" rIns="36576" bIns="18288" anchor="ctr" anchorCtr="1"/>
              <a:lstStyle/>
              <a:p>
                <a:pPr algn="ctr" rtl="0">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s>
          <c:cat>
            <c:strRef>
              <c:f>'表Ⅰ－２－１'!$W$12:$W$29</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'表Ⅰ－２－１'!$Q$12:$Q$29</c:f>
              <c:numCache>
                <c:formatCode xml:space="preserve">0.0_ </c:formatCode>
                <c:ptCount val="18"/>
                <c:pt idx="0">
                  <c:v>16.341338380850981</c:v>
                </c:pt>
                <c:pt idx="1">
                  <c:v>19.486183624092703</c:v>
                </c:pt>
                <c:pt idx="2">
                  <c:v>10.835289244788072</c:v>
                </c:pt>
                <c:pt idx="3">
                  <c:v>7.9989042596904536</c:v>
                </c:pt>
                <c:pt idx="4">
                  <c:v>9.7220832082207309</c:v>
                </c:pt>
                <c:pt idx="5">
                  <c:v>17.769865181533216</c:v>
                </c:pt>
                <c:pt idx="6">
                  <c:v>21.506636435431687</c:v>
                </c:pt>
                <c:pt idx="7">
                  <c:v>17.712312068264932</c:v>
                </c:pt>
                <c:pt idx="8">
                  <c:v>12.016897967493469</c:v>
                </c:pt>
                <c:pt idx="9">
                  <c:v>7.7643485414161866</c:v>
                </c:pt>
                <c:pt idx="10">
                  <c:v>5.3378113439146224</c:v>
                </c:pt>
                <c:pt idx="11">
                  <c:v>4.1086190175643846</c:v>
                </c:pt>
                <c:pt idx="12">
                  <c:v>3.4876105228686822</c:v>
                </c:pt>
                <c:pt idx="13">
                  <c:v>3.0833086273347172</c:v>
                </c:pt>
                <c:pt idx="14">
                  <c:v>2.79482903405126</c:v>
                </c:pt>
                <c:pt idx="15">
                  <c:v>3.6105356614382953</c:v>
                </c:pt>
                <c:pt idx="16">
                  <c:v>6.2392169289813744</c:v>
                </c:pt>
                <c:pt idx="17">
                  <c:v>16.276589927270738</c:v>
                </c:pt>
              </c:numCache>
            </c:numRef>
          </c:val>
        </c:ser>
        <c:ser>
          <c:idx val="0"/>
          <c:order val="1"/>
          <c:tx>
            <c:strRef>
              <c:f>'表Ⅰ－２－１'!$R$6</c:f>
              <c:strCache>
                <c:ptCount val="1"/>
                <c:pt idx="0">
                  <c:v>県内
他市
町村</c:v>
                </c:pt>
              </c:strCache>
            </c:strRef>
          </c:tx>
          <c:spPr>
            <a:solidFill>
              <a:schemeClr val="bg1"/>
            </a:solidFill>
            <a:ln>
              <a:solidFill>
                <a:schemeClr val="tx1"/>
              </a:solidFill>
            </a:ln>
          </c:spPr>
          <c:invertIfNegative val="0"/>
          <c:dPt>
            <c:idx val="1"/>
            <c:invertIfNegative val="0"/>
            <c:bubble3D val="0"/>
          </c:dPt>
          <c:dPt>
            <c:idx val="2"/>
            <c:invertIfNegative val="0"/>
            <c:bubble3D val="0"/>
          </c:dPt>
          <c:dPt>
            <c:idx val="3"/>
            <c:invertIfNegative val="0"/>
            <c:bubble3D val="0"/>
          </c:dPt>
          <c:dPt>
            <c:idx val="7"/>
            <c:invertIfNegative val="0"/>
            <c:bubble3D val="0"/>
            <c:spPr>
              <a:solidFill>
                <a:schemeClr val="bg1"/>
              </a:solidFill>
              <a:ln>
                <a:solidFill>
                  <a:schemeClr val="tx1"/>
                </a:solidFill>
              </a:ln>
            </c:spPr>
          </c:dPt>
          <c:dPt>
            <c:idx val="10"/>
            <c:invertIfNegative val="0"/>
            <c:bubble3D val="0"/>
          </c:dPt>
          <c:dPt>
            <c:idx val="11"/>
            <c:invertIfNegative val="0"/>
            <c:bubble3D val="0"/>
          </c:dPt>
          <c:dPt>
            <c:idx val="12"/>
            <c:invertIfNegative val="0"/>
            <c:bubble3D val="0"/>
          </c:dPt>
          <c:dPt>
            <c:idx val="13"/>
            <c:invertIfNegative val="0"/>
            <c:bubble3D val="0"/>
          </c:dPt>
          <c:dPt>
            <c:idx val="14"/>
            <c:invertIfNegative val="0"/>
            <c:bubble3D val="0"/>
          </c:dPt>
          <c:dPt>
            <c:idx val="15"/>
            <c:invertIfNegative val="0"/>
            <c:bubble3D val="0"/>
          </c:dPt>
          <c:dPt>
            <c:idx val="16"/>
            <c:invertIfNegative val="0"/>
            <c:bubble3D val="0"/>
          </c:dPt>
          <c:dPt>
            <c:idx val="17"/>
            <c:invertIfNegative val="0"/>
            <c:bubble3D val="0"/>
            <c:spPr>
              <a:solidFill>
                <a:schemeClr val="bg1"/>
              </a:solidFill>
              <a:ln>
                <a:solidFill>
                  <a:schemeClr val="tx1"/>
                </a:solidFill>
              </a:ln>
            </c:spPr>
          </c:dPt>
          <c:dPt>
            <c:idx val="18"/>
            <c:invertIfNegative val="0"/>
            <c:bubble3D val="0"/>
          </c:dPt>
          <c:dLbls>
            <c:dLbl>
              <c:idx val="1"/>
              <c:layout>
                <c:manualLayout>
                  <c:x val="4.1323227732258897e-004"/>
                  <c:y val="-1.050293814487764e-003"/>
                </c:manualLayout>
              </c:layout>
              <c:numFmt formatCode="#,##0.0_);[Red]\(#,##0.0\)" sourceLinked="0"/>
              <c:spPr>
                <a:no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2"/>
              <c:layout/>
              <c:spPr>
                <a:noFill/>
              </c:spPr>
              <c:txPr>
                <a:bodyPr lIns="36576" tIns="18288" rIns="36576" bIns="18288"/>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3"/>
              <c:layout/>
              <c:spPr>
                <a:noFill/>
              </c:spPr>
              <c:txPr>
                <a:bodyPr lIns="36576" tIns="18288" rIns="36576" bIns="18288"/>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7"/>
              <c:layout/>
              <c:numFmt formatCode="#,##0.0_);[Red]\(#,##0.0\)" sourceLinked="0"/>
              <c:spPr>
                <a:noFill/>
              </c:spPr>
              <c:txPr>
                <a:bodyPr lIns="36576" tIns="18288" rIns="36576" bIns="18288"/>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0"/>
              <c:layout/>
              <c:spPr>
                <a:noFill/>
              </c:spPr>
              <c:txPr>
                <a:bodyPr lIns="36576" tIns="18288" rIns="36576" bIns="18288"/>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1"/>
              <c:layout/>
              <c:spPr>
                <a:noFill/>
              </c:spPr>
              <c:txPr>
                <a:bodyPr lIns="36576" tIns="18288" rIns="36576" bIns="18288"/>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2"/>
              <c:delete val="1"/>
            </c:dLbl>
            <c:dLbl>
              <c:idx val="13"/>
              <c:delete val="1"/>
            </c:dLbl>
            <c:dLbl>
              <c:idx val="14"/>
              <c:delete val="1"/>
            </c:dLbl>
            <c:dLbl>
              <c:idx val="15"/>
              <c:delete val="1"/>
            </c:dLbl>
            <c:dLbl>
              <c:idx val="16"/>
              <c:delete val="1"/>
            </c:dLbl>
            <c:dLbl>
              <c:idx val="17"/>
              <c:layout/>
              <c:spPr>
                <a:noFill/>
              </c:spPr>
              <c:txPr>
                <a:bodyPr/>
                <a:lstStyle/>
                <a:p>
                  <a:pPr>
                    <a:defRPr kumimoji="0" sz="900" kern="1200">
                      <a:solidFill>
                        <a:schemeClr val="tx1"/>
                      </a:solidFill>
                      <a:latin typeface="ＭＳ Ｐ明朝"/>
                      <a:ea typeface="ＭＳ Ｐ明朝"/>
                    </a:defRPr>
                  </a:pPr>
                  <a:endParaRPr lang="ja-JP" altLang="en-US">
                    <a:latin typeface="ＭＳ Ｐ明朝"/>
                    <a:ea typeface="ＭＳ Ｐ明朝"/>
                  </a:endParaRPr>
                </a:p>
              </c:txPr>
              <c:dLblPos val="ctr"/>
              <c:showLegendKey val="0"/>
              <c:showVal val="1"/>
              <c:showCatName val="0"/>
              <c:showSerName val="0"/>
              <c:showPercent val="0"/>
              <c:showBubbleSize val="0"/>
            </c:dLbl>
            <c:dLbl>
              <c:idx val="18"/>
              <c:layout>
                <c:manualLayout>
                  <c:x val="-8.5987691476162981e-004"/>
                  <c:y val="2.5596395592251374e-003"/>
                </c:manualLayout>
              </c:layout>
              <c:numFmt formatCode="#,##0.0_);[Red]\(#,##0.0\)" sourceLinked="0"/>
              <c:spPr>
                <a:noFill/>
              </c:spPr>
              <c:txPr>
                <a:bodyPr lIns="36576" tIns="18288" rIns="36576" bIns="18288">
                  <a:noAutofit/>
                </a:bodyPr>
                <a:lstStyle/>
                <a:p>
                  <a:pPr>
                    <a:defRPr kumimoji="0" sz="800" kern="1200">
                      <a:solidFill>
                        <a:schemeClr val="tx1"/>
                      </a:solidFill>
                      <a:latin typeface="ＭＳ Ｐ明朝"/>
                      <a:ea typeface="ＭＳ Ｐ明朝"/>
                    </a:defRPr>
                  </a:pPr>
                  <a:endParaRPr lang="ja-JP" altLang="en-US"/>
                </a:p>
              </c:txPr>
              <c:showLegendKey val="0"/>
              <c:showVal val="1"/>
              <c:showCatName val="0"/>
              <c:showSerName val="0"/>
              <c:showPercent val="0"/>
              <c:showBubbleSize val="0"/>
              <c:extLst>
                <c:ext xmlns:c15="http://schemas.microsoft.com/office/drawing/2012/chart" uri="{CE6537A1-D6FC-4f65-9D91-7224C49458BB}">
                  <c15:layout>
                    <c:manualLayout>
                      <c:w val="3.7441497659906398e-002"/>
                      <c:h val="3.0364372469635626e-002"/>
                    </c:manualLayout>
                  </c15:layout>
                </c:ext>
              </c:extLst>
            </c:dLbl>
            <c:numFmt formatCode="#,##0.0_);[Red]\(#,##0.0\)" sourceLinked="0"/>
            <c:spPr>
              <a:noFill/>
            </c:spPr>
            <c:txPr>
              <a:bodyPr rot="0" horzOverflow="overflow" lIns="36576" tIns="18288" rIns="36576" bIns="18288" anchor="ctr" anchorCtr="1"/>
              <a:lstStyle/>
              <a:p>
                <a:pPr algn="ctr" rtl="0">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s>
          <c:cat>
            <c:strRef>
              <c:f>'表Ⅰ－２－１'!$W$12:$W$29</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'表Ⅰ－２－１'!$R$12:$R$29</c:f>
              <c:numCache>
                <c:formatCode xml:space="preserve">0.0_ </c:formatCode>
                <c:ptCount val="18"/>
                <c:pt idx="0">
                  <c:v>4.0301273709531138</c:v>
                </c:pt>
                <c:pt idx="1">
                  <c:v>4.5269323825289698</c:v>
                </c:pt>
                <c:pt idx="2">
                  <c:v>1.7644622394035623</c:v>
                </c:pt>
                <c:pt idx="3">
                  <c:v>4.2350362963977535</c:v>
                </c:pt>
                <c:pt idx="4">
                  <c:v>11.483668635104928</c:v>
                </c:pt>
                <c:pt idx="5">
                  <c:v>11.658906235734502</c:v>
                </c:pt>
                <c:pt idx="6">
                  <c:v>9.910070567854687</c:v>
                </c:pt>
                <c:pt idx="7">
                  <c:v>6.3409183258837878</c:v>
                </c:pt>
                <c:pt idx="8">
                  <c:v>4.0344745682196059</c:v>
                </c:pt>
                <c:pt idx="9">
                  <c:v>2.852306524077707</c:v>
                </c:pt>
                <c:pt idx="10">
                  <c:v>2.1276233015667354</c:v>
                </c:pt>
                <c:pt idx="11">
                  <c:v>1.7210326195717429</c:v>
                </c:pt>
                <c:pt idx="12">
                  <c:v>1.1666302805370594</c:v>
                </c:pt>
                <c:pt idx="13">
                  <c:v>0.79928846723984581</c:v>
                </c:pt>
                <c:pt idx="14">
                  <c:v>0.60911424144578885</c:v>
                </c:pt>
                <c:pt idx="15">
                  <c:v>0.71191345236920855</c:v>
                </c:pt>
                <c:pt idx="16">
                  <c:v>1.2077039540861236</c:v>
                </c:pt>
                <c:pt idx="17">
                  <c:v>2.3623338983977686</c:v>
                </c:pt>
              </c:numCache>
            </c:numRef>
          </c:val>
        </c:ser>
        <c:ser>
          <c:idx val="3"/>
          <c:order val="2"/>
          <c:tx>
            <c:strRef>
              <c:f>'表Ⅰ－２－１'!$T$6</c:f>
              <c:strCache>
                <c:ptCount val="1"/>
                <c:pt idx="0">
                  <c:v>他県</c:v>
                </c:pt>
              </c:strCache>
            </c:strRef>
          </c:tx>
          <c:spPr>
            <a:pattFill prst="pct20">
              <a:fgClr>
                <a:schemeClr val="tx1"/>
              </a:fgClr>
              <a:bgClr>
                <a:schemeClr val="bg1"/>
              </a:bgClr>
            </a:pattFill>
            <a:ln>
              <a:solidFill>
                <a:schemeClr val="tx1"/>
              </a:solidFill>
            </a:ln>
          </c:spPr>
          <c:invertIfNegative val="0"/>
          <c:dPt>
            <c:idx val="1"/>
            <c:invertIfNegative val="0"/>
            <c:bubble3D val="0"/>
            <c:spPr>
              <a:pattFill prst="pct20">
                <a:fgClr>
                  <a:schemeClr val="tx1"/>
                </a:fgClr>
                <a:bgClr>
                  <a:schemeClr val="bg1"/>
                </a:bgClr>
              </a:pattFill>
              <a:ln>
                <a:solidFill>
                  <a:schemeClr val="tx1"/>
                </a:solidFill>
              </a:ln>
            </c:spPr>
          </c:dPt>
          <c:dPt>
            <c:idx val="2"/>
            <c:invertIfNegative val="0"/>
            <c:bubble3D val="0"/>
            <c:spPr>
              <a:pattFill prst="pct20">
                <a:fgClr>
                  <a:schemeClr val="tx1"/>
                </a:fgClr>
                <a:bgClr>
                  <a:schemeClr val="bg1"/>
                </a:bgClr>
              </a:pattFill>
              <a:ln>
                <a:solidFill>
                  <a:schemeClr val="tx1"/>
                </a:solidFill>
              </a:ln>
            </c:spPr>
          </c:dPt>
          <c:dPt>
            <c:idx val="3"/>
            <c:invertIfNegative val="0"/>
            <c:bubble3D val="0"/>
            <c:spPr>
              <a:pattFill prst="pct20">
                <a:fgClr>
                  <a:schemeClr val="tx1"/>
                </a:fgClr>
                <a:bgClr>
                  <a:schemeClr val="bg1"/>
                </a:bgClr>
              </a:pattFill>
              <a:ln>
                <a:solidFill>
                  <a:schemeClr val="tx1"/>
                </a:solidFill>
              </a:ln>
            </c:spPr>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spPr>
              <a:pattFill prst="pct20">
                <a:fgClr>
                  <a:schemeClr val="tx1"/>
                </a:fgClr>
                <a:bgClr>
                  <a:schemeClr val="bg1"/>
                </a:bgClr>
              </a:pattFill>
              <a:ln>
                <a:solidFill>
                  <a:schemeClr val="tx1"/>
                </a:solidFill>
              </a:ln>
            </c:spPr>
          </c:dPt>
          <c:dPt>
            <c:idx val="11"/>
            <c:invertIfNegative val="0"/>
            <c:bubble3D val="0"/>
            <c:spPr>
              <a:pattFill prst="pct20">
                <a:fgClr>
                  <a:schemeClr val="tx1"/>
                </a:fgClr>
                <a:bgClr>
                  <a:schemeClr val="bg1"/>
                </a:bgClr>
              </a:pattFill>
              <a:ln>
                <a:solidFill>
                  <a:schemeClr val="tx1"/>
                </a:solidFill>
              </a:ln>
            </c:spPr>
          </c:dPt>
          <c:dPt>
            <c:idx val="12"/>
            <c:invertIfNegative val="0"/>
            <c:bubble3D val="0"/>
            <c:spPr>
              <a:pattFill prst="pct20">
                <a:fgClr>
                  <a:schemeClr val="tx1"/>
                </a:fgClr>
                <a:bgClr>
                  <a:schemeClr val="bg1"/>
                </a:bgClr>
              </a:pattFill>
              <a:ln>
                <a:solidFill>
                  <a:schemeClr val="tx1"/>
                </a:solidFill>
              </a:ln>
            </c:spPr>
          </c:dPt>
          <c:dPt>
            <c:idx val="13"/>
            <c:invertIfNegative val="0"/>
            <c:bubble3D val="0"/>
            <c:spPr>
              <a:pattFill prst="pct20">
                <a:fgClr>
                  <a:schemeClr val="tx1"/>
                </a:fgClr>
                <a:bgClr>
                  <a:schemeClr val="bg1"/>
                </a:bgClr>
              </a:pattFill>
              <a:ln>
                <a:solidFill>
                  <a:schemeClr val="tx1"/>
                </a:solidFill>
              </a:ln>
            </c:spPr>
          </c:dPt>
          <c:dPt>
            <c:idx val="14"/>
            <c:invertIfNegative val="0"/>
            <c:bubble3D val="0"/>
            <c:spPr>
              <a:pattFill prst="pct20">
                <a:fgClr>
                  <a:schemeClr val="tx1"/>
                </a:fgClr>
                <a:bgClr>
                  <a:schemeClr val="bg1"/>
                </a:bgClr>
              </a:pattFill>
              <a:ln>
                <a:solidFill>
                  <a:schemeClr val="tx1"/>
                </a:solidFill>
              </a:ln>
            </c:spPr>
          </c:dPt>
          <c:dPt>
            <c:idx val="15"/>
            <c:invertIfNegative val="0"/>
            <c:bubble3D val="0"/>
            <c:spPr>
              <a:pattFill prst="pct20">
                <a:fgClr>
                  <a:schemeClr val="tx1"/>
                </a:fgClr>
                <a:bgClr>
                  <a:schemeClr val="bg1"/>
                </a:bgClr>
              </a:pattFill>
              <a:ln>
                <a:solidFill>
                  <a:schemeClr val="tx1"/>
                </a:solidFill>
              </a:ln>
            </c:spPr>
          </c:dPt>
          <c:dPt>
            <c:idx val="16"/>
            <c:invertIfNegative val="0"/>
            <c:bubble3D val="0"/>
            <c:spPr>
              <a:pattFill prst="pct20">
                <a:fgClr>
                  <a:schemeClr val="tx1"/>
                </a:fgClr>
                <a:bgClr>
                  <a:schemeClr val="bg1"/>
                </a:bgClr>
              </a:pattFill>
              <a:ln>
                <a:solidFill>
                  <a:schemeClr val="tx1"/>
                </a:solidFill>
              </a:ln>
            </c:spPr>
          </c:dPt>
          <c:dPt>
            <c:idx val="17"/>
            <c:invertIfNegative val="0"/>
            <c:bubble3D val="0"/>
            <c:spPr>
              <a:pattFill prst="pct20">
                <a:fgClr>
                  <a:schemeClr val="tx1"/>
                </a:fgClr>
                <a:bgClr>
                  <a:schemeClr val="bg1"/>
                </a:bgClr>
              </a:pattFill>
              <a:ln>
                <a:solidFill>
                  <a:schemeClr val="tx1"/>
                </a:solidFill>
              </a:ln>
            </c:spPr>
          </c:dPt>
          <c:dPt>
            <c:idx val="18"/>
            <c:invertIfNegative val="0"/>
            <c:bubble3D val="0"/>
          </c:dPt>
          <c:dLbls>
            <c:dLbl>
              <c:idx val="1"/>
              <c:layout>
                <c:manualLayout>
                  <c:x val="4.1323227732258897e-004"/>
                  <c:y val="6.5920707280011049e-003"/>
                </c:manualLayout>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2"/>
              <c:layout>
                <c:manualLayout>
                  <c:x val="-4.8022078363449497e-004"/>
                  <c:y val="-1.119789176150552e-003"/>
                </c:manualLayout>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3"/>
              <c:layout>
                <c:manualLayout>
                  <c:x val="6.1337886586329592e-004"/>
                  <c:y val="-1.6742644011603813e-003"/>
                </c:manualLayout>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4"/>
              <c:layout>
                <c:manualLayout>
                  <c:x val="-9.1261603220034308e-004"/>
                  <c:y val="-5.722847397111798e-003"/>
                </c:manualLayout>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5"/>
              <c:layout>
                <c:manualLayout>
                  <c:x val="2.0538774306877786e-004"/>
                  <c:y val="-3.6946242043631186e-002"/>
                </c:manualLayout>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6"/>
              <c:layout>
                <c:manualLayout>
                  <c:x val="-7.8617317921063302e-004"/>
                  <c:y val="2.2552626265846323e-002"/>
                </c:manualLayout>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7"/>
              <c:layout>
                <c:manualLayout>
                  <c:x val="-4.7268662400039307e-004"/>
                  <c:y val="-3.153856780048243e-003"/>
                </c:manualLayout>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10"/>
              <c:layout/>
              <c:numFmt formatCode="#,##0.0_);[Red]\(#,##0.0\)" sourceLinked="0"/>
              <c:spPr>
                <a:solidFill>
                  <a:schemeClr val="bg1"/>
                </a:solidFill>
              </c:spPr>
              <c:txPr>
                <a:bodyPr/>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1"/>
              <c:layout/>
              <c:numFmt formatCode="#,##0.0_);[Red]\(#,##0.0\)" sourceLinked="0"/>
              <c:spPr>
                <a:solidFill>
                  <a:schemeClr val="bg1"/>
                </a:solidFill>
              </c:spPr>
              <c:txPr>
                <a:bodyPr/>
                <a:lstStyle/>
                <a:p>
                  <a:pPr>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
            <c:dLbl>
              <c:idx val="12"/>
              <c:delete val="1"/>
            </c:dLbl>
            <c:dLbl>
              <c:idx val="13"/>
              <c:delete val="1"/>
            </c:dLbl>
            <c:dLbl>
              <c:idx val="14"/>
              <c:delete val="1"/>
            </c:dLbl>
            <c:dLbl>
              <c:idx val="15"/>
              <c:delete val="1"/>
            </c:dLbl>
            <c:dLbl>
              <c:idx val="16"/>
              <c:delete val="1"/>
            </c:dLbl>
            <c:dLbl>
              <c:idx val="17"/>
              <c:delete val="1"/>
            </c:dLbl>
            <c:dLbl>
              <c:idx val="18"/>
              <c:delete val="1"/>
            </c:dLbl>
            <c:numFmt formatCode="#,##0.0_);[Red]\(#,##0.0\)" sourceLinked="0"/>
            <c:spPr>
              <a:solidFill>
                <a:schemeClr val="bg1"/>
              </a:solidFill>
            </c:spPr>
            <c:txPr>
              <a:bodyPr rot="0" horzOverflow="overflow" lIns="36576" tIns="18288" rIns="36576" bIns="18288" anchor="ctr" anchorCtr="1"/>
              <a:lstStyle/>
              <a:p>
                <a:pPr algn="ctr" rtl="0">
                  <a:defRPr kumimoji="0" sz="900" kern="1200">
                    <a:solidFill>
                      <a:schemeClr val="tx1"/>
                    </a:solidFill>
                    <a:latin typeface="ＭＳ Ｐ明朝"/>
                    <a:ea typeface="ＭＳ Ｐ明朝"/>
                  </a:defRPr>
                </a:pPr>
                <a:endParaRPr lang="ja-JP" altLang="en-US"/>
              </a:p>
            </c:txPr>
            <c:dLblPos val="inBase"/>
            <c:showLegendKey val="0"/>
            <c:showVal val="1"/>
            <c:showCatName val="0"/>
            <c:showSerName val="0"/>
            <c:showPercent val="0"/>
            <c:showBubbleSize val="0"/>
          </c:dLbls>
          <c:cat>
            <c:strRef>
              <c:f>'表Ⅰ－２－１'!$W$12:$W$29</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'表Ⅰ－２－１'!$T$12:$T$29</c:f>
              <c:numCache>
                <c:formatCode xml:space="preserve">0.0_ </c:formatCode>
                <c:ptCount val="18"/>
                <c:pt idx="0">
                  <c:v>4.519105642966994</c:v>
                </c:pt>
                <c:pt idx="1">
                  <c:v>4.9885394116897999</c:v>
                </c:pt>
                <c:pt idx="2">
                  <c:v>2.1952229739058402</c:v>
                </c:pt>
                <c:pt idx="3">
                  <c:v>4.5171894261060128</c:v>
                </c:pt>
                <c:pt idx="4">
                  <c:v>16.745070563507156</c:v>
                </c:pt>
                <c:pt idx="5">
                  <c:v>15.067409233391157</c:v>
                </c:pt>
                <c:pt idx="6">
                  <c:v>8.8986829032175887</c:v>
                </c:pt>
                <c:pt idx="7">
                  <c:v>6.1702559934985777</c:v>
                </c:pt>
                <c:pt idx="8">
                  <c:v>4.0701028129347492</c:v>
                </c:pt>
                <c:pt idx="9">
                  <c:v>3.5183193064607989</c:v>
                </c:pt>
                <c:pt idx="10">
                  <c:v>3.2084832159844519</c:v>
                </c:pt>
                <c:pt idx="11">
                  <c:v>2.4660950416403686</c:v>
                </c:pt>
                <c:pt idx="12">
                  <c:v>1.7110577447876869</c:v>
                </c:pt>
                <c:pt idx="13">
                  <c:v>1.1360806403794841</c:v>
                </c:pt>
                <c:pt idx="14">
                  <c:v>0.68126175353936769</c:v>
                </c:pt>
                <c:pt idx="15">
                  <c:v>0.39952648712636873</c:v>
                </c:pt>
                <c:pt idx="16">
                  <c:v>0.30104573782613286</c:v>
                </c:pt>
                <c:pt idx="17">
                  <c:v>0.2911904631705583</c:v>
                </c:pt>
              </c:numCache>
            </c:numRef>
          </c:val>
        </c:ser>
        <c:ser>
          <c:idx val="2"/>
          <c:order val="3"/>
          <c:tx>
            <c:strRef>
              <c:f>'表Ⅰ－２－１'!$U$6</c:f>
              <c:strCache>
                <c:ptCount val="1"/>
                <c:pt idx="0">
                  <c:v>国外</c:v>
                </c:pt>
              </c:strCache>
            </c:strRef>
          </c:tx>
          <c:spPr>
            <a:pattFill prst="pct70">
              <a:fgClr>
                <a:schemeClr val="tx1"/>
              </a:fgClr>
              <a:bgClr>
                <a:schemeClr val="bg1"/>
              </a:bgClr>
            </a:pattFill>
            <a:ln>
              <a:solidFill>
                <a:schemeClr val="tx1"/>
              </a:solid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spPr>
              <a:pattFill prst="pct70">
                <a:fgClr>
                  <a:schemeClr val="tx1"/>
                </a:fgClr>
                <a:bgClr>
                  <a:schemeClr val="bg1"/>
                </a:bgClr>
              </a:pattFill>
              <a:ln>
                <a:solidFill>
                  <a:schemeClr val="tx1"/>
                </a:solidFill>
              </a:ln>
            </c:spPr>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spPr>
              <a:pattFill prst="pct70">
                <a:fgClr>
                  <a:schemeClr val="tx1"/>
                </a:fgClr>
                <a:bgClr>
                  <a:schemeClr val="bg1"/>
                </a:bgClr>
              </a:pattFill>
              <a:ln>
                <a:solidFill>
                  <a:schemeClr val="tx1"/>
                </a:solidFill>
              </a:ln>
            </c:spPr>
          </c:dPt>
          <c:dPt>
            <c:idx val="11"/>
            <c:invertIfNegative val="0"/>
            <c:bubble3D val="0"/>
            <c:spPr>
              <a:pattFill prst="pct70">
                <a:fgClr>
                  <a:schemeClr val="tx1"/>
                </a:fgClr>
                <a:bgClr>
                  <a:schemeClr val="bg1"/>
                </a:bgClr>
              </a:pattFill>
              <a:ln>
                <a:solidFill>
                  <a:schemeClr val="tx1"/>
                </a:solidFill>
              </a:ln>
            </c:spPr>
          </c:dPt>
          <c:dPt>
            <c:idx val="12"/>
            <c:invertIfNegative val="0"/>
            <c:bubble3D val="0"/>
            <c:spPr>
              <a:pattFill prst="pct70">
                <a:fgClr>
                  <a:schemeClr val="tx1"/>
                </a:fgClr>
                <a:bgClr>
                  <a:schemeClr val="bg1"/>
                </a:bgClr>
              </a:pattFill>
              <a:ln>
                <a:solidFill>
                  <a:schemeClr val="tx1"/>
                </a:solidFill>
              </a:ln>
            </c:spPr>
          </c:dPt>
          <c:dPt>
            <c:idx val="13"/>
            <c:invertIfNegative val="0"/>
            <c:bubble3D val="0"/>
            <c:spPr>
              <a:pattFill prst="pct70">
                <a:fgClr>
                  <a:schemeClr val="tx1"/>
                </a:fgClr>
                <a:bgClr>
                  <a:schemeClr val="bg1"/>
                </a:bgClr>
              </a:pattFill>
              <a:ln>
                <a:solidFill>
                  <a:schemeClr val="tx1"/>
                </a:solidFill>
              </a:ln>
            </c:spPr>
          </c:dPt>
          <c:dPt>
            <c:idx val="14"/>
            <c:invertIfNegative val="0"/>
            <c:bubble3D val="0"/>
            <c:spPr>
              <a:pattFill prst="pct70">
                <a:fgClr>
                  <a:schemeClr val="tx1"/>
                </a:fgClr>
                <a:bgClr>
                  <a:schemeClr val="bg1"/>
                </a:bgClr>
              </a:pattFill>
              <a:ln>
                <a:solidFill>
                  <a:schemeClr val="tx1"/>
                </a:solidFill>
              </a:ln>
            </c:spPr>
          </c:dPt>
          <c:dPt>
            <c:idx val="15"/>
            <c:invertIfNegative val="0"/>
            <c:bubble3D val="0"/>
            <c:spPr>
              <a:pattFill prst="pct70">
                <a:fgClr>
                  <a:schemeClr val="tx1"/>
                </a:fgClr>
                <a:bgClr>
                  <a:schemeClr val="bg1"/>
                </a:bgClr>
              </a:pattFill>
              <a:ln>
                <a:solidFill>
                  <a:schemeClr val="tx1"/>
                </a:solidFill>
              </a:ln>
            </c:spPr>
          </c:dPt>
          <c:dPt>
            <c:idx val="16"/>
            <c:invertIfNegative val="0"/>
            <c:bubble3D val="0"/>
            <c:spPr>
              <a:pattFill prst="pct70">
                <a:fgClr>
                  <a:schemeClr val="tx1"/>
                </a:fgClr>
                <a:bgClr>
                  <a:schemeClr val="bg1"/>
                </a:bgClr>
              </a:pattFill>
              <a:ln>
                <a:solidFill>
                  <a:schemeClr val="tx1"/>
                </a:solidFill>
              </a:ln>
            </c:spPr>
          </c:dPt>
          <c:dPt>
            <c:idx val="17"/>
            <c:invertIfNegative val="0"/>
            <c:bubble3D val="0"/>
            <c:spPr>
              <a:pattFill prst="pct70">
                <a:fgClr>
                  <a:schemeClr val="tx1"/>
                </a:fgClr>
                <a:bgClr>
                  <a:schemeClr val="bg1"/>
                </a:bgClr>
              </a:pattFill>
              <a:ln>
                <a:solidFill>
                  <a:schemeClr val="tx1"/>
                </a:solidFill>
              </a:ln>
            </c:spPr>
          </c:dPt>
          <c:dPt>
            <c:idx val="18"/>
            <c:invertIfNegative val="0"/>
            <c:bubble3D val="0"/>
          </c:dPt>
          <c:dLbls>
            <c:dLbl>
              <c:idx val="0"/>
              <c:delete val="1"/>
            </c:dLbl>
            <c:dLbl>
              <c:idx val="1"/>
              <c:delete val="1"/>
            </c:dLbl>
            <c:dLbl>
              <c:idx val="2"/>
              <c:delete val="1"/>
            </c:dLbl>
            <c:dLbl>
              <c:idx val="3"/>
              <c:delete val="1"/>
            </c:dLbl>
            <c:dLbl>
              <c:idx val="4"/>
              <c:layout>
                <c:manualLayout>
                  <c:x val="-6.3319698142256403e-004"/>
                  <c:y val="-3.77376815752282e-002"/>
                </c:manualLayout>
              </c:layout>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5"/>
              <c:layout>
                <c:manualLayout>
                  <c:x val="-1.3546746594273219e-003"/>
                  <c:y val="-3.5713390077252487e-002"/>
                </c:manualLayout>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6"/>
              <c:layout>
                <c:manualLayout>
                  <c:x val="-2.3650709807919877e-004"/>
                  <c:y val="-3.0504213289128331e-002"/>
                </c:manualLayout>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7"/>
              <c:layout>
                <c:manualLayout>
                  <c:x val="-4.0917124861725098e-004"/>
                  <c:y val="-2.4930855129870477e-002"/>
                </c:manualLayout>
              </c:layout>
              <c:numFmt formatCode="#,##0.0_);[Red]\(#,##0.0\)" sourceLinked="0"/>
              <c:spPr>
                <a:solidFill>
                  <a:schemeClr val="bg1"/>
                </a:solidFill>
              </c:spPr>
              <c:txPr>
                <a:bodyPr lIns="36576" tIns="18288" rIns="36576" bIns="18288"/>
                <a:lstStyle/>
                <a:p>
                  <a:pPr>
                    <a:defRPr kumimoji="0" sz="900" kern="1200">
                      <a:solidFill>
                        <a:schemeClr val="tx1"/>
                      </a:solidFill>
                      <a:latin typeface="ＭＳ Ｐ明朝"/>
                      <a:ea typeface="ＭＳ Ｐ明朝"/>
                    </a:defRPr>
                  </a:pPr>
                  <a:endParaRPr lang="ja-JP" altLang="en-US"/>
                </a:p>
              </c:txPr>
              <c:showLegendKey val="0"/>
              <c:showVal val="1"/>
              <c:showCatName val="0"/>
              <c:showSerName val="0"/>
              <c:showPercent val="0"/>
              <c:showBubbleSize val="0"/>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numFmt formatCode="#,##0.0_);[Red]\(#,##0.0\)" sourceLinked="0"/>
            <c:spPr>
              <a:solidFill>
                <a:schemeClr val="bg1"/>
              </a:solidFill>
            </c:spPr>
            <c:txPr>
              <a:bodyPr rot="0" horzOverflow="overflow" lIns="36576" tIns="18288" rIns="36576" bIns="18288" anchor="ctr" anchorCtr="1"/>
              <a:lstStyle/>
              <a:p>
                <a:pPr algn="ctr" rtl="0">
                  <a:defRPr kumimoji="0" sz="900" kern="1200">
                    <a:solidFill>
                      <a:schemeClr val="tx1"/>
                    </a:solidFill>
                    <a:latin typeface="ＭＳ Ｐ明朝"/>
                    <a:ea typeface="ＭＳ Ｐ明朝"/>
                  </a:defRPr>
                </a:pPr>
                <a:endParaRPr lang="ja-JP" altLang="en-US"/>
              </a:p>
            </c:txPr>
            <c:dLblPos val="ctr"/>
            <c:showLegendKey val="0"/>
            <c:showVal val="1"/>
            <c:showCatName val="0"/>
            <c:showSerName val="0"/>
            <c:showPercent val="0"/>
            <c:showBubbleSize val="0"/>
          </c:dLbls>
          <c:cat>
            <c:strRef>
              <c:f>'表Ⅰ－２－１'!$W$12:$W$29</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'表Ⅰ－２－１'!$U$12:$U$29</c:f>
              <c:numCache>
                <c:formatCode xml:space="preserve">0.0_ </c:formatCode>
                <c:ptCount val="18"/>
                <c:pt idx="0">
                  <c:v>0.18139516542450412</c:v>
                </c:pt>
                <c:pt idx="1">
                  <c:v>0.15599134088883229</c:v>
                </c:pt>
                <c:pt idx="2">
                  <c:v>0.11321275714482948</c:v>
                </c:pt>
                <c:pt idx="3">
                  <c:v>0.2164087111354609</c:v>
                </c:pt>
                <c:pt idx="4">
                  <c:v>1.5981049611316851</c:v>
                </c:pt>
                <c:pt idx="5">
                  <c:v>1.302535074104507</c:v>
                </c:pt>
                <c:pt idx="6">
                  <c:v>0.80503401013935239</c:v>
                </c:pt>
                <c:pt idx="7">
                  <c:v>0.53636733035351492</c:v>
                </c:pt>
                <c:pt idx="8">
                  <c:v>0.24600454684265888</c:v>
                </c:pt>
                <c:pt idx="9">
                  <c:v>0.21989495665379993</c:v>
                </c:pt>
                <c:pt idx="10">
                  <c:v>0.10058475544265817</c:v>
                </c:pt>
                <c:pt idx="11">
                  <c:v>4.3102784747771739e-002</c:v>
                </c:pt>
                <c:pt idx="12">
                  <c:v>2.8654077065822507e-002</c:v>
                </c:pt>
                <c:pt idx="13">
                  <c:v>1.1858879335902758e-002</c:v>
                </c:pt>
                <c:pt idx="14">
                  <c:v>3.5482382996842067e-003</c:v>
                </c:pt>
                <c:pt idx="15">
                  <c:v>3.2882838446614709e-003</c:v>
                </c:pt>
                <c:pt idx="16">
                  <c:v>1.7605013907960986e-003</c:v>
                </c:pt>
                <c:pt idx="17">
                  <c:v>2.7341827527751954e-003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0"/>
        <c:overlap val="100"/>
        <c:axId val="1"/>
        <c:axId val="2"/>
      </c:barChart>
      <c:catAx>
        <c:axId val="1"/>
        <c:scaling>
          <c:orientation val="minMax"/>
        </c:scaling>
        <c:delete val="0"/>
        <c:axPos val="b"/>
        <c:numFmt formatCode="General" sourceLinked="0"/>
        <c:majorTickMark val="none"/>
        <c:minorTickMark val="none"/>
        <c:tickLblPos val="nextTo"/>
        <c:spPr>
          <a:ln>
            <a:solidFill>
              <a:schemeClr val="tx1"/>
            </a:solidFill>
          </a:ln>
        </c:spPr>
        <c:txPr>
          <a:bodyPr rot="0" horzOverflow="overflow" anchor="ctr" anchorCtr="1"/>
          <a:lstStyle/>
          <a:p>
            <a:pPr algn="ctr" rtl="0">
              <a:defRPr kumimoji="0" sz="1000" kern="1200">
                <a:solidFill>
                  <a:schemeClr val="tx1"/>
                </a:solidFill>
                <a:latin typeface="ＭＳ Ｐ明朝"/>
                <a:ea typeface="ＭＳ Ｐ明朝"/>
              </a:defRPr>
            </a:pPr>
            <a:endParaRPr lang="ja-JP" altLang="en-US"/>
          </a:p>
        </c:txPr>
        <c:crossAx val="2"/>
        <c:crosses val="autoZero"/>
        <c:auto val="0"/>
        <c:lblAlgn val="ctr"/>
        <c:lblOffset val="0"/>
        <c:noMultiLvlLbl val="0"/>
      </c:catAx>
      <c:valAx>
        <c:axId val="2"/>
        <c:scaling>
          <c:orientation val="minMax"/>
          <c:max val="50"/>
        </c:scaling>
        <c:delete val="0"/>
        <c:axPos val="l"/>
        <c:majorGridlines>
          <c:spPr>
            <a:ln>
              <a:solidFill>
                <a:schemeClr val="tx1"/>
              </a:solidFill>
            </a:ln>
          </c:spPr>
        </c:majorGridlines>
        <c:title>
          <c:tx>
            <c:rich>
              <a:bodyPr rot="0" horzOverflow="overflow" anchor="ctr" anchorCtr="1"/>
              <a:lstStyle/>
              <a:p>
                <a:pPr algn="ctr" rtl="0">
                  <a:defRPr kumimoji="0" sz="1000" b="0" i="0" u="none" strike="noStrike" kern="1200" baseline="0">
                    <a:solidFill>
                      <a:schemeClr val="tx1"/>
                    </a:solidFill>
                    <a:latin typeface="ＭＳ Ｐ明朝"/>
                    <a:ea typeface="ＭＳ Ｐ明朝"/>
                  </a:defRPr>
                </a:pPr>
                <a:r>
                  <a:rPr kumimoji="0" lang="ja-JP" altLang="en-US" sz="1000" b="0" i="0" u="none" strike="noStrike" kern="1200" baseline="0">
                    <a:solidFill>
                      <a:schemeClr val="tx1"/>
                    </a:solidFill>
                    <a:latin typeface="ＭＳ Ｐ明朝"/>
                    <a:ea typeface="ＭＳ Ｐ明朝"/>
                  </a:rPr>
                  <a:t>（単位：％）</a:t>
                </a:r>
                <a:endParaRPr kumimoji="0" lang="ja-JP" altLang="en-US" sz="1000" b="0" i="0" u="none" strike="noStrike" kern="1200" baseline="0">
                  <a:solidFill>
                    <a:schemeClr val="tx1"/>
                  </a:solidFill>
                  <a:latin typeface="ＭＳ Ｐ明朝"/>
                  <a:ea typeface="ＭＳ Ｐ明朝"/>
                </a:endParaRPr>
              </a:p>
            </c:rich>
          </c:tx>
          <c:layout>
            <c:manualLayout>
              <c:xMode val="edge"/>
              <c:yMode val="edge"/>
              <c:x val="4.1501655216892603e-003"/>
              <c:y val="1.6293279022403259e-003"/>
            </c:manualLayout>
          </c:layout>
          <c:overlay val="0"/>
        </c:title>
        <c:numFmt formatCode="0.0_ " sourceLinked="0"/>
        <c:majorTickMark val="none"/>
        <c:minorTickMark val="none"/>
        <c:tickLblPos val="nextTo"/>
        <c:spPr>
          <a:ln>
            <a:solidFill>
              <a:schemeClr val="tx1"/>
            </a:solidFill>
          </a:ln>
        </c:spPr>
        <c:txPr>
          <a:bodyPr horzOverflow="overflow" anchor="ctr" anchorCtr="1"/>
          <a:lstStyle/>
          <a:p>
            <a:pPr algn="ctr" rtl="0">
              <a:defRPr kumimoji="0" sz="1000" kern="1200">
                <a:solidFill>
                  <a:schemeClr val="tx1"/>
                </a:solidFill>
                <a:latin typeface="ＭＳ Ｐ明朝"/>
                <a:ea typeface="ＭＳ Ｐ明朝"/>
              </a:defRPr>
            </a:pPr>
            <a:endParaRPr lang="ja-JP" altLang="en-US"/>
          </a:p>
        </c:txPr>
        <c:crossAx val="1"/>
        <c:crosses val="autoZero"/>
        <c:crossBetween val="between"/>
        <c:majorUnit val="10"/>
      </c:valAx>
      <c:spPr>
        <a:noFill/>
        <a:ln w="12700" cmpd="sng">
          <a:solidFill>
            <a:schemeClr val="tx1"/>
          </a:solidFill>
        </a:ln>
      </c:spPr>
    </c:plotArea>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60069444444443e-002"/>
          <c:y val="5.6157870370370365e-002"/>
          <c:w val="0.90238888888888891"/>
          <c:h val="0.78999814814814806"/>
        </c:manualLayout>
      </c:layout>
      <c:lineChart>
        <c:grouping val="standard"/>
        <c:varyColors val="0"/>
        <c:ser>
          <c:idx val="0"/>
          <c:order val="0"/>
          <c:tx>
            <c:v>男</c:v>
          </c:tx>
          <c:spPr>
            <a:ln>
              <a:solidFill>
                <a:schemeClr val="tx1"/>
              </a:solidFill>
            </a:ln>
          </c:spPr>
          <c:marker>
            <c:symbol val="triangle"/>
            <c:size val="8"/>
            <c:spPr>
              <a:solidFill>
                <a:schemeClr val="tx1"/>
              </a:solidFill>
              <a:ln>
                <a:solidFill>
                  <a:schemeClr val="bg1"/>
                </a:solidFill>
              </a:ln>
            </c:spPr>
          </c:marker>
          <c:cat>
            <c:strRef>
              <c:f>'表Ⅰ－２－１'!$W$12:$W$29</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'表Ⅰ－２－１'!$O$32:$O$49</c:f>
              <c:numCache>
                <c:formatCode xml:space="preserve">0.0_ </c:formatCode>
                <c:ptCount val="18"/>
                <c:pt idx="0">
                  <c:v>25.063819911812484</c:v>
                </c:pt>
                <c:pt idx="1">
                  <c:v>29.264944465243982</c:v>
                </c:pt>
                <c:pt idx="2">
                  <c:v>14.986858338250281</c:v>
                </c:pt>
                <c:pt idx="3">
                  <c:v>18.327307528711188</c:v>
                </c:pt>
                <c:pt idx="4">
                  <c:v>39.739884393063583</c:v>
                </c:pt>
                <c:pt idx="5">
                  <c:v>42.968386796838679</c:v>
                </c:pt>
                <c:pt idx="6">
                  <c:v>38.067247820672478</c:v>
                </c:pt>
                <c:pt idx="7">
                  <c:v>29.948997746412047</c:v>
                </c:pt>
                <c:pt idx="8">
                  <c:v>20.62310631010407</c:v>
                </c:pt>
                <c:pt idx="9">
                  <c:v>15.585999812329923</c:v>
                </c:pt>
                <c:pt idx="10">
                  <c:v>12.52276710539881</c:v>
                </c:pt>
                <c:pt idx="11">
                  <c:v>9.6348980559506874</c:v>
                </c:pt>
                <c:pt idx="12">
                  <c:v>7.1556953493596946</c:v>
                </c:pt>
                <c:pt idx="13">
                  <c:v>5.4856580081250774</c:v>
                </c:pt>
                <c:pt idx="14">
                  <c:v>4.3253420358980801</c:v>
                </c:pt>
                <c:pt idx="15">
                  <c:v>4.1843117448230309</c:v>
                </c:pt>
                <c:pt idx="16">
                  <c:v>5.7222480260102184</c:v>
                </c:pt>
                <c:pt idx="17">
                  <c:v>12.375277817184472</c:v>
                </c:pt>
              </c:numCache>
            </c:numRef>
          </c:val>
          <c:smooth val="0"/>
        </c:ser>
        <c:ser>
          <c:idx val="1"/>
          <c:order val="1"/>
          <c:tx>
            <c:v>女</c:v>
          </c:tx>
          <c:spPr>
            <a:ln>
              <a:solidFill>
                <a:schemeClr val="tx1"/>
              </a:solidFill>
              <a:prstDash val="dash"/>
            </a:ln>
          </c:spPr>
          <c:marker>
            <c:symbol val="circle"/>
            <c:size val="7"/>
            <c:spPr>
              <a:solidFill>
                <a:schemeClr val="tx1"/>
              </a:solidFill>
              <a:ln>
                <a:solidFill>
                  <a:schemeClr val="bg1"/>
                </a:solidFill>
              </a:ln>
            </c:spPr>
          </c:marker>
          <c:cat>
            <c:strRef>
              <c:f>'表Ⅰ－２－１'!$W$12:$W$29</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'表Ⅰ－２－１'!$O$52:$O$69</c:f>
              <c:numCache>
                <c:formatCode xml:space="preserve">0.0_ </c:formatCode>
                <c:ptCount val="18"/>
                <c:pt idx="0">
                  <c:v>25.080437580437582</c:v>
                </c:pt>
                <c:pt idx="1">
                  <c:v>29.045885870271675</c:v>
                </c:pt>
                <c:pt idx="2">
                  <c:v>14.824721147279762</c:v>
                </c:pt>
                <c:pt idx="3">
                  <c:v>15.522404927388822</c:v>
                </c:pt>
                <c:pt idx="4">
                  <c:v>39.332716795902392</c:v>
                </c:pt>
                <c:pt idx="5">
                  <c:v>48.910612740399969</c:v>
                </c:pt>
                <c:pt idx="6">
                  <c:v>44.316404213160915</c:v>
                </c:pt>
                <c:pt idx="7">
                  <c:v>31.617001713545367</c:v>
                </c:pt>
                <c:pt idx="8">
                  <c:v>20.095877948071944</c:v>
                </c:pt>
                <c:pt idx="9">
                  <c:v>13.094971351749304</c:v>
                </c:pt>
                <c:pt idx="10">
                  <c:v>9.0533865620136691</c:v>
                </c:pt>
                <c:pt idx="11">
                  <c:v>7.108563884054492</c:v>
                </c:pt>
                <c:pt idx="12">
                  <c:v>5.6740976645435248</c:v>
                </c:pt>
                <c:pt idx="13">
                  <c:v>4.6076412720201327</c:v>
                </c:pt>
                <c:pt idx="14">
                  <c:v>3.8779800509907409</c:v>
                </c:pt>
                <c:pt idx="15">
                  <c:v>5.1221389276857741</c:v>
                </c:pt>
                <c:pt idx="16">
                  <c:v>8.98729870718984</c:v>
                </c:pt>
                <c:pt idx="17">
                  <c:v>21.599584623372628</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_ " sourceLinked="1"/>
        <c:majorTickMark val="none"/>
        <c:minorTickMark val="none"/>
        <c:tickLblPos val="nextTo"/>
        <c:spPr>
          <a:ln>
            <a:solidFill>
              <a:schemeClr val="tx1"/>
            </a:solidFill>
          </a:ln>
        </c:spPr>
        <c:txPr>
          <a:bodyPr rot="0" horzOverflow="overflow" anchor="ctr" anchorCtr="1"/>
          <a:lstStyle/>
          <a:p>
            <a:pPr algn="ctr" rtl="0">
              <a:defRPr kumimoji="0" sz="1000" kern="1200">
                <a:solidFill>
                  <a:schemeClr val="tx1"/>
                </a:solidFill>
                <a:latin typeface="ＭＳ Ｐ明朝"/>
                <a:ea typeface="ＭＳ Ｐ明朝"/>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title>
          <c:tx>
            <c:rich>
              <a:bodyPr rot="0" horzOverflow="overflow" anchor="ctr" anchorCtr="1"/>
              <a:lstStyle/>
              <a:p>
                <a:pPr algn="ctr" rtl="0">
                  <a:defRPr kumimoji="0" sz="1000" b="0" i="0" u="none" strike="noStrike" kern="1200" baseline="0">
                    <a:solidFill>
                      <a:schemeClr val="tx1"/>
                    </a:solidFill>
                    <a:latin typeface="ＭＳ Ｐ明朝"/>
                    <a:ea typeface="ＭＳ Ｐ明朝"/>
                  </a:defRPr>
                </a:pPr>
                <a:r>
                  <a:rPr kumimoji="0" lang="ja-JP" altLang="en-US" sz="1000" b="0" i="0" u="none" strike="noStrike" kern="1200" baseline="0">
                    <a:solidFill>
                      <a:schemeClr val="tx1"/>
                    </a:solidFill>
                    <a:latin typeface="ＭＳ Ｐ明朝"/>
                    <a:ea typeface="ＭＳ Ｐ明朝"/>
                  </a:rPr>
                  <a:t>（単位：％）</a:t>
                </a:r>
                <a:endParaRPr kumimoji="0" lang="ja-JP" altLang="en-US" sz="1000" b="0" i="0" u="none" strike="noStrike" kern="1200" baseline="0">
                  <a:solidFill>
                    <a:schemeClr val="tx1"/>
                  </a:solidFill>
                  <a:latin typeface="ＭＳ Ｐ明朝"/>
                  <a:ea typeface="ＭＳ Ｐ明朝"/>
                </a:endParaRPr>
              </a:p>
            </c:rich>
          </c:tx>
          <c:layout>
            <c:manualLayout>
              <c:xMode val="edge"/>
              <c:yMode val="edge"/>
              <c:x val="2.2048979414763239e-003"/>
              <c:y val="1.365291893579382e-003"/>
            </c:manualLayout>
          </c:layout>
          <c:overlay val="0"/>
        </c:title>
        <c:numFmt formatCode="#,##0.0_);[Red]\(#,##0.0\)" sourceLinked="0"/>
        <c:majorTickMark val="none"/>
        <c:minorTickMark val="none"/>
        <c:tickLblPos val="nextTo"/>
        <c:spPr>
          <a:ln>
            <a:solidFill>
              <a:schemeClr val="tx1"/>
            </a:solidFill>
          </a:ln>
        </c:spPr>
        <c:txPr>
          <a:bodyPr horzOverflow="overflow" anchor="ctr" anchorCtr="1"/>
          <a:lstStyle/>
          <a:p>
            <a:pPr algn="ctr" rtl="0">
              <a:defRPr kumimoji="0" sz="1000" kern="1200">
                <a:solidFill>
                  <a:schemeClr val="tx1"/>
                </a:solidFill>
                <a:latin typeface="ＭＳ Ｐ明朝"/>
                <a:ea typeface="ＭＳ Ｐ明朝"/>
              </a:defRPr>
            </a:pPr>
            <a:endParaRPr lang="ja-JP" altLang="en-US"/>
          </a:p>
        </c:txPr>
        <c:crossAx val="1"/>
        <c:crosses val="autoZero"/>
        <c:crossBetween val="between"/>
        <c:majorUnit val="10"/>
      </c:valAx>
      <c:spPr>
        <a:solidFill>
          <a:schemeClr val="bg1"/>
        </a:solidFill>
        <a:ln>
          <a:solidFill>
            <a:schemeClr val="tx1"/>
          </a:solidFill>
        </a:ln>
      </c:spPr>
    </c:plotArea>
    <c:legend>
      <c:legendPos val="r"/>
      <c:layout>
        <c:manualLayout>
          <c:xMode val="edge"/>
          <c:yMode val="edge"/>
          <c:x val="0.85337673611111109"/>
          <c:y val="8.2302546296296297e-002"/>
          <c:w val="0.10473090277777777"/>
          <c:h val="0.10632083333333334"/>
        </c:manualLayout>
      </c:layout>
      <c:overlay val="0"/>
      <c:txPr>
        <a:bodyPr horzOverflow="overflow" anchor="ctr" anchorCtr="1"/>
        <a:lstStyle/>
        <a:p>
          <a:pPr algn="l" rtl="0">
            <a:defRPr kumimoji="0" sz="1000" kern="1200">
              <a:solidFill>
                <a:schemeClr val="tx1"/>
              </a:solidFill>
              <a:latin typeface="ＭＳ Ｐ明朝"/>
              <a:ea typeface="ＭＳ Ｐ明朝"/>
            </a:defRPr>
          </a:pPr>
          <a:endParaRPr lang="ja-JP" altLang="en-US"/>
        </a:p>
      </c:txPr>
    </c:legend>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13420138888889"/>
          <c:y val="0.10877314814814815"/>
          <c:w val="0.85061336805555554"/>
          <c:h val="0.79406111111111111"/>
        </c:manualLayout>
      </c:layout>
      <c:barChart>
        <c:barDir val="bar"/>
        <c:grouping val="percentStacked"/>
        <c:varyColors val="0"/>
        <c:ser>
          <c:idx val="0"/>
          <c:order val="0"/>
          <c:tx>
            <c:strRef>
              <c:f>'表Ⅰ－３－１'!$D$3</c:f>
              <c:strCache>
                <c:ptCount val="1"/>
                <c:pt idx="0">
                  <c:v>出生時
から</c:v>
                </c:pt>
              </c:strCache>
            </c:strRef>
          </c:tx>
          <c:spPr>
            <a:pattFill prst="pct50">
              <a:fgClr>
                <a:schemeClr val="tx1"/>
              </a:fgClr>
              <a:bgClr>
                <a:schemeClr val="bg1"/>
              </a:bgClr>
            </a:pattFill>
            <a:ln>
              <a:solidFill>
                <a:schemeClr val="tx1"/>
              </a:solidFill>
            </a:ln>
          </c:spPr>
          <c:invertIfNegative val="0"/>
          <c:dLbls>
            <c:numFmt formatCode="#,##0.0_);[Red]\(#,##0.0\)" sourceLinked="0"/>
            <c:spPr>
              <a:solidFill>
                <a:schemeClr val="bg1"/>
              </a:solidFill>
            </c:spPr>
            <c:txPr>
              <a:bodyPr rot="0" horzOverflow="overflow" anchor="ctr" anchorCtr="1"/>
              <a:lstStyle/>
              <a:p>
                <a:pPr algn="ctr" rtl="0">
                  <a:defRPr sz="1050">
                    <a:solidFill>
                      <a:schemeClr val="tx1"/>
                    </a:solidFill>
                  </a:defRPr>
                </a:pPr>
                <a:endParaRPr lang="ja-JP" altLang="en-US"/>
              </a:p>
            </c:txPr>
            <c:showLegendKey val="0"/>
            <c:showVal val="1"/>
            <c:showCatName val="0"/>
            <c:showSerName val="0"/>
            <c:showPercent val="0"/>
            <c:showBubbleSize val="0"/>
          </c:dLbls>
          <c:cat>
            <c:strRef>
              <c:f>'表Ⅰ－３－１'!$A$4,'表Ⅰ－３－１'!$A$6,'表Ⅰ－３－１'!$A$8</c:f>
              <c:strCache>
                <c:ptCount val="3"/>
                <c:pt idx="0">
                  <c:v>男女計</c:v>
                </c:pt>
                <c:pt idx="1">
                  <c:v>男</c:v>
                </c:pt>
                <c:pt idx="2">
                  <c:v>女</c:v>
                </c:pt>
              </c:strCache>
            </c:strRef>
          </c:cat>
          <c:val>
            <c:numRef>
              <c:f>'表Ⅰ－３－１'!$D$5,'表Ⅰ－３－１'!$D$7,'表Ⅰ－３－１'!$D$9</c:f>
              <c:numCache>
                <c:formatCode xml:space="preserve">#,##0.0_ </c:formatCode>
                <c:ptCount val="3"/>
                <c:pt idx="0">
                  <c:v>19.77399964161404</c:v>
                </c:pt>
                <c:pt idx="1">
                  <c:v>27.827353050789</c:v>
                </c:pt>
                <c:pt idx="2" formatCode="0.0_ ">
                  <c:v>12.656303703824939</c:v>
                </c:pt>
              </c:numCache>
            </c:numRef>
          </c:val>
        </c:ser>
        <c:ser>
          <c:idx val="1"/>
          <c:order val="1"/>
          <c:tx>
            <c:strRef>
              <c:f>'表Ⅰ－３－１'!$E$3</c:f>
              <c:strCache>
                <c:ptCount val="1"/>
                <c:pt idx="0">
                  <c:v>1年未満</c:v>
                </c:pt>
              </c:strCache>
            </c:strRef>
          </c:tx>
          <c:spPr>
            <a:pattFill prst="pct5">
              <a:fgClr>
                <a:schemeClr val="tx1"/>
              </a:fgClr>
              <a:bgClr>
                <a:schemeClr val="bg1"/>
              </a:bgClr>
            </a:pattFill>
            <a:ln>
              <a:solidFill>
                <a:schemeClr val="tx1"/>
              </a:solidFill>
            </a:ln>
          </c:spPr>
          <c:invertIfNegative val="0"/>
          <c:dLbls>
            <c:spPr>
              <a:solidFill>
                <a:schemeClr val="bg1"/>
              </a:solidFill>
            </c:spPr>
            <c:txPr>
              <a:bodyPr rot="0" horzOverflow="overflow" anchor="ctr" anchorCtr="1"/>
              <a:lstStyle/>
              <a:p>
                <a:pPr algn="ctr" rtl="0">
                  <a:defRPr sz="1050">
                    <a:solidFill>
                      <a:schemeClr val="tx1"/>
                    </a:solidFill>
                  </a:defRPr>
                </a:pPr>
                <a:endParaRPr lang="ja-JP" altLang="en-US"/>
              </a:p>
            </c:txPr>
            <c:showLegendKey val="0"/>
            <c:showVal val="1"/>
            <c:showCatName val="0"/>
            <c:showSerName val="0"/>
            <c:showPercent val="0"/>
            <c:showBubbleSize val="0"/>
          </c:dLbls>
          <c:cat>
            <c:strRef>
              <c:f>'表Ⅰ－３－１'!$A$4,'表Ⅰ－３－１'!$A$6,'表Ⅰ－３－１'!$A$8</c:f>
              <c:strCache>
                <c:ptCount val="3"/>
                <c:pt idx="0">
                  <c:v>男女計</c:v>
                </c:pt>
                <c:pt idx="1">
                  <c:v>男</c:v>
                </c:pt>
                <c:pt idx="2">
                  <c:v>女</c:v>
                </c:pt>
              </c:strCache>
            </c:strRef>
          </c:cat>
          <c:val>
            <c:numRef>
              <c:f>'表Ⅰ－３－１'!$E$5,'表Ⅰ－３－１'!$E$7,'表Ⅰ－３－１'!$E$9</c:f>
              <c:numCache>
                <c:formatCode xml:space="preserve">#,##0.0_ </c:formatCode>
                <c:ptCount val="3"/>
                <c:pt idx="0">
                  <c:v>4.3628603543676929</c:v>
                </c:pt>
                <c:pt idx="1">
                  <c:v>4.457376453404259</c:v>
                </c:pt>
                <c:pt idx="2" formatCode="0.0_ ">
                  <c:v>4.2793253572071555</c:v>
                </c:pt>
              </c:numCache>
            </c:numRef>
          </c:val>
        </c:ser>
        <c:ser>
          <c:idx val="2"/>
          <c:order val="2"/>
          <c:tx>
            <c:strRef>
              <c:f>'表Ⅰ－３－１'!$F$3</c:f>
              <c:strCache>
                <c:ptCount val="1"/>
                <c:pt idx="0">
                  <c:v>1年以上
5年未満</c:v>
                </c:pt>
              </c:strCache>
            </c:strRef>
          </c:tx>
          <c:spPr>
            <a:pattFill prst="ltHorz">
              <a:fgClr>
                <a:schemeClr val="tx1"/>
              </a:fgClr>
              <a:bgClr>
                <a:schemeClr val="bg1"/>
              </a:bgClr>
            </a:pattFill>
            <a:ln>
              <a:solidFill>
                <a:schemeClr val="tx1"/>
              </a:solidFill>
            </a:ln>
          </c:spPr>
          <c:invertIfNegative val="0"/>
          <c:dLbls>
            <c:spPr>
              <a:solidFill>
                <a:schemeClr val="bg1"/>
              </a:solidFill>
            </c:spPr>
            <c:txPr>
              <a:bodyPr rot="0" horzOverflow="overflow" anchor="ctr" anchorCtr="1"/>
              <a:lstStyle/>
              <a:p>
                <a:pPr algn="ctr" rtl="0">
                  <a:defRPr sz="1050">
                    <a:solidFill>
                      <a:schemeClr val="tx1"/>
                    </a:solidFill>
                  </a:defRPr>
                </a:pPr>
                <a:endParaRPr lang="ja-JP" altLang="en-US"/>
              </a:p>
            </c:txPr>
            <c:showLegendKey val="0"/>
            <c:showVal val="1"/>
            <c:showCatName val="0"/>
            <c:showSerName val="0"/>
            <c:showPercent val="0"/>
            <c:showBubbleSize val="0"/>
          </c:dLbls>
          <c:cat>
            <c:strRef>
              <c:f>'表Ⅰ－３－１'!$A$4,'表Ⅰ－３－１'!$A$6,'表Ⅰ－３－１'!$A$8</c:f>
              <c:strCache>
                <c:ptCount val="3"/>
                <c:pt idx="0">
                  <c:v>男女計</c:v>
                </c:pt>
                <c:pt idx="1">
                  <c:v>男</c:v>
                </c:pt>
                <c:pt idx="2">
                  <c:v>女</c:v>
                </c:pt>
              </c:strCache>
            </c:strRef>
          </c:cat>
          <c:val>
            <c:numRef>
              <c:f>'表Ⅰ－３－１'!$F$5,'表Ⅰ－３－１'!$F$7,'表Ⅰ－３－１'!$F$9</c:f>
              <c:numCache>
                <c:formatCode xml:space="preserve">#,##0.0_ </c:formatCode>
                <c:ptCount val="3"/>
                <c:pt idx="0">
                  <c:v>11.797522792804044</c:v>
                </c:pt>
                <c:pt idx="1">
                  <c:v>11.714270502751138</c:v>
                </c:pt>
                <c:pt idx="2" formatCode="0.0_ ">
                  <c:v>11.871102636704366</c:v>
                </c:pt>
              </c:numCache>
            </c:numRef>
          </c:val>
        </c:ser>
        <c:ser>
          <c:idx val="3"/>
          <c:order val="3"/>
          <c:tx>
            <c:strRef>
              <c:f>'表Ⅰ－３－１'!$G$3</c:f>
              <c:strCache>
                <c:ptCount val="1"/>
                <c:pt idx="0">
                  <c:v>5年以上
10年未満</c:v>
                </c:pt>
              </c:strCache>
            </c:strRef>
          </c:tx>
          <c:spPr>
            <a:pattFill prst="dashDnDiag">
              <a:fgClr>
                <a:schemeClr val="tx1"/>
              </a:fgClr>
              <a:bgClr>
                <a:schemeClr val="bg1"/>
              </a:bgClr>
            </a:pattFill>
            <a:ln>
              <a:solidFill>
                <a:schemeClr val="tx1"/>
              </a:solidFill>
            </a:ln>
          </c:spPr>
          <c:invertIfNegative val="0"/>
          <c:dLbls>
            <c:numFmt formatCode="#,##0.0_ " sourceLinked="0"/>
            <c:spPr>
              <a:solidFill>
                <a:schemeClr val="bg1"/>
              </a:solidFill>
            </c:spPr>
            <c:txPr>
              <a:bodyPr rot="0" horzOverflow="overflow" anchor="ctr" anchorCtr="1"/>
              <a:lstStyle/>
              <a:p>
                <a:pPr algn="ctr" rtl="0">
                  <a:defRPr sz="1050">
                    <a:solidFill>
                      <a:schemeClr val="tx1"/>
                    </a:solidFill>
                  </a:defRPr>
                </a:pPr>
                <a:endParaRPr lang="ja-JP" altLang="en-US"/>
              </a:p>
            </c:txPr>
            <c:showLegendKey val="0"/>
            <c:showVal val="1"/>
            <c:showCatName val="0"/>
            <c:showSerName val="0"/>
            <c:showPercent val="0"/>
            <c:showBubbleSize val="0"/>
          </c:dLbls>
          <c:cat>
            <c:strRef>
              <c:f>'表Ⅰ－３－１'!$A$4,'表Ⅰ－３－１'!$A$6,'表Ⅰ－３－１'!$A$8</c:f>
              <c:strCache>
                <c:ptCount val="3"/>
                <c:pt idx="0">
                  <c:v>男女計</c:v>
                </c:pt>
                <c:pt idx="1">
                  <c:v>男</c:v>
                </c:pt>
                <c:pt idx="2">
                  <c:v>女</c:v>
                </c:pt>
              </c:strCache>
            </c:strRef>
          </c:cat>
          <c:val>
            <c:numRef>
              <c:f>'表Ⅰ－３－１'!$G$5,'表Ⅰ－３－１'!$G$7,'表Ⅰ－３－１'!$G$9</c:f>
              <c:numCache>
                <c:formatCode xml:space="preserve">#,##0.0_ </c:formatCode>
                <c:ptCount val="3"/>
                <c:pt idx="0">
                  <c:v>9.2252890165563457</c:v>
                </c:pt>
                <c:pt idx="1">
                  <c:v>9.0196132897225247</c:v>
                </c:pt>
                <c:pt idx="2" formatCode="0.0_ ">
                  <c:v>9.4070688554640824</c:v>
                </c:pt>
              </c:numCache>
            </c:numRef>
          </c:val>
        </c:ser>
        <c:ser>
          <c:idx val="4"/>
          <c:order val="4"/>
          <c:tx>
            <c:strRef>
              <c:f>'表Ⅰ－３－１'!$H$3</c:f>
              <c:strCache>
                <c:ptCount val="1"/>
                <c:pt idx="0">
                  <c:v>10年以上
20年未満</c:v>
                </c:pt>
              </c:strCache>
            </c:strRef>
          </c:tx>
          <c:spPr>
            <a:pattFill prst="ltUpDiag">
              <a:fgClr>
                <a:schemeClr val="tx1"/>
              </a:fgClr>
              <a:bgClr>
                <a:schemeClr val="bg1"/>
              </a:bgClr>
            </a:pattFill>
            <a:ln>
              <a:solidFill>
                <a:schemeClr val="tx1"/>
              </a:solidFill>
            </a:ln>
          </c:spPr>
          <c:invertIfNegative val="0"/>
          <c:dLbls>
            <c:spPr>
              <a:solidFill>
                <a:schemeClr val="bg1"/>
              </a:solidFill>
            </c:spPr>
            <c:txPr>
              <a:bodyPr rot="0" horzOverflow="overflow" anchor="ctr" anchorCtr="1"/>
              <a:lstStyle/>
              <a:p>
                <a:pPr algn="ctr" rtl="0">
                  <a:defRPr sz="1050">
                    <a:solidFill>
                      <a:schemeClr val="tx1"/>
                    </a:solidFill>
                  </a:defRPr>
                </a:pPr>
                <a:endParaRPr lang="ja-JP" altLang="en-US"/>
              </a:p>
            </c:txPr>
            <c:showLegendKey val="0"/>
            <c:showVal val="1"/>
            <c:showCatName val="0"/>
            <c:showSerName val="0"/>
            <c:showPercent val="0"/>
            <c:showBubbleSize val="0"/>
          </c:dLbls>
          <c:cat>
            <c:strRef>
              <c:f>'表Ⅰ－３－１'!$A$4,'表Ⅰ－３－１'!$A$6,'表Ⅰ－３－１'!$A$8</c:f>
              <c:strCache>
                <c:ptCount val="3"/>
                <c:pt idx="0">
                  <c:v>男女計</c:v>
                </c:pt>
                <c:pt idx="1">
                  <c:v>男</c:v>
                </c:pt>
                <c:pt idx="2">
                  <c:v>女</c:v>
                </c:pt>
              </c:strCache>
            </c:strRef>
          </c:cat>
          <c:val>
            <c:numRef>
              <c:f>'表Ⅰ－３－１'!$H$5,'表Ⅰ－３－１'!$H$7,'表Ⅰ－３－１'!$H$9</c:f>
              <c:numCache>
                <c:formatCode xml:space="preserve">#,##0.0_ </c:formatCode>
                <c:ptCount val="3"/>
                <c:pt idx="0">
                  <c:v>13.672967381447554</c:v>
                </c:pt>
                <c:pt idx="1">
                  <c:v>13.116344099462271</c:v>
                </c:pt>
                <c:pt idx="2" formatCode="0.0_ ">
                  <c:v>14.164920866135288</c:v>
                </c:pt>
              </c:numCache>
            </c:numRef>
          </c:val>
        </c:ser>
        <c:ser>
          <c:idx val="5"/>
          <c:order val="5"/>
          <c:tx>
            <c:strRef>
              <c:f>'表Ⅰ－３－１'!$I$3</c:f>
              <c:strCache>
                <c:ptCount val="1"/>
                <c:pt idx="0">
                  <c:v>20年以上</c:v>
                </c:pt>
              </c:strCache>
            </c:strRef>
          </c:tx>
          <c:spPr>
            <a:pattFill prst="cross">
              <a:fgClr>
                <a:schemeClr val="tx1"/>
              </a:fgClr>
              <a:bgClr>
                <a:schemeClr val="bg1"/>
              </a:bgClr>
            </a:pattFill>
            <a:ln>
              <a:solidFill>
                <a:schemeClr val="tx1"/>
              </a:solidFill>
            </a:ln>
          </c:spPr>
          <c:invertIfNegative val="0"/>
          <c:dLbls>
            <c:spPr>
              <a:solidFill>
                <a:schemeClr val="bg1"/>
              </a:solidFill>
            </c:spPr>
            <c:txPr>
              <a:bodyPr rot="0" horzOverflow="overflow" anchor="ctr" anchorCtr="1"/>
              <a:lstStyle/>
              <a:p>
                <a:pPr algn="ctr" rtl="0">
                  <a:defRPr sz="1050">
                    <a:solidFill>
                      <a:schemeClr val="tx1"/>
                    </a:solidFill>
                  </a:defRPr>
                </a:pPr>
                <a:endParaRPr lang="ja-JP" altLang="en-US"/>
              </a:p>
            </c:txPr>
            <c:showLegendKey val="0"/>
            <c:showVal val="1"/>
            <c:showCatName val="0"/>
            <c:showSerName val="0"/>
            <c:showPercent val="0"/>
            <c:showBubbleSize val="0"/>
          </c:dLbls>
          <c:cat>
            <c:strRef>
              <c:f>'表Ⅰ－３－１'!$A$4,'表Ⅰ－３－１'!$A$6,'表Ⅰ－３－１'!$A$8</c:f>
              <c:strCache>
                <c:ptCount val="3"/>
                <c:pt idx="0">
                  <c:v>男女計</c:v>
                </c:pt>
                <c:pt idx="1">
                  <c:v>男</c:v>
                </c:pt>
                <c:pt idx="2">
                  <c:v>女</c:v>
                </c:pt>
              </c:strCache>
            </c:strRef>
          </c:cat>
          <c:val>
            <c:numRef>
              <c:f>'表Ⅰ－３－１'!$I$5,'表Ⅰ－３－１'!$I$7,'表Ⅰ－３－１'!$I$9</c:f>
              <c:numCache>
                <c:formatCode xml:space="preserve">#,##0.0_ </c:formatCode>
                <c:ptCount val="3"/>
                <c:pt idx="0">
                  <c:v>41.167360813210323</c:v>
                </c:pt>
                <c:pt idx="1">
                  <c:v>33.865042603870805</c:v>
                </c:pt>
                <c:pt idx="2" formatCode="0.0_ ">
                  <c:v>47.621278580664168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gapWidth val="76"/>
        <c:overlap val="100"/>
        <c:serLines>
          <c:spPr>
            <a:ln>
              <a:solidFill>
                <a:schemeClr val="tx1"/>
              </a:solidFill>
            </a:ln>
          </c:spPr>
        </c:serLines>
        <c:axId val="1"/>
        <c:axId val="2"/>
      </c:barChart>
      <c:catAx>
        <c:axId val="1"/>
        <c:scaling>
          <c:orientation val="maxMin"/>
        </c:scaling>
        <c:delete val="0"/>
        <c:axPos val="l"/>
        <c:numFmt formatCode="#,##0.0_ " sourceLinked="1"/>
        <c:majorTickMark val="none"/>
        <c:minorTickMark val="none"/>
        <c:tickLblPos val="nextTo"/>
        <c:spPr>
          <a:ln>
            <a:solidFill>
              <a:schemeClr val="tx1"/>
            </a:solidFill>
          </a:ln>
        </c:spPr>
        <c:txPr>
          <a:bodyPr horzOverflow="overflow" anchor="ctr" anchorCtr="1"/>
          <a:lstStyle/>
          <a:p>
            <a:pPr algn="ctr" rtl="0">
              <a:defRPr kumimoji="0" sz="1000" kern="1200">
                <a:solidFill>
                  <a:schemeClr val="tx1"/>
                </a:solidFill>
                <a:latin typeface="ＭＳ Ｐ明朝"/>
                <a:ea typeface="ＭＳ Ｐ明朝"/>
              </a:defRPr>
            </a:pPr>
            <a:endParaRPr lang="ja-JP" altLang="en-US"/>
          </a:p>
        </c:txPr>
        <c:crossAx val="2"/>
        <c:crosses val="autoZero"/>
        <c:auto val="1"/>
        <c:lblAlgn val="ctr"/>
        <c:lblOffset val="100"/>
        <c:noMultiLvlLbl val="0"/>
      </c:catAx>
      <c:valAx>
        <c:axId val="2"/>
        <c:scaling>
          <c:orientation val="minMax"/>
        </c:scaling>
        <c:delete val="0"/>
        <c:axPos val="t"/>
        <c:majorGridlines>
          <c:spPr>
            <a:ln>
              <a:solidFill>
                <a:schemeClr val="tx1"/>
              </a:solidFill>
            </a:ln>
          </c:spPr>
        </c:majorGridlines>
        <c:title>
          <c:tx>
            <c:rich>
              <a:bodyPr rot="0" horzOverflow="overflow" anchor="ctr" anchorCtr="1"/>
              <a:lstStyle/>
              <a:p>
                <a:pPr algn="ctr" rtl="0">
                  <a:defRPr kumimoji="0" sz="1000" b="0" i="0" u="none" strike="noStrike" kern="1200" baseline="0">
                    <a:solidFill>
                      <a:schemeClr val="tx1"/>
                    </a:solidFill>
                    <a:latin typeface="ＭＳ Ｐ明朝"/>
                    <a:ea typeface="ＭＳ Ｐ明朝"/>
                  </a:defRPr>
                </a:pPr>
                <a:r>
                  <a:rPr kumimoji="0" lang="ja-JP" altLang="en-US" sz="1000" b="0" i="0" u="none" strike="noStrike" kern="1200" baseline="0">
                    <a:solidFill>
                      <a:schemeClr val="tx1"/>
                    </a:solidFill>
                    <a:latin typeface="ＭＳ Ｐ明朝"/>
                    <a:ea typeface="ＭＳ Ｐ明朝"/>
                  </a:rPr>
                  <a:t>（単位：％）</a:t>
                </a:r>
                <a:endParaRPr kumimoji="0" lang="ja-JP" altLang="en-US" sz="1000" b="0" i="0" u="none" strike="noStrike" kern="1200" baseline="0">
                  <a:solidFill>
                    <a:schemeClr val="tx1"/>
                  </a:solidFill>
                  <a:latin typeface="ＭＳ Ｐ明朝"/>
                  <a:ea typeface="ＭＳ Ｐ明朝"/>
                </a:endParaRPr>
              </a:p>
            </c:rich>
          </c:tx>
          <c:layout>
            <c:manualLayout>
              <c:xMode val="edge"/>
              <c:yMode val="edge"/>
              <c:x val="0"/>
              <c:y val="0"/>
            </c:manualLayout>
          </c:layout>
          <c:overlay val="0"/>
        </c:title>
        <c:numFmt formatCode="0.0%" sourceLinked="0"/>
        <c:majorTickMark val="none"/>
        <c:minorTickMark val="none"/>
        <c:tickLblPos val="high"/>
        <c:spPr>
          <a:ln>
            <a:solidFill>
              <a:schemeClr val="tx1"/>
            </a:solidFill>
          </a:ln>
        </c:spPr>
        <c:txPr>
          <a:bodyPr horzOverflow="overflow" anchor="ctr" anchorCtr="1"/>
          <a:lstStyle/>
          <a:p>
            <a:pPr algn="ctr" rtl="0">
              <a:defRPr kumimoji="0" sz="1000" kern="1200">
                <a:solidFill>
                  <a:schemeClr val="tx1"/>
                </a:solidFill>
                <a:latin typeface="ＭＳ Ｐ明朝"/>
                <a:ea typeface="ＭＳ Ｐ明朝"/>
              </a:defRPr>
            </a:pPr>
            <a:endParaRPr lang="ja-JP" altLang="en-US"/>
          </a:p>
        </c:txPr>
        <c:crossAx val="1"/>
        <c:crosses val="autoZero"/>
        <c:crossBetween val="between"/>
        <c:majorUnit val="0.2"/>
      </c:valAx>
      <c:spPr>
        <a:ln>
          <a:solidFill>
            <a:schemeClr val="tx1"/>
          </a:solidFill>
        </a:ln>
      </c:spPr>
    </c:plotArea>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132812500000004e-002"/>
          <c:y val="7.0856944444444445e-002"/>
          <c:w val="0.91401614583333313"/>
          <c:h val="0.76161296296296288"/>
        </c:manualLayout>
      </c:layout>
      <c:lineChart>
        <c:grouping val="standard"/>
        <c:varyColors val="0"/>
        <c:ser>
          <c:idx val="0"/>
          <c:order val="0"/>
          <c:tx>
            <c:strRef>
              <c:f>'表Ⅰ－４－２'!$B$14</c:f>
              <c:strCache>
                <c:ptCount val="1"/>
                <c:pt idx="0">
                  <c:v>宮城県</c:v>
                </c:pt>
              </c:strCache>
            </c:strRef>
          </c:tx>
          <c:spPr>
            <a:ln>
              <a:solidFill>
                <a:schemeClr val="tx1"/>
              </a:solidFill>
            </a:ln>
          </c:spPr>
          <c:marker>
            <c:symbol val="none"/>
          </c:marker>
          <c:dPt>
            <c:idx val="6"/>
            <c:invertIfNegative val="0"/>
            <c:marker>
              <c:symbol val="none"/>
            </c:marker>
            <c:bubble3D val="0"/>
          </c:dPt>
          <c:dLbls>
            <c:dLbl>
              <c:idx val="6"/>
              <c:layout>
                <c:manualLayout>
                  <c:x val="-1.4913515975792282e-002"/>
                  <c:y val="-0.27528900297154485"/>
                </c:manualLayout>
              </c:layout>
              <c:txPr>
                <a:bodyPr>
                  <a:spAutoFit/>
                </a:bodyPr>
                <a:lstStyle/>
                <a:p>
                  <a:pPr>
                    <a:defRPr sz="1000">
                      <a:solidFill>
                        <a:schemeClr val="tx1"/>
                      </a:solidFill>
                      <a:latin typeface="ＭＳ Ｐ明朝"/>
                      <a:ea typeface="ＭＳ Ｐ明朝"/>
                    </a:defRPr>
                  </a:pPr>
                  <a:endParaRPr lang="ja-JP" altLang="en-US">
                    <a:latin typeface="ＭＳ Ｐ明朝"/>
                    <a:ea typeface="ＭＳ Ｐ明朝"/>
                  </a:endParaRPr>
                </a:p>
              </c:txPr>
              <c:showLegendKey val="0"/>
              <c:showVal val="0"/>
              <c:showCatName val="0"/>
              <c:showSerName val="1"/>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'表Ⅰ－４－２'!$D$25:$U$25</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'表Ⅰ－４－２'!$D$14:$U$14</c:f>
              <c:numCache>
                <c:formatCode xml:space="preserve">0.0_ </c:formatCode>
                <c:ptCount val="18"/>
                <c:pt idx="0">
                  <c:v>4.004149377593361</c:v>
                </c:pt>
                <c:pt idx="1">
                  <c:v>4.9585062240663902</c:v>
                </c:pt>
                <c:pt idx="2">
                  <c:v>2.3651452282157677</c:v>
                </c:pt>
                <c:pt idx="3">
                  <c:v>2.8423236514522823</c:v>
                </c:pt>
                <c:pt idx="4">
                  <c:v>13.257261410788383</c:v>
                </c:pt>
                <c:pt idx="5">
                  <c:v>18.319502074688796</c:v>
                </c:pt>
                <c:pt idx="6">
                  <c:v>10.954356846473029</c:v>
                </c:pt>
                <c:pt idx="7">
                  <c:v>8.8174273858921168</c:v>
                </c:pt>
                <c:pt idx="8">
                  <c:v>7.5726141078838172</c:v>
                </c:pt>
                <c:pt idx="9">
                  <c:v>8.6307053941908709</c:v>
                </c:pt>
                <c:pt idx="10">
                  <c:v>6.5560165975103741</c:v>
                </c:pt>
                <c:pt idx="11">
                  <c:v>4.9792531120331951</c:v>
                </c:pt>
                <c:pt idx="12">
                  <c:v>3.3817427385892116</c:v>
                </c:pt>
                <c:pt idx="13">
                  <c:v>1.950207468879668</c:v>
                </c:pt>
                <c:pt idx="14">
                  <c:v>0.66390041493775931</c:v>
                </c:pt>
                <c:pt idx="15">
                  <c:v>0.2074688796680498</c:v>
                </c:pt>
                <c:pt idx="16">
                  <c:v>0.31120331950207469</c:v>
                </c:pt>
                <c:pt idx="17">
                  <c:v>0.22821576763485479</c:v>
                </c:pt>
              </c:numCache>
            </c:numRef>
          </c:val>
          <c:smooth val="0"/>
        </c:ser>
        <c:ser>
          <c:idx val="1"/>
          <c:order val="1"/>
          <c:tx>
            <c:strRef>
              <c:f>'表Ⅰ－４－２'!$B$15</c:f>
              <c:strCache>
                <c:ptCount val="1"/>
                <c:pt idx="0">
                  <c:v>東京都</c:v>
                </c:pt>
              </c:strCache>
            </c:strRef>
          </c:tx>
          <c:spPr>
            <a:ln>
              <a:solidFill>
                <a:schemeClr val="tx1"/>
              </a:solidFill>
              <a:prstDash val="sysDot"/>
            </a:ln>
          </c:spPr>
          <c:marker>
            <c:symbol val="none"/>
          </c:marker>
          <c:dPt>
            <c:idx val="5"/>
            <c:invertIfNegative val="0"/>
            <c:marker>
              <c:symbol val="none"/>
            </c:marker>
            <c:bubble3D val="0"/>
            <c:spPr>
              <a:ln>
                <a:solidFill>
                  <a:schemeClr val="tx1"/>
                </a:solidFill>
                <a:prstDash val="sysDot"/>
              </a:ln>
            </c:spPr>
          </c:dPt>
          <c:dLbls>
            <c:dLbl>
              <c:idx val="5"/>
              <c:layout>
                <c:manualLayout>
                  <c:x val="0.178840372226199"/>
                  <c:y val="0.1457539283360505"/>
                </c:manualLayout>
              </c:layout>
              <c:txPr>
                <a:bodyPr>
                  <a:spAutoFit/>
                </a:bodyPr>
                <a:lstStyle/>
                <a:p>
                  <a:pPr>
                    <a:defRPr sz="1000">
                      <a:solidFill>
                        <a:schemeClr val="tx1"/>
                      </a:solidFill>
                      <a:latin typeface="ＭＳ Ｐ明朝"/>
                      <a:ea typeface="ＭＳ Ｐ明朝"/>
                    </a:defRPr>
                  </a:pPr>
                  <a:endParaRPr lang="ja-JP" altLang="en-US">
                    <a:latin typeface="ＭＳ Ｐ明朝"/>
                    <a:ea typeface="ＭＳ Ｐ明朝"/>
                  </a:endParaRPr>
                </a:p>
              </c:txPr>
              <c:showLegendKey val="0"/>
              <c:showVal val="0"/>
              <c:showCatName val="0"/>
              <c:showSerName val="1"/>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'表Ⅰ－４－２'!$D$25:$U$25</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'表Ⅰ－４－２'!$D$15:$U$15</c:f>
              <c:numCache>
                <c:formatCode xml:space="preserve">0.0_ </c:formatCode>
                <c:ptCount val="18"/>
                <c:pt idx="0">
                  <c:v>3.5542546518921179</c:v>
                </c:pt>
                <c:pt idx="1">
                  <c:v>4.9132343717332212</c:v>
                </c:pt>
                <c:pt idx="2">
                  <c:v>1.4635166213673425</c:v>
                </c:pt>
                <c:pt idx="3">
                  <c:v>1.4007944804515993</c:v>
                </c:pt>
                <c:pt idx="4">
                  <c:v>7.4639347689734477</c:v>
                </c:pt>
                <c:pt idx="5">
                  <c:v>16.809533765419193</c:v>
                </c:pt>
                <c:pt idx="6">
                  <c:v>13.088020071085094</c:v>
                </c:pt>
                <c:pt idx="7">
                  <c:v>11.331800125444282</c:v>
                </c:pt>
                <c:pt idx="8">
                  <c:v>7.4221200083629517</c:v>
                </c:pt>
                <c:pt idx="9">
                  <c:v>5.7077148233326369</c:v>
                </c:pt>
                <c:pt idx="10">
                  <c:v>6.021325527911352</c:v>
                </c:pt>
                <c:pt idx="11">
                  <c:v>4.8086974702069831</c:v>
                </c:pt>
                <c:pt idx="12">
                  <c:v>5.39410411875392</c:v>
                </c:pt>
                <c:pt idx="13">
                  <c:v>4.8505122308174791</c:v>
                </c:pt>
                <c:pt idx="14">
                  <c:v>2.9688480033451805</c:v>
                </c:pt>
                <c:pt idx="15">
                  <c:v>1.2126280577043698</c:v>
                </c:pt>
                <c:pt idx="16">
                  <c:v>0.73175831068367125</c:v>
                </c:pt>
                <c:pt idx="17">
                  <c:v>0.85720259251515796</c:v>
                </c:pt>
              </c:numCache>
            </c:numRef>
          </c:val>
          <c:smooth val="0"/>
        </c:ser>
        <c:ser>
          <c:idx val="2"/>
          <c:order val="2"/>
          <c:tx>
            <c:strRef>
              <c:f>'表Ⅰ－４－２'!$B$16</c:f>
              <c:strCache>
                <c:ptCount val="1"/>
                <c:pt idx="0">
                  <c:v>岩手県</c:v>
                </c:pt>
              </c:strCache>
            </c:strRef>
          </c:tx>
          <c:spPr>
            <a:ln w="22225">
              <a:solidFill>
                <a:schemeClr val="tx1"/>
              </a:solidFill>
              <a:prstDash val="dash"/>
            </a:ln>
          </c:spPr>
          <c:marker>
            <c:symbol val="none"/>
          </c:marker>
          <c:dPt>
            <c:idx val="4"/>
            <c:invertIfNegative val="0"/>
            <c:marker>
              <c:symbol val="none"/>
            </c:marker>
            <c:bubble3D val="0"/>
          </c:dPt>
          <c:dLbls>
            <c:dLbl>
              <c:idx val="4"/>
              <c:layout>
                <c:manualLayout>
                  <c:x val="-0.13897590073968027"/>
                  <c:y val="4.9116745869321403e-002"/>
                </c:manualLayout>
              </c:layout>
              <c:txPr>
                <a:bodyPr>
                  <a:spAutoFit/>
                </a:bodyPr>
                <a:lstStyle/>
                <a:p>
                  <a:pPr>
                    <a:defRPr sz="1000">
                      <a:solidFill>
                        <a:schemeClr val="tx1"/>
                      </a:solidFill>
                      <a:latin typeface="ＭＳ Ｐ明朝"/>
                      <a:ea typeface="ＭＳ Ｐ明朝"/>
                    </a:defRPr>
                  </a:pPr>
                  <a:endParaRPr lang="ja-JP" altLang="en-US">
                    <a:latin typeface="ＭＳ Ｐ明朝"/>
                    <a:ea typeface="ＭＳ Ｐ明朝"/>
                  </a:endParaRPr>
                </a:p>
              </c:txPr>
              <c:showLegendKey val="0"/>
              <c:showVal val="0"/>
              <c:showCatName val="0"/>
              <c:showSerName val="1"/>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'表Ⅰ－４－２'!$D$25:$U$25</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'表Ⅰ－４－２'!$D$16:$U$16</c:f>
              <c:numCache>
                <c:formatCode xml:space="preserve">0.0_ </c:formatCode>
                <c:ptCount val="18"/>
                <c:pt idx="0">
                  <c:v>2.8342780926975659</c:v>
                </c:pt>
                <c:pt idx="1">
                  <c:v>4.4681560520173393</c:v>
                </c:pt>
                <c:pt idx="2">
                  <c:v>2.5341780593531178</c:v>
                </c:pt>
                <c:pt idx="3">
                  <c:v>7.1023674558186061</c:v>
                </c:pt>
                <c:pt idx="4">
                  <c:v>19.506502167389129</c:v>
                </c:pt>
                <c:pt idx="5">
                  <c:v>12.704234744914972</c:v>
                </c:pt>
                <c:pt idx="6">
                  <c:v>10.503501167055687</c:v>
                </c:pt>
                <c:pt idx="7">
                  <c:v>8.7695898632877611</c:v>
                </c:pt>
                <c:pt idx="8">
                  <c:v>8.2360786928976335</c:v>
                </c:pt>
                <c:pt idx="9">
                  <c:v>6.9356452150716912</c:v>
                </c:pt>
                <c:pt idx="10">
                  <c:v>6.335445148382794</c:v>
                </c:pt>
                <c:pt idx="11">
                  <c:v>4.2680893631210397</c:v>
                </c:pt>
                <c:pt idx="12">
                  <c:v>2.6342114038012667</c:v>
                </c:pt>
                <c:pt idx="13">
                  <c:v>1.0003334444814937</c:v>
                </c:pt>
                <c:pt idx="14">
                  <c:v>0.66688896298766254</c:v>
                </c:pt>
                <c:pt idx="15">
                  <c:v>0.26675558519506498</c:v>
                </c:pt>
                <c:pt idx="16">
                  <c:v>0.40013337779259756</c:v>
                </c:pt>
                <c:pt idx="17">
                  <c:v>0.8336112037345782</c:v>
                </c:pt>
              </c:numCache>
            </c:numRef>
          </c:val>
          <c:smooth val="0"/>
        </c:ser>
        <c:ser>
          <c:idx val="3"/>
          <c:order val="3"/>
          <c:tx>
            <c:strRef>
              <c:f>'表Ⅰ－４－２'!$B$17</c:f>
              <c:strCache>
                <c:ptCount val="1"/>
                <c:pt idx="0">
                  <c:v>青森県</c:v>
                </c:pt>
              </c:strCache>
            </c:strRef>
          </c:tx>
          <c:spPr>
            <a:ln w="12700">
              <a:solidFill>
                <a:schemeClr val="tx1"/>
              </a:solidFill>
              <a:prstDash val="dash"/>
            </a:ln>
          </c:spPr>
          <c:marker>
            <c:symbol val="none"/>
          </c:marker>
          <c:dPt>
            <c:idx val="4"/>
            <c:invertIfNegative val="0"/>
            <c:marker>
              <c:symbol val="none"/>
            </c:marker>
            <c:bubble3D val="0"/>
          </c:dPt>
          <c:dLbls>
            <c:dLbl>
              <c:idx val="4"/>
              <c:layout>
                <c:manualLayout>
                  <c:x val="-0.15715789245352596"/>
                  <c:y val="9.721345404511661e-002"/>
                </c:manualLayout>
              </c:layout>
              <c:txPr>
                <a:bodyPr>
                  <a:spAutoFit/>
                </a:bodyPr>
                <a:lstStyle/>
                <a:p>
                  <a:pPr>
                    <a:defRPr sz="1000">
                      <a:solidFill>
                        <a:schemeClr val="tx1"/>
                      </a:solidFill>
                      <a:latin typeface="ＭＳ Ｐ明朝"/>
                      <a:ea typeface="ＭＳ Ｐ明朝"/>
                    </a:defRPr>
                  </a:pPr>
                  <a:endParaRPr lang="ja-JP" altLang="en-US">
                    <a:latin typeface="ＭＳ Ｐ明朝"/>
                    <a:ea typeface="ＭＳ Ｐ明朝"/>
                  </a:endParaRPr>
                </a:p>
              </c:txPr>
              <c:showLegendKey val="0"/>
              <c:showVal val="0"/>
              <c:showCatName val="0"/>
              <c:showSerName val="1"/>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'表Ⅰ－４－２'!$D$25:$U$25</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'表Ⅰ－４－２'!$D$17:$U$17</c:f>
              <c:numCache>
                <c:formatCode xml:space="preserve">0.0_ </c:formatCode>
                <c:ptCount val="18"/>
                <c:pt idx="0">
                  <c:v>3.2225579053373616</c:v>
                </c:pt>
                <c:pt idx="1">
                  <c:v>4.2296072507552873</c:v>
                </c:pt>
                <c:pt idx="2">
                  <c:v>2.416918429003021</c:v>
                </c:pt>
                <c:pt idx="3">
                  <c:v>6.7472306143001006</c:v>
                </c:pt>
                <c:pt idx="4">
                  <c:v>16.649882510909702</c:v>
                </c:pt>
                <c:pt idx="5">
                  <c:v>14.669352131587782</c:v>
                </c:pt>
                <c:pt idx="6">
                  <c:v>10.372608257804632</c:v>
                </c:pt>
                <c:pt idx="7">
                  <c:v>8.5934877475662965</c:v>
                </c:pt>
                <c:pt idx="8">
                  <c:v>8.2578046324269891</c:v>
                </c:pt>
                <c:pt idx="9">
                  <c:v>7.6535750251762336</c:v>
                </c:pt>
                <c:pt idx="10">
                  <c:v>5.9751594494796914</c:v>
                </c:pt>
                <c:pt idx="11">
                  <c:v>5.4380664652567976</c:v>
                </c:pt>
                <c:pt idx="12">
                  <c:v>2.181940248405505</c:v>
                </c:pt>
                <c:pt idx="13">
                  <c:v>1.5105740181268883</c:v>
                </c:pt>
                <c:pt idx="14">
                  <c:v>0.87277609936220213</c:v>
                </c:pt>
                <c:pt idx="15">
                  <c:v>0.13427324605572338</c:v>
                </c:pt>
                <c:pt idx="16">
                  <c:v>0.30211480362537763</c:v>
                </c:pt>
                <c:pt idx="17">
                  <c:v>0.77207116482040949</c:v>
                </c:pt>
              </c:numCache>
            </c:numRef>
          </c:val>
          <c:smooth val="0"/>
        </c:ser>
        <c:ser>
          <c:idx val="4"/>
          <c:order val="4"/>
          <c:tx>
            <c:strRef>
              <c:f>'表Ⅰ－４－２'!$B$18</c:f>
              <c:strCache>
                <c:ptCount val="1"/>
                <c:pt idx="0">
                  <c:v>神奈川県</c:v>
                </c:pt>
              </c:strCache>
            </c:strRef>
          </c:tx>
          <c:spPr>
            <a:ln w="19050">
              <a:solidFill>
                <a:schemeClr val="tx1"/>
              </a:solidFill>
              <a:prstDash val="solid"/>
            </a:ln>
          </c:spPr>
          <c:marker>
            <c:symbol val="none"/>
          </c:marker>
          <c:dPt>
            <c:idx val="12"/>
            <c:invertIfNegative val="0"/>
            <c:marker>
              <c:symbol val="none"/>
            </c:marker>
            <c:bubble3D val="0"/>
          </c:dPt>
          <c:dLbls>
            <c:dLbl>
              <c:idx val="12"/>
              <c:layout>
                <c:manualLayout>
                  <c:x val="0.12741432940717121"/>
                  <c:y val="-0.10200862557378565"/>
                </c:manualLayout>
              </c:layout>
              <c:txPr>
                <a:bodyPr>
                  <a:spAutoFit/>
                </a:bodyPr>
                <a:lstStyle/>
                <a:p>
                  <a:pPr>
                    <a:defRPr sz="1000">
                      <a:solidFill>
                        <a:schemeClr val="tx1"/>
                      </a:solidFill>
                      <a:latin typeface="ＭＳ Ｐ明朝"/>
                      <a:ea typeface="ＭＳ Ｐ明朝"/>
                    </a:defRPr>
                  </a:pPr>
                  <a:endParaRPr lang="ja-JP" altLang="en-US">
                    <a:latin typeface="ＭＳ Ｐ明朝"/>
                    <a:ea typeface="ＭＳ Ｐ明朝"/>
                  </a:endParaRPr>
                </a:p>
              </c:txPr>
              <c:showLegendKey val="0"/>
              <c:showVal val="0"/>
              <c:showCatName val="0"/>
              <c:showSerName val="1"/>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'表Ⅰ－４－２'!$D$25:$U$25</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'表Ⅰ－４－２'!$D$18:$U$18</c:f>
              <c:numCache>
                <c:formatCode xml:space="preserve">0.0_ </c:formatCode>
                <c:ptCount val="18"/>
                <c:pt idx="0">
                  <c:v>3.5169491525423728</c:v>
                </c:pt>
                <c:pt idx="1">
                  <c:v>4.2796610169491522</c:v>
                </c:pt>
                <c:pt idx="2">
                  <c:v>2.2881355932203391</c:v>
                </c:pt>
                <c:pt idx="3">
                  <c:v>1.6949152542372881</c:v>
                </c:pt>
                <c:pt idx="4">
                  <c:v>9.2372881355932197</c:v>
                </c:pt>
                <c:pt idx="5">
                  <c:v>16.610169491525422</c:v>
                </c:pt>
                <c:pt idx="6">
                  <c:v>11.525423728813559</c:v>
                </c:pt>
                <c:pt idx="7">
                  <c:v>9.9576271186440675</c:v>
                </c:pt>
                <c:pt idx="8">
                  <c:v>6.0593220338983054</c:v>
                </c:pt>
                <c:pt idx="9">
                  <c:v>5.1271186440677958</c:v>
                </c:pt>
                <c:pt idx="10">
                  <c:v>4.6186440677966099</c:v>
                </c:pt>
                <c:pt idx="11">
                  <c:v>5.0847457627118651</c:v>
                </c:pt>
                <c:pt idx="12">
                  <c:v>5.7627118644067794</c:v>
                </c:pt>
                <c:pt idx="13">
                  <c:v>6.6949152542372881</c:v>
                </c:pt>
                <c:pt idx="14">
                  <c:v>4.0677966101694913</c:v>
                </c:pt>
                <c:pt idx="15">
                  <c:v>1.7372881355932204</c:v>
                </c:pt>
                <c:pt idx="16">
                  <c:v>0.84745762711864403</c:v>
                </c:pt>
                <c:pt idx="17">
                  <c:v>0.88983050847457634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
        <c:axId val="2"/>
      </c:lineChart>
      <c:catAx>
        <c:axId val="1"/>
        <c:scaling>
          <c:orientation val="minMax"/>
        </c:scaling>
        <c:delete val="0"/>
        <c:axPos val="b"/>
        <c:numFmt formatCode="@" sourceLinked="0"/>
        <c:majorTickMark val="none"/>
        <c:minorTickMark val="none"/>
        <c:tickLblPos val="nextTo"/>
        <c:spPr>
          <a:ln>
            <a:solidFill>
              <a:schemeClr val="tx1"/>
            </a:solidFill>
          </a:ln>
        </c:spPr>
        <c:txPr>
          <a:bodyPr rot="0" horzOverflow="overflow" anchor="ctr" anchorCtr="1"/>
          <a:lstStyle/>
          <a:p>
            <a:pPr algn="ctr" rtl="0">
              <a:defRPr kumimoji="0" sz="1050" kern="1200">
                <a:solidFill>
                  <a:schemeClr val="tx1"/>
                </a:solidFill>
                <a:latin typeface="ＭＳ Ｐ明朝"/>
                <a:ea typeface="ＭＳ Ｐ明朝"/>
              </a:defRPr>
            </a:pPr>
            <a:endParaRPr lang="ja-JP" altLang="en-US"/>
          </a:p>
        </c:txPr>
        <c:crossAx val="2"/>
        <c:crosses val="autoZero"/>
        <c:auto val="1"/>
        <c:lblAlgn val="ctr"/>
        <c:lblOffset val="100"/>
        <c:tickLblSkip val="1"/>
        <c:noMultiLvlLbl val="1"/>
      </c:catAx>
      <c:valAx>
        <c:axId val="2"/>
        <c:scaling>
          <c:orientation val="minMax"/>
          <c:max val="20"/>
        </c:scaling>
        <c:delete val="0"/>
        <c:axPos val="l"/>
        <c:majorGridlines>
          <c:spPr>
            <a:ln>
              <a:solidFill>
                <a:schemeClr val="tx1"/>
              </a:solidFill>
            </a:ln>
          </c:spPr>
        </c:majorGridlines>
        <c:title>
          <c:tx>
            <c:rich>
              <a:bodyPr rot="0" horzOverflow="overflow" anchor="ctr" anchorCtr="1"/>
              <a:lstStyle/>
              <a:p>
                <a:pPr algn="ctr" rtl="0">
                  <a:defRPr kumimoji="0" sz="1000" b="0" i="0" u="none" strike="noStrike" kern="1200" baseline="0">
                    <a:solidFill>
                      <a:schemeClr val="tx1"/>
                    </a:solidFill>
                    <a:latin typeface="ＭＳ Ｐ明朝"/>
                    <a:ea typeface="ＭＳ Ｐ明朝"/>
                  </a:defRPr>
                </a:pPr>
                <a:r>
                  <a:rPr kumimoji="0" lang="ja-JP" altLang="en-US" sz="1000" b="0" i="0" u="none" strike="noStrike" kern="1200" baseline="0">
                    <a:solidFill>
                      <a:schemeClr val="tx1"/>
                    </a:solidFill>
                    <a:latin typeface="ＭＳ Ｐ明朝"/>
                    <a:ea typeface="ＭＳ Ｐ明朝"/>
                  </a:rPr>
                  <a:t>（単位：％）</a:t>
                </a:r>
                <a:endParaRPr kumimoji="0" lang="ja-JP" altLang="en-US" sz="1000" b="0" i="0" u="none" strike="noStrike" kern="1200" baseline="0">
                  <a:solidFill>
                    <a:schemeClr val="tx1"/>
                  </a:solidFill>
                  <a:latin typeface="ＭＳ Ｐ明朝"/>
                  <a:ea typeface="ＭＳ Ｐ明朝"/>
                </a:endParaRPr>
              </a:p>
            </c:rich>
          </c:tx>
          <c:layout>
            <c:manualLayout>
              <c:xMode val="edge"/>
              <c:yMode val="edge"/>
              <c:x val="8.8194182338777894e-003"/>
              <c:y val="9.2212702487078982e-003"/>
            </c:manualLayout>
          </c:layout>
          <c:overlay val="0"/>
        </c:title>
        <c:numFmt formatCode="#,##0.0_);[Red]\(#,##0.0\)" sourceLinked="0"/>
        <c:majorTickMark val="none"/>
        <c:minorTickMark val="none"/>
        <c:tickLblPos val="nextTo"/>
        <c:spPr>
          <a:ln>
            <a:solidFill>
              <a:schemeClr val="tx1"/>
            </a:solidFill>
          </a:ln>
        </c:spPr>
        <c:txPr>
          <a:bodyPr horzOverflow="overflow" anchor="ctr" anchorCtr="1"/>
          <a:lstStyle/>
          <a:p>
            <a:pPr algn="ctr" rtl="0">
              <a:defRPr kumimoji="0" sz="1000" kern="1200">
                <a:solidFill>
                  <a:schemeClr val="tx1"/>
                </a:solidFill>
                <a:latin typeface="ＭＳ Ｐ明朝"/>
                <a:ea typeface="ＭＳ Ｐ明朝"/>
              </a:defRPr>
            </a:pPr>
            <a:endParaRPr lang="ja-JP" altLang="en-US"/>
          </a:p>
        </c:txPr>
        <c:crossAx val="1"/>
        <c:crosses val="autoZero"/>
        <c:crossBetween val="between"/>
      </c:valAx>
      <c:spPr>
        <a:ln>
          <a:solidFill>
            <a:schemeClr val="tx1"/>
          </a:solidFill>
        </a:ln>
      </c:spPr>
    </c:plotArea>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033057851239663e-002"/>
          <c:y val="5.5066079295154183e-002"/>
          <c:w val="0.90909090909090906"/>
          <c:h val="0.79074889867841414"/>
        </c:manualLayout>
      </c:layout>
      <c:lineChart>
        <c:grouping val="standard"/>
        <c:varyColors val="0"/>
        <c:ser>
          <c:idx val="0"/>
          <c:order val="0"/>
          <c:tx>
            <c:strRef>
              <c:f>'表１－４－３'!$B$14</c:f>
              <c:strCache>
                <c:ptCount val="1"/>
                <c:pt idx="0">
                  <c:v>東京都</c:v>
                </c:pt>
              </c:strCache>
            </c:strRef>
          </c:tx>
          <c:spPr>
            <a:ln>
              <a:solidFill>
                <a:schemeClr val="tx1"/>
              </a:solidFill>
              <a:prstDash val="sysDot"/>
            </a:ln>
          </c:spPr>
          <c:marker>
            <c:symbol val="none"/>
          </c:marker>
          <c:dPt>
            <c:idx val="4"/>
            <c:invertIfNegative val="0"/>
            <c:marker>
              <c:symbol val="none"/>
            </c:marker>
            <c:bubble3D val="0"/>
            <c:spPr>
              <a:ln>
                <a:solidFill>
                  <a:schemeClr val="tx1"/>
                </a:solidFill>
                <a:prstDash val="sysDot"/>
              </a:ln>
            </c:spPr>
          </c:dPt>
          <c:dLbls>
            <c:dLbl>
              <c:idx val="4"/>
              <c:layout>
                <c:manualLayout>
                  <c:x val="0.25206620246849309"/>
                  <c:y val="0.45024408292575763"/>
                </c:manualLayout>
              </c:layout>
              <c:txPr>
                <a:bodyPr>
                  <a:noAutofit/>
                </a:bodyPr>
                <a:lstStyle/>
                <a:p>
                  <a:pPr>
                    <a:defRPr sz="1000">
                      <a:solidFill>
                        <a:schemeClr val="tx1"/>
                      </a:solidFill>
                    </a:defRPr>
                  </a:pPr>
                  <a:endParaRPr lang="ja-JP" altLang="en-US">
                    <a:latin typeface="ＭＳ Ｐ明朝"/>
                    <a:ea typeface="ＭＳ Ｐ明朝"/>
                  </a:endParaRPr>
                </a:p>
              </c:txPr>
              <c:showLegendKey val="0"/>
              <c:showVal val="0"/>
              <c:showCatName val="0"/>
              <c:showSerName val="1"/>
              <c:showPercent val="0"/>
              <c:showBubbleSize val="0"/>
              <c:extLst>
                <c:ext xmlns:c15="http://schemas.microsoft.com/office/drawing/2012/chart" uri="{CE6537A1-D6FC-4f65-9D91-7224C49458BB}">
                  <c15:layout>
                    <c:manualLayout>
                      <c:w val="8.2644628099173556e-002"/>
                      <c:h val="5.0660792951541848e-002"/>
                    </c:manualLayout>
                  </c15:layout>
                </c:ext>
              </c:extLst>
            </c:dLbl>
            <c:showLegendKey val="0"/>
            <c:showVal val="0"/>
            <c:showCatName val="0"/>
            <c:showSerName val="0"/>
            <c:showPercent val="0"/>
            <c:showBubbleSize val="0"/>
            <c:extLst>
              <c:ext xmlns:c15="http://schemas.microsoft.com/office/drawing/2012/chart" uri="{CE6537A1-D6FC-4f65-9D91-7224C49458BB}">
                <c15:showLeaderLines val="0"/>
              </c:ext>
            </c:extLst>
          </c:dLbls>
          <c:cat>
            <c:strRef>
              <c:f>'表１－４－３'!$D$25:$U$25</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'表１－４－３'!$D$14:$U$14</c:f>
              <c:numCache>
                <c:formatCode xml:space="preserve">0.0_ </c:formatCode>
                <c:ptCount val="18"/>
                <c:pt idx="0">
                  <c:v>0.99226036912085736</c:v>
                </c:pt>
                <c:pt idx="1">
                  <c:v>1.4784679499900775</c:v>
                </c:pt>
                <c:pt idx="2">
                  <c:v>1.091486406032943</c:v>
                </c:pt>
                <c:pt idx="3">
                  <c:v>8.9005755110140896</c:v>
                </c:pt>
                <c:pt idx="4">
                  <c:v>39.452272276245289</c:v>
                </c:pt>
                <c:pt idx="5">
                  <c:v>17.185949593173248</c:v>
                </c:pt>
                <c:pt idx="6">
                  <c:v>8.1464576304822387</c:v>
                </c:pt>
                <c:pt idx="7">
                  <c:v>4.8025401865449489</c:v>
                </c:pt>
                <c:pt idx="8">
                  <c:v>4.2865647946021035</c:v>
                </c:pt>
                <c:pt idx="9">
                  <c:v>3.2843818217900376</c:v>
                </c:pt>
                <c:pt idx="10">
                  <c:v>2.9668585036713635</c:v>
                </c:pt>
                <c:pt idx="11">
                  <c:v>2.1135145862274261</c:v>
                </c:pt>
                <c:pt idx="12">
                  <c:v>1.4487001389164516</c:v>
                </c:pt>
                <c:pt idx="13">
                  <c:v>0.77396308791426871</c:v>
                </c:pt>
                <c:pt idx="14">
                  <c:v>0.82357610637031153</c:v>
                </c:pt>
                <c:pt idx="15">
                  <c:v>0.5457432030164715</c:v>
                </c:pt>
                <c:pt idx="16">
                  <c:v>0.47628497717801149</c:v>
                </c:pt>
                <c:pt idx="17">
                  <c:v>1.2304028577098631</c:v>
                </c:pt>
              </c:numCache>
            </c:numRef>
          </c:val>
          <c:smooth val="0"/>
        </c:ser>
        <c:ser>
          <c:idx val="1"/>
          <c:order val="1"/>
          <c:tx>
            <c:strRef>
              <c:f>'表１－４－３'!$B$15</c:f>
              <c:strCache>
                <c:ptCount val="1"/>
                <c:pt idx="0">
                  <c:v>宮城県</c:v>
                </c:pt>
              </c:strCache>
            </c:strRef>
          </c:tx>
          <c:spPr>
            <a:ln>
              <a:solidFill>
                <a:schemeClr val="tx1"/>
              </a:solidFill>
            </a:ln>
          </c:spPr>
          <c:marker>
            <c:symbol val="none"/>
          </c:marker>
          <c:dPt>
            <c:idx val="7"/>
            <c:invertIfNegative val="0"/>
            <c:marker>
              <c:symbol val="none"/>
            </c:marker>
            <c:bubble3D val="0"/>
          </c:dPt>
          <c:dLbls>
            <c:dLbl>
              <c:idx val="7"/>
              <c:layout>
                <c:manualLayout>
                  <c:x val="-8.406932604498818e-002"/>
                  <c:y val="-0.46861008012764926"/>
                </c:manualLayout>
              </c:layout>
              <c:txPr>
                <a:bodyPr>
                  <a:spAutoFit/>
                </a:bodyPr>
                <a:lstStyle/>
                <a:p>
                  <a:pPr>
                    <a:defRPr sz="1000">
                      <a:solidFill>
                        <a:schemeClr val="tx1"/>
                      </a:solidFill>
                    </a:defRPr>
                  </a:pPr>
                  <a:endParaRPr lang="ja-JP" altLang="en-US">
                    <a:latin typeface="ＭＳ Ｐ明朝"/>
                    <a:ea typeface="ＭＳ Ｐ明朝"/>
                  </a:endParaRPr>
                </a:p>
              </c:txPr>
              <c:dLblPos val="r"/>
              <c:showLegendKey val="0"/>
              <c:showVal val="0"/>
              <c:showCatName val="0"/>
              <c:showSerName val="1"/>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'表１－４－３'!$D$25:$U$25</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'表１－４－３'!$D$15:$U$15</c:f>
              <c:numCache>
                <c:formatCode xml:space="preserve">0.0_ </c:formatCode>
                <c:ptCount val="18"/>
                <c:pt idx="0">
                  <c:v>1.7512077294685993</c:v>
                </c:pt>
                <c:pt idx="1">
                  <c:v>2.8280998389694041</c:v>
                </c:pt>
                <c:pt idx="2">
                  <c:v>1.8820450885668278</c:v>
                </c:pt>
                <c:pt idx="3">
                  <c:v>16.032608695652172</c:v>
                </c:pt>
                <c:pt idx="4">
                  <c:v>31.733091787439616</c:v>
                </c:pt>
                <c:pt idx="5">
                  <c:v>10.487117552334944</c:v>
                </c:pt>
                <c:pt idx="6">
                  <c:v>7.6489533011272144</c:v>
                </c:pt>
                <c:pt idx="7">
                  <c:v>5.9681964573268926</c:v>
                </c:pt>
                <c:pt idx="8">
                  <c:v>5.5152979066022549</c:v>
                </c:pt>
                <c:pt idx="9">
                  <c:v>4.8611111111111116</c:v>
                </c:pt>
                <c:pt idx="10">
                  <c:v>3.9150563607085345</c:v>
                </c:pt>
                <c:pt idx="11">
                  <c:v>2.6871980676328504</c:v>
                </c:pt>
                <c:pt idx="12">
                  <c:v>1.4895330112721417</c:v>
                </c:pt>
                <c:pt idx="13">
                  <c:v>0.84541062801932365</c:v>
                </c:pt>
                <c:pt idx="14">
                  <c:v>0.67431561996779388</c:v>
                </c:pt>
                <c:pt idx="15">
                  <c:v>0.46296296296296291</c:v>
                </c:pt>
                <c:pt idx="16">
                  <c:v>0.47302737520128824</c:v>
                </c:pt>
                <c:pt idx="17">
                  <c:v>0.74476650563607083</c:v>
                </c:pt>
              </c:numCache>
            </c:numRef>
          </c:val>
          <c:smooth val="0"/>
        </c:ser>
        <c:ser>
          <c:idx val="2"/>
          <c:order val="2"/>
          <c:tx>
            <c:strRef>
              <c:f>'表１－４－３'!$B$16</c:f>
              <c:strCache>
                <c:ptCount val="1"/>
                <c:pt idx="0">
                  <c:v>神奈川県</c:v>
                </c:pt>
              </c:strCache>
            </c:strRef>
          </c:tx>
          <c:spPr>
            <a:ln w="22225">
              <a:solidFill>
                <a:schemeClr val="tx1"/>
              </a:solidFill>
              <a:prstDash val="dash"/>
            </a:ln>
          </c:spPr>
          <c:marker>
            <c:symbol val="none"/>
          </c:marker>
          <c:dPt>
            <c:idx val="1"/>
            <c:invertIfNegative val="0"/>
            <c:marker>
              <c:symbol val="none"/>
            </c:marker>
            <c:bubble3D val="0"/>
          </c:dPt>
          <c:dLbls>
            <c:dLbl>
              <c:idx val="1"/>
              <c:layout>
                <c:manualLayout>
                  <c:x val="0.11657066007244962"/>
                  <c:y val="-1.3838611583243725e-002"/>
                </c:manualLayout>
              </c:layout>
              <c:txPr>
                <a:bodyPr>
                  <a:spAutoFit/>
                </a:bodyPr>
                <a:lstStyle/>
                <a:p>
                  <a:pPr>
                    <a:defRPr sz="1000">
                      <a:solidFill>
                        <a:schemeClr val="tx1"/>
                      </a:solidFill>
                    </a:defRPr>
                  </a:pPr>
                  <a:endParaRPr lang="ja-JP" altLang="en-US">
                    <a:latin typeface="ＭＳ Ｐ明朝"/>
                    <a:ea typeface="ＭＳ Ｐ明朝"/>
                  </a:endParaRPr>
                </a:p>
              </c:txPr>
              <c:showLegendKey val="0"/>
              <c:showVal val="0"/>
              <c:showCatName val="0"/>
              <c:showSerName val="1"/>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'表１－４－３'!$D$25:$U$25</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'表１－４－３'!$D$16:$U$16</c:f>
              <c:numCache>
                <c:formatCode xml:space="preserve">0.0_ </c:formatCode>
                <c:ptCount val="18"/>
                <c:pt idx="0">
                  <c:v>0.92453235863255212</c:v>
                </c:pt>
                <c:pt idx="1">
                  <c:v>1.2470436465276284</c:v>
                </c:pt>
                <c:pt idx="2">
                  <c:v>0.7525263384218448</c:v>
                </c:pt>
                <c:pt idx="3">
                  <c:v>9.5893356267469372</c:v>
                </c:pt>
                <c:pt idx="4">
                  <c:v>40.98043431520103</c:v>
                </c:pt>
                <c:pt idx="5">
                  <c:v>18.168135884755969</c:v>
                </c:pt>
                <c:pt idx="6">
                  <c:v>6.514728015480542</c:v>
                </c:pt>
                <c:pt idx="7">
                  <c:v>4.0206407224252851</c:v>
                </c:pt>
                <c:pt idx="8">
                  <c:v>2.7305955708449794</c:v>
                </c:pt>
                <c:pt idx="9">
                  <c:v>3.1391098688454098</c:v>
                </c:pt>
                <c:pt idx="10">
                  <c:v>3.0531068587400561</c:v>
                </c:pt>
                <c:pt idx="11">
                  <c:v>2.1285745001075038</c:v>
                </c:pt>
                <c:pt idx="12">
                  <c:v>1.2685443990539669</c:v>
                </c:pt>
                <c:pt idx="13">
                  <c:v>1.075037626316921</c:v>
                </c:pt>
                <c:pt idx="14">
                  <c:v>0.8385293485271984</c:v>
                </c:pt>
                <c:pt idx="15">
                  <c:v>0.64502257579015265</c:v>
                </c:pt>
                <c:pt idx="16">
                  <c:v>0.86003010105353694</c:v>
                </c:pt>
                <c:pt idx="17">
                  <c:v>2.0640722425284883</c:v>
                </c:pt>
              </c:numCache>
            </c:numRef>
          </c:val>
          <c:smooth val="0"/>
        </c:ser>
        <c:ser>
          <c:idx val="3"/>
          <c:order val="3"/>
          <c:tx>
            <c:strRef>
              <c:f>'表１－４－３'!$B$17</c:f>
              <c:strCache>
                <c:ptCount val="1"/>
                <c:pt idx="0">
                  <c:v>岩手県</c:v>
                </c:pt>
              </c:strCache>
            </c:strRef>
          </c:tx>
          <c:spPr>
            <a:ln w="19050">
              <a:solidFill>
                <a:schemeClr val="tx1"/>
              </a:solidFill>
            </a:ln>
          </c:spPr>
          <c:marker>
            <c:symbol val="none"/>
          </c:marker>
          <c:dPt>
            <c:idx val="7"/>
            <c:invertIfNegative val="0"/>
            <c:marker>
              <c:symbol val="none"/>
            </c:marker>
            <c:bubble3D val="0"/>
          </c:dPt>
          <c:dLbls>
            <c:dLbl>
              <c:idx val="7"/>
              <c:layout>
                <c:manualLayout>
                  <c:x val="-0.3394411401054207"/>
                  <c:y val="-0.27350584480904644"/>
                </c:manualLayout>
              </c:layout>
              <c:txPr>
                <a:bodyPr>
                  <a:spAutoFit/>
                </a:bodyPr>
                <a:lstStyle/>
                <a:p>
                  <a:pPr>
                    <a:defRPr sz="1000">
                      <a:solidFill>
                        <a:schemeClr val="tx1"/>
                      </a:solidFill>
                    </a:defRPr>
                  </a:pPr>
                  <a:endParaRPr lang="ja-JP" altLang="en-US">
                    <a:latin typeface="ＭＳ Ｐ明朝"/>
                    <a:ea typeface="ＭＳ Ｐ明朝"/>
                  </a:endParaRPr>
                </a:p>
              </c:txPr>
              <c:dLblPos val="r"/>
              <c:showLegendKey val="0"/>
              <c:showVal val="0"/>
              <c:showCatName val="0"/>
              <c:showSerName val="1"/>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'表１－４－３'!$D$25:$U$25</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'表１－４－３'!$D$17:$U$17</c:f>
              <c:numCache>
                <c:formatCode xml:space="preserve">0.0_ </c:formatCode>
                <c:ptCount val="18"/>
                <c:pt idx="0">
                  <c:v>1.7472777918460369</c:v>
                </c:pt>
                <c:pt idx="1">
                  <c:v>3.0134211192707014</c:v>
                </c:pt>
                <c:pt idx="2">
                  <c:v>2.3043808559128895</c:v>
                </c:pt>
                <c:pt idx="3">
                  <c:v>13.775639402380349</c:v>
                </c:pt>
                <c:pt idx="4">
                  <c:v>24.259306153456571</c:v>
                </c:pt>
                <c:pt idx="5">
                  <c:v>11.395289946821981</c:v>
                </c:pt>
                <c:pt idx="6">
                  <c:v>7.5462142314509997</c:v>
                </c:pt>
                <c:pt idx="7">
                  <c:v>7.8754114965814139</c:v>
                </c:pt>
                <c:pt idx="8">
                  <c:v>6.1534565712838694</c:v>
                </c:pt>
                <c:pt idx="9">
                  <c:v>6.3813623702203088</c:v>
                </c:pt>
                <c:pt idx="10">
                  <c:v>5.2924791086350975</c:v>
                </c:pt>
                <c:pt idx="11">
                  <c:v>3.7984299822739933</c:v>
                </c:pt>
                <c:pt idx="12">
                  <c:v>2.430995188655356</c:v>
                </c:pt>
                <c:pt idx="13">
                  <c:v>1.0129146619397316</c:v>
                </c:pt>
                <c:pt idx="14">
                  <c:v>0.68371739680931887</c:v>
                </c:pt>
                <c:pt idx="15">
                  <c:v>0.48113446442137253</c:v>
                </c:pt>
                <c:pt idx="16">
                  <c:v>0.43048873132438592</c:v>
                </c:pt>
                <c:pt idx="17">
                  <c:v>1.4180805267156242</c:v>
                </c:pt>
              </c:numCache>
            </c:numRef>
          </c:val>
          <c:smooth val="0"/>
        </c:ser>
        <c:ser>
          <c:idx val="4"/>
          <c:order val="4"/>
          <c:tx>
            <c:strRef>
              <c:f>'表１－４－３'!$B$18</c:f>
              <c:strCache>
                <c:ptCount val="1"/>
                <c:pt idx="0">
                  <c:v>埼玉県</c:v>
                </c:pt>
              </c:strCache>
            </c:strRef>
          </c:tx>
          <c:spPr>
            <a:ln w="12700">
              <a:solidFill>
                <a:schemeClr val="tx1"/>
              </a:solidFill>
              <a:prstDash val="dash"/>
            </a:ln>
          </c:spPr>
          <c:marker>
            <c:symbol val="none"/>
          </c:marker>
          <c:dPt>
            <c:idx val="1"/>
            <c:invertIfNegative val="0"/>
            <c:marker>
              <c:symbol val="none"/>
            </c:marker>
            <c:bubble3D val="0"/>
          </c:dPt>
          <c:dLbls>
            <c:dLbl>
              <c:idx val="1"/>
              <c:layout>
                <c:manualLayout>
                  <c:x val="0.24788668358603935"/>
                  <c:y val="-0.28181044550047984"/>
                </c:manualLayout>
              </c:layout>
              <c:txPr>
                <a:bodyPr>
                  <a:spAutoFit/>
                </a:bodyPr>
                <a:lstStyle/>
                <a:p>
                  <a:pPr>
                    <a:defRPr sz="1000">
                      <a:solidFill>
                        <a:schemeClr val="tx1"/>
                      </a:solidFill>
                    </a:defRPr>
                  </a:pPr>
                  <a:endParaRPr lang="ja-JP" altLang="en-US">
                    <a:latin typeface="ＭＳ Ｐ明朝"/>
                    <a:ea typeface="ＭＳ Ｐ明朝"/>
                  </a:endParaRPr>
                </a:p>
              </c:txPr>
              <c:dLblPos val="r"/>
              <c:showLegendKey val="0"/>
              <c:showVal val="0"/>
              <c:showCatName val="0"/>
              <c:showSerName val="1"/>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'表１－４－３'!$D$25:$U$25</c:f>
              <c:strCache>
                <c:ptCount val="18"/>
                <c:pt idx="0">
                  <c:v>0

4
歳</c:v>
                </c:pt>
                <c:pt idx="1">
                  <c:v>5

9
歳</c:v>
                </c:pt>
                <c:pt idx="2">
                  <c:v>10

14
歳</c:v>
                </c:pt>
                <c:pt idx="3">
                  <c:v>15

19
歳</c:v>
                </c:pt>
                <c:pt idx="4">
                  <c:v>20

24
歳</c:v>
                </c:pt>
                <c:pt idx="5">
                  <c:v>25

29
歳</c:v>
                </c:pt>
                <c:pt idx="6">
                  <c:v>30

34
歳</c:v>
                </c:pt>
                <c:pt idx="7">
                  <c:v>35

39
歳</c:v>
                </c:pt>
                <c:pt idx="8">
                  <c:v>40

44
歳</c:v>
                </c:pt>
                <c:pt idx="9">
                  <c:v>45

49
歳</c:v>
                </c:pt>
                <c:pt idx="10">
                  <c:v>50

54
歳</c:v>
                </c:pt>
                <c:pt idx="11">
                  <c:v>55

59
歳</c:v>
                </c:pt>
                <c:pt idx="12">
                  <c:v>60

64
歳</c:v>
                </c:pt>
                <c:pt idx="13">
                  <c:v>65

69
歳</c:v>
                </c:pt>
                <c:pt idx="14">
                  <c:v>70

74
歳</c:v>
                </c:pt>
                <c:pt idx="15">
                  <c:v>75

79
歳</c:v>
                </c:pt>
                <c:pt idx="16">
                  <c:v>80

84
歳</c:v>
                </c:pt>
                <c:pt idx="17">
                  <c:v>85
歳
以
上</c:v>
                </c:pt>
              </c:strCache>
            </c:strRef>
          </c:cat>
          <c:val>
            <c:numRef>
              <c:f>'表１－４－３'!$D$18:$U$18</c:f>
              <c:numCache>
                <c:formatCode xml:space="preserve">0.0_ </c:formatCode>
                <c:ptCount val="18"/>
                <c:pt idx="0">
                  <c:v>1.6249677585762186</c:v>
                </c:pt>
                <c:pt idx="1">
                  <c:v>2.3213825122517409</c:v>
                </c:pt>
                <c:pt idx="2">
                  <c:v>1.9344854268764509</c:v>
                </c:pt>
                <c:pt idx="3">
                  <c:v>9.4402888831570806</c:v>
                </c:pt>
                <c:pt idx="4">
                  <c:v>36.316739747227238</c:v>
                </c:pt>
                <c:pt idx="5">
                  <c:v>13.618777405210214</c:v>
                </c:pt>
                <c:pt idx="6">
                  <c:v>7.7637348465308236</c:v>
                </c:pt>
                <c:pt idx="7">
                  <c:v>4.7459375806035595</c:v>
                </c:pt>
                <c:pt idx="8">
                  <c:v>4.797523858653598</c:v>
                </c:pt>
                <c:pt idx="9">
                  <c:v>3.9463502708279599</c:v>
                </c:pt>
                <c:pt idx="10">
                  <c:v>3.3015217952024765</c:v>
                </c:pt>
                <c:pt idx="11">
                  <c:v>2.1150374000515861</c:v>
                </c:pt>
                <c:pt idx="12">
                  <c:v>1.8828991488264124</c:v>
                </c:pt>
                <c:pt idx="13">
                  <c:v>1.2380706732009286</c:v>
                </c:pt>
                <c:pt idx="14">
                  <c:v>1.1348981171008512</c:v>
                </c:pt>
                <c:pt idx="15">
                  <c:v>0.5674490585504256</c:v>
                </c:pt>
                <c:pt idx="16">
                  <c:v>0.87696672685065769</c:v>
                </c:pt>
                <c:pt idx="17">
                  <c:v>2.3729687903017798</c:v>
                </c:pt>
              </c:numCache>
            </c:numRef>
          </c:val>
          <c:smooth val="0"/>
        </c:ser>
        <c:dLbls>
          <c:txPr>
            <a:bodyPr rot="0" horzOverflow="overflow" anchor="ctr" anchorCtr="1">
              <a:spAutoFit/>
            </a:bodyPr>
            <a:lstStyle/>
            <a:p>
              <a:pPr algn="ctr" rtl="0">
                <a:defRPr sz="1000">
                  <a:solidFill>
                    <a:schemeClr val="tx1"/>
                  </a:solidFill>
                </a:defRPr>
              </a:pPr>
              <a:endParaRPr lang="ja-JP" altLang="en-US">
                <a:latin typeface="ＭＳ Ｐ明朝"/>
                <a:ea typeface="ＭＳ Ｐ明朝"/>
              </a:endParaRPr>
            </a:p>
          </c:txPr>
          <c:showLegendKey val="0"/>
          <c:showVal val="0"/>
          <c:showCatName val="0"/>
          <c:showSerName val="0"/>
          <c:showPercent val="0"/>
          <c:showBubbleSize val="0"/>
        </c:dLbls>
        <c:marker val="0"/>
        <c:smooth val="0"/>
        <c:axId val="1"/>
        <c:axId val="2"/>
      </c:lineChart>
      <c:catAx>
        <c:axId val="1"/>
        <c:scaling>
          <c:orientation val="minMax"/>
        </c:scaling>
        <c:delete val="0"/>
        <c:axPos val="b"/>
        <c:numFmt formatCode="0.0_ " sourceLinked="1"/>
        <c:majorTickMark val="none"/>
        <c:minorTickMark val="none"/>
        <c:tickLblPos val="nextTo"/>
        <c:spPr>
          <a:ln>
            <a:solidFill>
              <a:schemeClr val="tx1"/>
            </a:solidFill>
          </a:ln>
        </c:spPr>
        <c:txPr>
          <a:bodyPr rot="0" horzOverflow="overflow" anchor="ctr" anchorCtr="1"/>
          <a:lstStyle/>
          <a:p>
            <a:pPr algn="ctr" rtl="0">
              <a:defRPr sz="1000">
                <a:solidFill>
                  <a:schemeClr val="tx1"/>
                </a:solidFill>
              </a:defRPr>
            </a:pPr>
            <a:endParaRPr lang="ja-JP" altLang="en-US">
              <a:latin typeface="ＭＳ Ｐ明朝"/>
              <a:ea typeface="ＭＳ Ｐ明朝"/>
            </a:endParaRPr>
          </a:p>
        </c:txPr>
        <c:crossAx val="2"/>
        <c:crossesAt val="0"/>
        <c:auto val="1"/>
        <c:lblAlgn val="ctr"/>
        <c:lblOffset val="100"/>
        <c:noMultiLvlLbl val="1"/>
      </c:catAx>
      <c:valAx>
        <c:axId val="2"/>
        <c:scaling>
          <c:orientation val="minMax"/>
          <c:max val="45"/>
          <c:min val="0"/>
        </c:scaling>
        <c:delete val="0"/>
        <c:axPos val="l"/>
        <c:majorGridlines/>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latin typeface="ＭＳ Ｐ明朝"/>
                    <a:ea typeface="ＭＳ Ｐ明朝"/>
                  </a:rPr>
                  <a:t>（単位：％）</a:t>
                </a:r>
                <a:endParaRPr lang="ja-JP" altLang="en-US" sz="1000" b="0" i="0" u="none" strike="noStrike" baseline="0">
                  <a:solidFill>
                    <a:schemeClr val="tx1"/>
                  </a:solidFill>
                  <a:latin typeface="ＭＳ Ｐ明朝"/>
                  <a:ea typeface="ＭＳ Ｐ明朝"/>
                </a:endParaRPr>
              </a:p>
            </c:rich>
          </c:tx>
          <c:layout>
            <c:manualLayout>
              <c:xMode val="edge"/>
              <c:yMode val="edge"/>
              <c:x val="0"/>
              <c:y val="0"/>
            </c:manualLayout>
          </c:layout>
          <c:overlay val="0"/>
        </c:title>
        <c:numFmt formatCode="#,##0.0_);[Red]\(#,##0.0\)" sourceLinked="0"/>
        <c:majorTickMark val="in"/>
        <c:minorTickMark val="none"/>
        <c:tickLblPos val="nextTo"/>
        <c:spPr>
          <a:ln>
            <a:solidFill>
              <a:schemeClr val="tx1"/>
            </a:solidFill>
          </a:ln>
        </c:spPr>
        <c:txPr>
          <a:bodyPr horzOverflow="overflow" anchor="ctr" anchorCtr="1"/>
          <a:lstStyle/>
          <a:p>
            <a:pPr algn="ctr" rtl="0">
              <a:defRPr sz="1000">
                <a:solidFill>
                  <a:schemeClr val="tx1"/>
                </a:solidFill>
              </a:defRPr>
            </a:pPr>
            <a:endParaRPr lang="ja-JP" altLang="en-US">
              <a:latin typeface="ＭＳ Ｐ明朝"/>
              <a:ea typeface="ＭＳ Ｐ明朝"/>
            </a:endParaRPr>
          </a:p>
        </c:txPr>
        <c:crossAx val="1"/>
        <c:crosses val="autoZero"/>
        <c:crossBetween val="between"/>
        <c:majorUnit val="10"/>
        <c:minorUnit val="5"/>
      </c:valAx>
      <c:spPr>
        <a:ln>
          <a:solidFill>
            <a:schemeClr val="tx1"/>
          </a:solidFill>
        </a:ln>
      </c:spPr>
    </c:plotArea>
    <c:plotVisOnly val="1"/>
    <c:dispBlanksAs val="gap"/>
    <c:showDLblsOverMax val="0"/>
  </c:chart>
  <c:spPr>
    <a:ln>
      <a:noFill/>
    </a:ln>
  </c:spPr>
  <c:txPr>
    <a:bodyPr horzOverflow="overflow" anchor="ctr" anchorCtr="1"/>
    <a:lstStyle/>
    <a:p>
      <a:pPr algn="ctr" rtl="0">
        <a:defRPr lang="ja-JP" altLang="en-US" sz="1000">
          <a:solidFill>
            <a:schemeClr val="tx1"/>
          </a:solidFill>
          <a:latin typeface="ＭＳ Ｐ明朝"/>
          <a:ea typeface="ＭＳ Ｐ明朝"/>
        </a:defRPr>
      </a:pPr>
      <a:endParaRPr lang="ja-JP" altLang="en-US">
        <a:latin typeface="ＭＳ Ｐ明朝"/>
        <a:ea typeface="ＭＳ Ｐ明朝"/>
      </a:endParaRPr>
    </a:p>
  </c:txPr>
  <c:printSettings>
    <c:pageMargins l="0.7" r="0.7" t="0.75" b="0.75" header="0.3" footer="0.3"/>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2.xml.rels><?xml version="1.0" encoding="UTF-8"?><Relationships xmlns="http://schemas.openxmlformats.org/package/2006/relationships"><Relationship Id="rId1" Type="http://schemas.openxmlformats.org/officeDocument/2006/relationships/chart" Target="../charts/chart2.xml" /></Relationships>
</file>

<file path=xl/drawings/_rels/drawing3.xml.rels><?xml version="1.0" encoding="UTF-8"?><Relationships xmlns="http://schemas.openxmlformats.org/package/2006/relationships"><Relationship Id="rId1" Type="http://schemas.openxmlformats.org/officeDocument/2006/relationships/chart" Target="../charts/chart3.xml" /></Relationships>
</file>

<file path=xl/drawings/_rels/drawing4.xml.rels><?xml version="1.0" encoding="UTF-8"?><Relationships xmlns="http://schemas.openxmlformats.org/package/2006/relationships"><Relationship Id="rId1" Type="http://schemas.openxmlformats.org/officeDocument/2006/relationships/chart" Target="../charts/chart4.xml" /></Relationships>
</file>

<file path=xl/drawings/_rels/drawing5.xml.rels><?xml version="1.0" encoding="UTF-8"?><Relationships xmlns="http://schemas.openxmlformats.org/package/2006/relationships"><Relationship Id="rId1" Type="http://schemas.openxmlformats.org/officeDocument/2006/relationships/chart" Target="../charts/chart5.xml" /></Relationships>
</file>

<file path=xl/drawings/_rels/drawing7.xml.rels><?xml version="1.0" encoding="UTF-8"?><Relationships xmlns="http://schemas.openxmlformats.org/package/2006/relationships"><Relationship Id="rId1" Type="http://schemas.openxmlformats.org/officeDocument/2006/relationships/chart" Target="../charts/chart6.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125095</xdr:colOff>
      <xdr:row>1</xdr:row>
      <xdr:rowOff>143510</xdr:rowOff>
    </xdr:from>
    <xdr:to xmlns:xdr="http://schemas.openxmlformats.org/drawingml/2006/spreadsheetDrawing">
      <xdr:col>8</xdr:col>
      <xdr:colOff>617855</xdr:colOff>
      <xdr:row>27</xdr:row>
      <xdr:rowOff>5080</xdr:rowOff>
    </xdr:to>
    <xdr:grpSp>
      <xdr:nvGrpSpPr>
        <xdr:cNvPr id="46" name="グループ 30"/>
        <xdr:cNvGrpSpPr/>
      </xdr:nvGrpSpPr>
      <xdr:grpSpPr>
        <a:xfrm>
          <a:off x="125095" y="314960"/>
          <a:ext cx="5979160" cy="4319270"/>
          <a:chOff x="125361" y="314661"/>
          <a:chExt cx="5979130" cy="4319868"/>
        </a:xfrm>
      </xdr:grpSpPr>
      <xdr:graphicFrame macro="">
        <xdr:nvGraphicFramePr>
          <xdr:cNvPr id="4" name="グラフ 2"/>
          <xdr:cNvGraphicFramePr/>
        </xdr:nvGraphicFramePr>
        <xdr:xfrm>
          <a:off x="125361" y="314661"/>
          <a:ext cx="5979130" cy="4319868"/>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5" name="グループ 29"/>
          <xdr:cNvGrpSpPr/>
        </xdr:nvGrpSpPr>
        <xdr:grpSpPr>
          <a:xfrm>
            <a:off x="2104997" y="1038113"/>
            <a:ext cx="3992791" cy="2542839"/>
            <a:chOff x="2104997" y="1038113"/>
            <a:chExt cx="3992791" cy="2542839"/>
          </a:xfrm>
        </xdr:grpSpPr>
        <xdr:grpSp>
          <xdr:nvGrpSpPr>
            <xdr:cNvPr id="43" name="グループ 27"/>
            <xdr:cNvGrpSpPr/>
          </xdr:nvGrpSpPr>
          <xdr:grpSpPr>
            <a:xfrm>
              <a:off x="2772026" y="1038113"/>
              <a:ext cx="2190136" cy="2542839"/>
              <a:chOff x="2772026" y="1038113"/>
              <a:chExt cx="2190136" cy="2542839"/>
            </a:xfrm>
          </xdr:grpSpPr>
          <xdr:cxnSp macro="">
            <xdr:nvCxnSpPr>
              <xdr:cNvPr id="15" name="直線矢印コネクタ 18"/>
              <xdr:cNvCxnSpPr>
                <a:stCxn id="14" idx="2"/>
              </xdr:cNvCxnSpPr>
            </xdr:nvCxnSpPr>
            <xdr:spPr>
              <a:xfrm>
                <a:off x="3238612" y="2524685"/>
                <a:ext cx="1723550" cy="1056267"/>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7"/>
              <xdr:cNvSpPr txBox="1"/>
            </xdr:nvSpPr>
            <xdr:spPr>
              <a:xfrm>
                <a:off x="2772026" y="2238263"/>
                <a:ext cx="926467" cy="288439"/>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ＭＳ Ｐ明朝"/>
                    <a:ea typeface="ＭＳ Ｐ明朝"/>
                  </a:rPr>
                  <a:t>自市町村内</a:t>
                </a:r>
                <a:endParaRPr>
                  <a:latin typeface="ＭＳ Ｐ明朝"/>
                  <a:ea typeface="ＭＳ Ｐ明朝"/>
                </a:endParaRPr>
              </a:p>
            </xdr:txBody>
          </xdr:sp>
          <xdr:cxnSp macro="">
            <xdr:nvCxnSpPr>
              <xdr:cNvPr id="16" name="直線矢印コネクタ 19"/>
              <xdr:cNvCxnSpPr/>
            </xdr:nvCxnSpPr>
            <xdr:spPr>
              <a:xfrm flipV="1">
                <a:off x="3225874" y="1038113"/>
                <a:ext cx="1698747" cy="1200150"/>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grpSp>
          <xdr:nvGrpSpPr>
            <xdr:cNvPr id="44" name="グループ 28"/>
            <xdr:cNvGrpSpPr/>
          </xdr:nvGrpSpPr>
          <xdr:grpSpPr>
            <a:xfrm>
              <a:off x="2104997" y="1448921"/>
              <a:ext cx="714626" cy="1692312"/>
              <a:chOff x="2104997" y="1448921"/>
              <a:chExt cx="714626" cy="1692312"/>
            </a:xfrm>
          </xdr:grpSpPr>
          <xdr:cxnSp macro="">
            <xdr:nvCxnSpPr>
              <xdr:cNvPr id="10" name="直線矢印コネクタ 21"/>
              <xdr:cNvCxnSpPr>
                <a:stCxn id="9" idx="0"/>
              </xdr:cNvCxnSpPr>
            </xdr:nvCxnSpPr>
            <xdr:spPr>
              <a:xfrm flipV="1">
                <a:off x="2410021" y="1448921"/>
                <a:ext cx="380776" cy="779929"/>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22"/>
              <xdr:cNvCxnSpPr>
                <a:stCxn id="9" idx="2"/>
              </xdr:cNvCxnSpPr>
            </xdr:nvCxnSpPr>
            <xdr:spPr>
              <a:xfrm>
                <a:off x="2410021" y="2514600"/>
                <a:ext cx="409602" cy="626633"/>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20"/>
              <xdr:cNvSpPr txBox="1"/>
            </xdr:nvSpPr>
            <xdr:spPr>
              <a:xfrm>
                <a:off x="2104997" y="2230195"/>
                <a:ext cx="612058" cy="288439"/>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ＭＳ Ｐ明朝"/>
                    <a:ea typeface="ＭＳ Ｐ明朝"/>
                  </a:rPr>
                  <a:t>現住所</a:t>
                </a:r>
                <a:endParaRPr>
                  <a:latin typeface="ＭＳ Ｐ明朝"/>
                  <a:ea typeface="ＭＳ Ｐ明朝"/>
                </a:endParaRPr>
              </a:p>
            </xdr:txBody>
          </xdr:sp>
        </xdr:grpSp>
        <xdr:grpSp>
          <xdr:nvGrpSpPr>
            <xdr:cNvPr id="42" name="グループ 26"/>
            <xdr:cNvGrpSpPr/>
          </xdr:nvGrpSpPr>
          <xdr:grpSpPr>
            <a:xfrm>
              <a:off x="3780950" y="1333276"/>
              <a:ext cx="1380985" cy="1914861"/>
              <a:chOff x="3780950" y="1333276"/>
              <a:chExt cx="1380985" cy="1914861"/>
            </a:xfrm>
          </xdr:grpSpPr>
          <xdr:cxnSp macro="">
            <xdr:nvCxnSpPr>
              <xdr:cNvPr id="20" name="直線矢印コネクタ 15"/>
              <xdr:cNvCxnSpPr>
                <a:stCxn id="19" idx="0"/>
              </xdr:cNvCxnSpPr>
            </xdr:nvCxnSpPr>
            <xdr:spPr>
              <a:xfrm flipV="1">
                <a:off x="4343400" y="1333276"/>
                <a:ext cx="818535" cy="915072"/>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16"/>
              <xdr:cNvCxnSpPr>
                <a:stCxn id="19" idx="2"/>
              </xdr:cNvCxnSpPr>
            </xdr:nvCxnSpPr>
            <xdr:spPr>
              <a:xfrm>
                <a:off x="4343400" y="2534098"/>
                <a:ext cx="752168" cy="714039"/>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14"/>
              <xdr:cNvSpPr txBox="1"/>
            </xdr:nvSpPr>
            <xdr:spPr>
              <a:xfrm>
                <a:off x="3780950" y="2247676"/>
                <a:ext cx="1118196" cy="288439"/>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ＭＳ Ｐ明朝"/>
                    <a:ea typeface="ＭＳ Ｐ明朝"/>
                  </a:rPr>
                  <a:t>県内他市町村</a:t>
                </a:r>
                <a:endParaRPr>
                  <a:latin typeface="ＭＳ Ｐ明朝"/>
                  <a:ea typeface="ＭＳ Ｐ明朝"/>
                </a:endParaRPr>
              </a:p>
            </xdr:txBody>
          </xdr:sp>
        </xdr:grpSp>
        <xdr:grpSp>
          <xdr:nvGrpSpPr>
            <xdr:cNvPr id="35" name="グループ 27"/>
            <xdr:cNvGrpSpPr/>
          </xdr:nvGrpSpPr>
          <xdr:grpSpPr>
            <a:xfrm>
              <a:off x="4982273" y="1686261"/>
              <a:ext cx="503457" cy="1247887"/>
              <a:chOff x="4982273" y="1686261"/>
              <a:chExt cx="503457" cy="1247887"/>
            </a:xfrm>
          </xdr:grpSpPr>
          <xdr:cxnSp macro="">
            <xdr:nvCxnSpPr>
              <xdr:cNvPr id="25" name="直線矢印コネクタ 12"/>
              <xdr:cNvCxnSpPr>
                <a:stCxn id="24" idx="0"/>
              </xdr:cNvCxnSpPr>
            </xdr:nvCxnSpPr>
            <xdr:spPr>
              <a:xfrm flipV="1">
                <a:off x="5233666" y="1686261"/>
                <a:ext cx="138769" cy="562087"/>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6" name="直線矢印コネクタ 13"/>
              <xdr:cNvCxnSpPr>
                <a:stCxn id="24" idx="2"/>
              </xdr:cNvCxnSpPr>
            </xdr:nvCxnSpPr>
            <xdr:spPr>
              <a:xfrm>
                <a:off x="5233666" y="2464174"/>
                <a:ext cx="166925" cy="469974"/>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4" name="テキスト ボックス 11"/>
              <xdr:cNvSpPr txBox="1"/>
            </xdr:nvSpPr>
            <xdr:spPr>
              <a:xfrm>
                <a:off x="4982273" y="2248348"/>
                <a:ext cx="503457" cy="28844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ＭＳ Ｐ明朝"/>
                    <a:ea typeface="ＭＳ Ｐ明朝"/>
                  </a:rPr>
                  <a:t>他県</a:t>
                </a:r>
                <a:endParaRPr>
                  <a:latin typeface="ＭＳ Ｐ明朝"/>
                  <a:ea typeface="ＭＳ Ｐ明朝"/>
                </a:endParaRPr>
              </a:p>
            </xdr:txBody>
          </xdr:sp>
        </xdr:grpSp>
        <xdr:grpSp>
          <xdr:nvGrpSpPr>
            <xdr:cNvPr id="36" name="グループ 28"/>
            <xdr:cNvGrpSpPr/>
          </xdr:nvGrpSpPr>
          <xdr:grpSpPr>
            <a:xfrm>
              <a:off x="5593661" y="1543050"/>
              <a:ext cx="504127" cy="1590115"/>
              <a:chOff x="5553438" y="1553135"/>
              <a:chExt cx="504127" cy="1590115"/>
            </a:xfrm>
          </xdr:grpSpPr>
          <xdr:cxnSp macro="">
            <xdr:nvCxnSpPr>
              <xdr:cNvPr id="30" name="直線矢印コネクタ 9"/>
              <xdr:cNvCxnSpPr/>
            </xdr:nvCxnSpPr>
            <xdr:spPr>
              <a:xfrm flipH="1" flipV="1">
                <a:off x="5705615" y="1553135"/>
                <a:ext cx="114635" cy="704626"/>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10"/>
              <xdr:cNvCxnSpPr>
                <a:stCxn id="29" idx="2"/>
              </xdr:cNvCxnSpPr>
            </xdr:nvCxnSpPr>
            <xdr:spPr>
              <a:xfrm flipH="1">
                <a:off x="5725056" y="2464174"/>
                <a:ext cx="80445" cy="679076"/>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9" name="テキスト ボックス 8"/>
              <xdr:cNvSpPr txBox="1"/>
            </xdr:nvSpPr>
            <xdr:spPr>
              <a:xfrm>
                <a:off x="5553438" y="2248348"/>
                <a:ext cx="504127" cy="28844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ＭＳ Ｐ明朝"/>
                    <a:ea typeface="ＭＳ Ｐ明朝"/>
                  </a:rPr>
                  <a:t>国外</a:t>
                </a:r>
                <a:endParaRPr>
                  <a:latin typeface="ＭＳ Ｐ明朝"/>
                  <a:ea typeface="ＭＳ Ｐ明朝"/>
                </a:endParaRPr>
              </a:p>
            </xdr:txBody>
          </xdr: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46990</xdr:colOff>
      <xdr:row>3</xdr:row>
      <xdr:rowOff>57150</xdr:rowOff>
    </xdr:from>
    <xdr:to xmlns:xdr="http://schemas.openxmlformats.org/drawingml/2006/spreadsheetDrawing">
      <xdr:col>9</xdr:col>
      <xdr:colOff>96520</xdr:colOff>
      <xdr:row>30</xdr:row>
      <xdr:rowOff>107315</xdr:rowOff>
    </xdr:to>
    <xdr:grpSp>
      <xdr:nvGrpSpPr>
        <xdr:cNvPr id="46" name="グループ 29"/>
        <xdr:cNvGrpSpPr/>
      </xdr:nvGrpSpPr>
      <xdr:grpSpPr>
        <a:xfrm>
          <a:off x="46990" y="571500"/>
          <a:ext cx="6221730" cy="4679315"/>
          <a:chOff x="46927" y="571500"/>
          <a:chExt cx="6221808" cy="4679576"/>
        </a:xfrm>
      </xdr:grpSpPr>
      <xdr:graphicFrame macro="">
        <xdr:nvGraphicFramePr>
          <xdr:cNvPr id="2" name="グラフ 12"/>
          <xdr:cNvGraphicFramePr/>
        </xdr:nvGraphicFramePr>
        <xdr:xfrm>
          <a:off x="46927" y="571500"/>
          <a:ext cx="6120580" cy="4679576"/>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5" name="グループ 28"/>
          <xdr:cNvGrpSpPr/>
        </xdr:nvGrpSpPr>
        <xdr:grpSpPr>
          <a:xfrm>
            <a:off x="1010935" y="939949"/>
            <a:ext cx="5257800" cy="4110094"/>
            <a:chOff x="1010935" y="939949"/>
            <a:chExt cx="5257800" cy="4110094"/>
          </a:xfrm>
        </xdr:grpSpPr>
        <xdr:grpSp>
          <xdr:nvGrpSpPr>
            <xdr:cNvPr id="33" name="グループ 16"/>
            <xdr:cNvGrpSpPr/>
          </xdr:nvGrpSpPr>
          <xdr:grpSpPr>
            <a:xfrm>
              <a:off x="2490466" y="1231751"/>
              <a:ext cx="563791" cy="728830"/>
              <a:chOff x="2490466" y="1231751"/>
              <a:chExt cx="563791" cy="728830"/>
            </a:xfrm>
          </xdr:grpSpPr>
          <xdr:sp macro="" textlink="">
            <xdr:nvSpPr>
              <xdr:cNvPr id="5" name="テキスト ボックス 7"/>
              <xdr:cNvSpPr txBox="1"/>
            </xdr:nvSpPr>
            <xdr:spPr>
              <a:xfrm>
                <a:off x="2694262" y="1231751"/>
                <a:ext cx="359995" cy="4686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eaVert" wrap="square" rtlCol="0" anchor="ctr"/>
              <a:lstStyle/>
              <a:p>
                <a:pPr algn="ctr"/>
                <a:r>
                  <a:rPr kumimoji="1" lang="ja-JP" altLang="en-US" sz="1100">
                    <a:latin typeface="ＭＳ Ｐ明朝"/>
                    <a:ea typeface="ＭＳ Ｐ明朝"/>
                  </a:rPr>
                  <a:t>他県</a:t>
                </a:r>
                <a:endParaRPr>
                  <a:latin typeface="ＭＳ Ｐ明朝"/>
                  <a:ea typeface="ＭＳ Ｐ明朝"/>
                </a:endParaRPr>
              </a:p>
            </xdr:txBody>
          </xdr:sp>
          <xdr:cxnSp macro="">
            <xdr:nvCxnSpPr>
              <xdr:cNvPr id="6" name="直線矢印コネクタ 10"/>
              <xdr:cNvCxnSpPr/>
            </xdr:nvCxnSpPr>
            <xdr:spPr>
              <a:xfrm flipH="1">
                <a:off x="2490466" y="1647937"/>
                <a:ext cx="311057" cy="312644"/>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grpSp>
          <xdr:nvGrpSpPr>
            <xdr:cNvPr id="40" name="グループ 23"/>
            <xdr:cNvGrpSpPr/>
          </xdr:nvGrpSpPr>
          <xdr:grpSpPr>
            <a:xfrm>
              <a:off x="5542042" y="3200400"/>
              <a:ext cx="726693" cy="813547"/>
              <a:chOff x="5542042" y="3200400"/>
              <a:chExt cx="726693" cy="813547"/>
            </a:xfrm>
          </xdr:grpSpPr>
          <xdr:sp macro="" textlink="">
            <xdr:nvSpPr>
              <xdr:cNvPr id="9" name="テキスト ボックス 8"/>
              <xdr:cNvSpPr txBox="1"/>
            </xdr:nvSpPr>
            <xdr:spPr>
              <a:xfrm>
                <a:off x="5645951" y="3293185"/>
                <a:ext cx="622784" cy="720762"/>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eaVert" wrap="square" rtlCol="0" anchor="ctr"/>
              <a:lstStyle/>
              <a:p>
                <a:pPr algn="ctr"/>
                <a:r>
                  <a:rPr kumimoji="1" lang="ja-JP" altLang="en-US" sz="1100">
                    <a:latin typeface="ＭＳ Ｐ明朝"/>
                    <a:ea typeface="ＭＳ Ｐ明朝"/>
                  </a:rPr>
                  <a:t>県内</a:t>
                </a:r>
                <a:endParaRPr>
                  <a:latin typeface="ＭＳ Ｐ明朝"/>
                  <a:ea typeface="ＭＳ Ｐ明朝"/>
                </a:endParaRPr>
              </a:p>
              <a:p>
                <a:pPr algn="ctr"/>
                <a:r>
                  <a:rPr kumimoji="1" lang="ja-JP" altLang="en-US" sz="1100">
                    <a:latin typeface="ＭＳ Ｐ明朝"/>
                    <a:ea typeface="ＭＳ Ｐ明朝"/>
                  </a:rPr>
                  <a:t>他市町村</a:t>
                </a:r>
                <a:endParaRPr>
                  <a:latin typeface="ＭＳ Ｐ明朝"/>
                  <a:ea typeface="ＭＳ Ｐ明朝"/>
                </a:endParaRPr>
              </a:p>
            </xdr:txBody>
          </xdr:sp>
          <xdr:cxnSp macro="">
            <xdr:nvCxnSpPr>
              <xdr:cNvPr id="10" name="直線矢印コネクタ 11"/>
              <xdr:cNvCxnSpPr>
                <a:stCxn id="9" idx="0"/>
              </xdr:cNvCxnSpPr>
            </xdr:nvCxnSpPr>
            <xdr:spPr>
              <a:xfrm flipH="1" flipV="1">
                <a:off x="5542042" y="3200400"/>
                <a:ext cx="412954" cy="88751"/>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grpSp>
          <xdr:nvGrpSpPr>
            <xdr:cNvPr id="41" name="グループ 24"/>
            <xdr:cNvGrpSpPr/>
          </xdr:nvGrpSpPr>
          <xdr:grpSpPr>
            <a:xfrm>
              <a:off x="5558801" y="3917801"/>
              <a:ext cx="524909" cy="1132242"/>
              <a:chOff x="5558801" y="3917801"/>
              <a:chExt cx="524909" cy="1132242"/>
            </a:xfrm>
          </xdr:grpSpPr>
          <xdr:sp macro="" textlink="">
            <xdr:nvSpPr>
              <xdr:cNvPr id="13" name="テキスト ボックス 9"/>
              <xdr:cNvSpPr txBox="1"/>
            </xdr:nvSpPr>
            <xdr:spPr>
              <a:xfrm>
                <a:off x="5737123" y="4176656"/>
                <a:ext cx="346587" cy="873387"/>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eaVert" wrap="square" rtlCol="0" anchor="ctr"/>
              <a:lstStyle/>
              <a:p>
                <a:pPr algn="ctr"/>
                <a:r>
                  <a:rPr kumimoji="1" lang="ja-JP" altLang="en-US" sz="1100">
                    <a:latin typeface="ＭＳ Ｐ明朝"/>
                    <a:ea typeface="ＭＳ Ｐ明朝"/>
                  </a:rPr>
                  <a:t>自市町村内</a:t>
                </a:r>
                <a:endParaRPr>
                  <a:latin typeface="ＭＳ Ｐ明朝"/>
                  <a:ea typeface="ＭＳ Ｐ明朝"/>
                </a:endParaRPr>
              </a:p>
            </xdr:txBody>
          </xdr:sp>
          <xdr:cxnSp macro="">
            <xdr:nvCxnSpPr>
              <xdr:cNvPr id="14" name="直線矢印コネクタ 12"/>
              <xdr:cNvCxnSpPr/>
            </xdr:nvCxnSpPr>
            <xdr:spPr>
              <a:xfrm flipH="1" flipV="1">
                <a:off x="5558801" y="3917801"/>
                <a:ext cx="322454" cy="250115"/>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grpSp>
          <xdr:nvGrpSpPr>
            <xdr:cNvPr id="44" name="グループ 27"/>
            <xdr:cNvGrpSpPr/>
          </xdr:nvGrpSpPr>
          <xdr:grpSpPr>
            <a:xfrm>
              <a:off x="1010935" y="939949"/>
              <a:ext cx="750156" cy="580913"/>
              <a:chOff x="1010935" y="939949"/>
              <a:chExt cx="750156" cy="580913"/>
            </a:xfrm>
          </xdr:grpSpPr>
          <xdr:sp macro="" textlink="">
            <xdr:nvSpPr>
              <xdr:cNvPr id="17" name="テキスト ボックス 5"/>
              <xdr:cNvSpPr txBox="1"/>
            </xdr:nvSpPr>
            <xdr:spPr>
              <a:xfrm>
                <a:off x="1010935" y="939949"/>
                <a:ext cx="276197" cy="580913"/>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ＭＳ Ｐ明朝"/>
                    <a:ea typeface="ＭＳ Ｐ明朝"/>
                  </a:rPr>
                  <a:t>国外</a:t>
                </a:r>
                <a:endParaRPr>
                  <a:latin typeface="ＭＳ Ｐ明朝"/>
                  <a:ea typeface="ＭＳ Ｐ明朝"/>
                </a:endParaRPr>
              </a:p>
            </xdr:txBody>
          </xdr:sp>
          <xdr:cxnSp macro="">
            <xdr:nvCxnSpPr>
              <xdr:cNvPr id="18" name="直線矢印コネクタ 6"/>
              <xdr:cNvCxnSpPr/>
            </xdr:nvCxnSpPr>
            <xdr:spPr>
              <a:xfrm>
                <a:off x="1294506" y="1229734"/>
                <a:ext cx="466585" cy="219187"/>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38100</xdr:colOff>
      <xdr:row>1</xdr:row>
      <xdr:rowOff>38100</xdr:rowOff>
    </xdr:from>
    <xdr:to xmlns:xdr="http://schemas.openxmlformats.org/drawingml/2006/spreadsheetDrawing">
      <xdr:col>8</xdr:col>
      <xdr:colOff>311785</xdr:colOff>
      <xdr:row>26</xdr:row>
      <xdr:rowOff>71755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2</xdr:row>
      <xdr:rowOff>57150</xdr:rowOff>
    </xdr:from>
    <xdr:to xmlns:xdr="http://schemas.openxmlformats.org/drawingml/2006/spreadsheetDrawing">
      <xdr:col>8</xdr:col>
      <xdr:colOff>435610</xdr:colOff>
      <xdr:row>27</xdr:row>
      <xdr:rowOff>90805</xdr:rowOff>
    </xdr:to>
    <xdr:grpSp>
      <xdr:nvGrpSpPr>
        <xdr:cNvPr id="18" name="グループ 16"/>
        <xdr:cNvGrpSpPr/>
      </xdr:nvGrpSpPr>
      <xdr:grpSpPr>
        <a:xfrm>
          <a:off x="161925" y="400050"/>
          <a:ext cx="5760085" cy="4319905"/>
          <a:chOff x="162232" y="400050"/>
          <a:chExt cx="5759916" cy="4319868"/>
        </a:xfrm>
      </xdr:grpSpPr>
      <xdr:graphicFrame macro="">
        <xdr:nvGraphicFramePr>
          <xdr:cNvPr id="2" name="グラフ 2"/>
          <xdr:cNvGraphicFramePr/>
        </xdr:nvGraphicFramePr>
        <xdr:xfrm>
          <a:off x="162232" y="400050"/>
          <a:ext cx="5759916" cy="4319868"/>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 name="グループ化 3"/>
          <xdr:cNvGrpSpPr/>
        </xdr:nvGrpSpPr>
        <xdr:grpSpPr>
          <a:xfrm>
            <a:off x="571835" y="400050"/>
            <a:ext cx="4533118" cy="933226"/>
            <a:chOff x="619125" y="76200"/>
            <a:chExt cx="4533225" cy="933450"/>
          </a:xfrm>
        </xdr:grpSpPr>
        <xdr:sp macro="" textlink="">
          <xdr:nvSpPr>
            <xdr:cNvPr id="5" name="テキスト ボックス 4"/>
            <xdr:cNvSpPr txBox="1"/>
          </xdr:nvSpPr>
          <xdr:spPr>
            <a:xfrm>
              <a:off x="619125" y="190499"/>
              <a:ext cx="720000" cy="216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000">
                  <a:latin typeface="ＭＳ Ｐ明朝"/>
                  <a:ea typeface="ＭＳ Ｐ明朝"/>
                </a:rPr>
                <a:t>出生時</a:t>
              </a:r>
              <a:endParaRPr>
                <a:latin typeface="ＭＳ Ｐ明朝"/>
                <a:ea typeface="ＭＳ Ｐ明朝"/>
              </a:endParaRPr>
            </a:p>
          </xdr:txBody>
        </xdr:sp>
        <xdr:sp macro="" textlink="">
          <xdr:nvSpPr>
            <xdr:cNvPr id="6" name="テキスト ボックス 5"/>
            <xdr:cNvSpPr txBox="1"/>
          </xdr:nvSpPr>
          <xdr:spPr>
            <a:xfrm>
              <a:off x="2667000" y="76200"/>
              <a:ext cx="756000" cy="468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000">
                  <a:latin typeface="ＭＳ Ｐ明朝"/>
                  <a:ea typeface="ＭＳ Ｐ明朝"/>
                </a:rPr>
                <a:t>5</a:t>
              </a:r>
              <a:r>
                <a:rPr kumimoji="1" lang="ja-JP" altLang="en-US" sz="1000">
                  <a:latin typeface="ＭＳ Ｐ明朝"/>
                  <a:ea typeface="ＭＳ Ｐ明朝"/>
                </a:rPr>
                <a:t>年以上</a:t>
              </a:r>
              <a:r>
                <a:rPr kumimoji="1" lang="en-US" altLang="ja-JP" sz="1000">
                  <a:latin typeface="ＭＳ Ｐ明朝"/>
                  <a:ea typeface="ＭＳ Ｐ明朝"/>
                </a:rPr>
                <a:t>10</a:t>
              </a:r>
              <a:r>
                <a:rPr kumimoji="1" lang="ja-JP" altLang="en-US" sz="1000">
                  <a:latin typeface="ＭＳ Ｐ明朝"/>
                  <a:ea typeface="ＭＳ Ｐ明朝"/>
                </a:rPr>
                <a:t>年未満</a:t>
              </a:r>
              <a:endParaRPr>
                <a:latin typeface="ＭＳ Ｐ明朝"/>
                <a:ea typeface="ＭＳ Ｐ明朝"/>
              </a:endParaRPr>
            </a:p>
          </xdr:txBody>
        </xdr:sp>
        <xdr:sp macro="" textlink="">
          <xdr:nvSpPr>
            <xdr:cNvPr id="7" name="テキスト ボックス 6"/>
            <xdr:cNvSpPr txBox="1"/>
          </xdr:nvSpPr>
          <xdr:spPr>
            <a:xfrm>
              <a:off x="2000250" y="85725"/>
              <a:ext cx="647700" cy="468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000">
                  <a:latin typeface="ＭＳ Ｐ明朝"/>
                  <a:ea typeface="ＭＳ Ｐ明朝"/>
                </a:rPr>
                <a:t>1</a:t>
              </a:r>
              <a:r>
                <a:rPr kumimoji="1" lang="ja-JP" altLang="en-US" sz="1000">
                  <a:latin typeface="ＭＳ Ｐ明朝"/>
                  <a:ea typeface="ＭＳ Ｐ明朝"/>
                </a:rPr>
                <a:t>年以上</a:t>
              </a:r>
              <a:r>
                <a:rPr kumimoji="1" lang="en-US" altLang="ja-JP" sz="1000">
                  <a:latin typeface="ＭＳ Ｐ明朝"/>
                  <a:ea typeface="ＭＳ Ｐ明朝"/>
                </a:rPr>
                <a:t>5</a:t>
              </a:r>
              <a:r>
                <a:rPr kumimoji="1" lang="ja-JP" altLang="en-US" sz="1000">
                  <a:latin typeface="ＭＳ Ｐ明朝"/>
                  <a:ea typeface="ＭＳ Ｐ明朝"/>
                </a:rPr>
                <a:t>年未満</a:t>
              </a:r>
              <a:endParaRPr>
                <a:latin typeface="ＭＳ Ｐ明朝"/>
                <a:ea typeface="ＭＳ Ｐ明朝"/>
              </a:endParaRPr>
            </a:p>
          </xdr:txBody>
        </xdr:sp>
        <xdr:sp macro="" textlink="">
          <xdr:nvSpPr>
            <xdr:cNvPr id="8" name="テキスト ボックス 7"/>
            <xdr:cNvSpPr txBox="1"/>
          </xdr:nvSpPr>
          <xdr:spPr>
            <a:xfrm>
              <a:off x="1314450" y="285750"/>
              <a:ext cx="720000" cy="216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000">
                  <a:latin typeface="ＭＳ Ｐ明朝"/>
                  <a:ea typeface="ＭＳ Ｐ明朝"/>
                </a:rPr>
                <a:t>1</a:t>
              </a:r>
              <a:r>
                <a:rPr kumimoji="1" lang="ja-JP" altLang="en-US" sz="1000">
                  <a:latin typeface="ＭＳ Ｐ明朝"/>
                  <a:ea typeface="ＭＳ Ｐ明朝"/>
                </a:rPr>
                <a:t>年未満</a:t>
              </a:r>
              <a:endParaRPr>
                <a:latin typeface="ＭＳ Ｐ明朝"/>
                <a:ea typeface="ＭＳ Ｐ明朝"/>
              </a:endParaRPr>
            </a:p>
          </xdr:txBody>
        </xdr:sp>
        <xdr:sp macro="" textlink="">
          <xdr:nvSpPr>
            <xdr:cNvPr id="9" name="テキスト ボックス 8"/>
            <xdr:cNvSpPr txBox="1"/>
          </xdr:nvSpPr>
          <xdr:spPr>
            <a:xfrm>
              <a:off x="4324350" y="228600"/>
              <a:ext cx="828000" cy="216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000">
                  <a:latin typeface="ＭＳ Ｐ明朝"/>
                  <a:ea typeface="ＭＳ Ｐ明朝"/>
                </a:rPr>
                <a:t>20</a:t>
              </a:r>
              <a:r>
                <a:rPr kumimoji="1" lang="ja-JP" altLang="en-US" sz="1000">
                  <a:latin typeface="ＭＳ Ｐ明朝"/>
                  <a:ea typeface="ＭＳ Ｐ明朝"/>
                </a:rPr>
                <a:t>年以上</a:t>
              </a:r>
              <a:endParaRPr>
                <a:latin typeface="ＭＳ Ｐ明朝"/>
                <a:ea typeface="ＭＳ Ｐ明朝"/>
              </a:endParaRPr>
            </a:p>
          </xdr:txBody>
        </xdr:sp>
        <xdr:sp macro="" textlink="">
          <xdr:nvSpPr>
            <xdr:cNvPr id="10" name="テキスト ボックス 9"/>
            <xdr:cNvSpPr txBox="1"/>
          </xdr:nvSpPr>
          <xdr:spPr>
            <a:xfrm>
              <a:off x="3409950" y="95250"/>
              <a:ext cx="733425" cy="468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000">
                  <a:latin typeface="ＭＳ Ｐ明朝"/>
                  <a:ea typeface="ＭＳ Ｐ明朝"/>
                </a:rPr>
                <a:t>10</a:t>
              </a:r>
              <a:r>
                <a:rPr kumimoji="1" lang="ja-JP" altLang="en-US" sz="1000">
                  <a:latin typeface="ＭＳ Ｐ明朝"/>
                  <a:ea typeface="ＭＳ Ｐ明朝"/>
                </a:rPr>
                <a:t>年以上</a:t>
              </a:r>
              <a:r>
                <a:rPr kumimoji="1" lang="en-US" altLang="ja-JP" sz="1000">
                  <a:latin typeface="ＭＳ Ｐ明朝"/>
                  <a:ea typeface="ＭＳ Ｐ明朝"/>
                </a:rPr>
                <a:t>20</a:t>
              </a:r>
              <a:r>
                <a:rPr kumimoji="1" lang="ja-JP" altLang="en-US" sz="1000">
                  <a:latin typeface="ＭＳ Ｐ明朝"/>
                  <a:ea typeface="ＭＳ Ｐ明朝"/>
                </a:rPr>
                <a:t>年未満</a:t>
              </a:r>
              <a:endParaRPr>
                <a:latin typeface="ＭＳ Ｐ明朝"/>
                <a:ea typeface="ＭＳ Ｐ明朝"/>
              </a:endParaRPr>
            </a:p>
          </xdr:txBody>
        </xdr:sp>
        <xdr:cxnSp macro="">
          <xdr:nvCxnSpPr>
            <xdr:cNvPr id="11" name="直線矢印コネクタ 10"/>
            <xdr:cNvCxnSpPr/>
          </xdr:nvCxnSpPr>
          <xdr:spPr>
            <a:xfrm>
              <a:off x="942975" y="409575"/>
              <a:ext cx="400050" cy="600075"/>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a:stCxn id="8" idx="2"/>
            </xdr:cNvCxnSpPr>
          </xdr:nvCxnSpPr>
          <xdr:spPr>
            <a:xfrm>
              <a:off x="1674450" y="501750"/>
              <a:ext cx="363900" cy="507900"/>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xdr:cNvCxnSpPr>
              <a:stCxn id="7" idx="2"/>
            </xdr:cNvCxnSpPr>
          </xdr:nvCxnSpPr>
          <xdr:spPr>
            <a:xfrm>
              <a:off x="2324100" y="553725"/>
              <a:ext cx="95250" cy="446400"/>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xdr:cNvCxnSpPr>
              <a:stCxn id="6" idx="2"/>
            </xdr:cNvCxnSpPr>
          </xdr:nvCxnSpPr>
          <xdr:spPr>
            <a:xfrm flipH="1">
              <a:off x="2933700" y="544200"/>
              <a:ext cx="111300" cy="417825"/>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xdr:cNvCxnSpPr>
              <a:stCxn id="10" idx="2"/>
            </xdr:cNvCxnSpPr>
          </xdr:nvCxnSpPr>
          <xdr:spPr>
            <a:xfrm flipH="1">
              <a:off x="3467101" y="563250"/>
              <a:ext cx="309562" cy="417825"/>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xdr:cNvCxnSpPr>
              <a:stCxn id="9" idx="2"/>
            </xdr:cNvCxnSpPr>
          </xdr:nvCxnSpPr>
          <xdr:spPr>
            <a:xfrm flipH="1">
              <a:off x="4705350" y="444600"/>
              <a:ext cx="33000" cy="555525"/>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114935</xdr:colOff>
      <xdr:row>1</xdr:row>
      <xdr:rowOff>95250</xdr:rowOff>
    </xdr:from>
    <xdr:to xmlns:xdr="http://schemas.openxmlformats.org/drawingml/2006/spreadsheetDrawing">
      <xdr:col>8</xdr:col>
      <xdr:colOff>387985</xdr:colOff>
      <xdr:row>26</xdr:row>
      <xdr:rowOff>128905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0.223</cdr:x>
      <cdr:y>0.21575</cdr:y>
    </cdr:from>
    <cdr:to>
      <cdr:x>0.29599999999999999</cdr:x>
      <cdr:y>0.29099999999999998</cdr:y>
    </cdr:to>
    <cdr:cxnSp macro="">
      <cdr:nvCxnSpPr>
        <cdr:cNvPr id="2" name="直線矢印コネクタ 2"/>
        <cdr:cNvCxnSpPr/>
      </cdr:nvCxnSpPr>
      <cdr:spPr>
        <a:xfrm xmlns:a="http://schemas.openxmlformats.org/drawingml/2006/main" flipV="1">
          <a:off x="1284357" y="932019"/>
          <a:ext cx="420439" cy="325072"/>
        </a:xfrm>
        <a:prstGeom xmlns:a="http://schemas.openxmlformats.org/drawingml/2006/main" prst="straightConnector1">
          <a:avLst/>
        </a:prstGeom>
        <a:ln xmlns:a="http://schemas.openxmlformats.org/drawingml/2006/main">
          <a:solidFill>
            <a:sysClr val="windowText" lastClr="000000"/>
          </a:solidFill>
          <a:headEnd type="none" w="med" len="med"/>
          <a:tailEnd type="triangl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0.23974999999999999</cdr:x>
      <cdr:y>0.12975</cdr:y>
    </cdr:from>
    <cdr:to>
      <cdr:x>0.29425000000000001</cdr:x>
      <cdr:y>0.14324999999999999</cdr:y>
    </cdr:to>
    <cdr:cxnSp macro="">
      <cdr:nvCxnSpPr>
        <cdr:cNvPr id="3" name="直線矢印コネクタ 4"/>
        <cdr:cNvCxnSpPr/>
      </cdr:nvCxnSpPr>
      <cdr:spPr>
        <a:xfrm xmlns:a="http://schemas.openxmlformats.org/drawingml/2006/main">
          <a:off x="1380828" y="560507"/>
          <a:ext cx="313890" cy="58318"/>
        </a:xfrm>
        <a:prstGeom xmlns:a="http://schemas.openxmlformats.org/drawingml/2006/main" prst="straightConnector1">
          <a:avLst/>
        </a:prstGeom>
        <a:ln xmlns:a="http://schemas.openxmlformats.org/drawingml/2006/main">
          <a:solidFill>
            <a:sysClr val="windowText" lastClr="000000"/>
          </a:solidFill>
          <a:headEnd type="none" w="med" len="med"/>
          <a:tailEnd type="triangl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0.46875</cdr:x>
      <cdr:y>0.34825</cdr:y>
    </cdr:from>
    <cdr:to>
      <cdr:x>0.54574999999999996</cdr:x>
      <cdr:y>0.42099999999999999</cdr:y>
    </cdr:to>
    <cdr:cxnSp macro="">
      <cdr:nvCxnSpPr>
        <cdr:cNvPr id="4" name="直線矢印コネクタ 6"/>
        <cdr:cNvCxnSpPr/>
      </cdr:nvCxnSpPr>
      <cdr:spPr>
        <a:xfrm xmlns:a="http://schemas.openxmlformats.org/drawingml/2006/main" flipH="1">
          <a:off x="2699742" y="1504406"/>
          <a:ext cx="443477" cy="314273"/>
        </a:xfrm>
        <a:prstGeom xmlns:a="http://schemas.openxmlformats.org/drawingml/2006/main" prst="straightConnector1">
          <a:avLst/>
        </a:prstGeom>
        <a:ln xmlns:a="http://schemas.openxmlformats.org/drawingml/2006/main">
          <a:solidFill>
            <a:sysClr val="windowText" lastClr="000000"/>
          </a:solidFill>
          <a:headEnd type="none" w="med" len="med"/>
          <a:tailEnd type="triangl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0.79525000000000001</cdr:x>
      <cdr:y>0.52900000000000003</cdr:y>
    </cdr:from>
    <cdr:to>
      <cdr:x>0.86299999999999999</cdr:x>
      <cdr:y>0.61699999999999999</cdr:y>
    </cdr:to>
    <cdr:cxnSp macro="">
      <cdr:nvCxnSpPr>
        <cdr:cNvPr id="5" name="直線矢印コネクタ 8"/>
        <cdr:cNvCxnSpPr/>
      </cdr:nvCxnSpPr>
      <cdr:spPr>
        <a:xfrm xmlns:a="http://schemas.openxmlformats.org/drawingml/2006/main" flipH="1">
          <a:off x="4580202" y="2285229"/>
          <a:ext cx="390202" cy="380151"/>
        </a:xfrm>
        <a:prstGeom xmlns:a="http://schemas.openxmlformats.org/drawingml/2006/main" prst="straightConnector1">
          <a:avLst/>
        </a:prstGeom>
        <a:ln xmlns:a="http://schemas.openxmlformats.org/drawingml/2006/main">
          <a:solidFill>
            <a:sysClr val="windowText" lastClr="000000"/>
          </a:solidFill>
          <a:headEnd type="none" w="med" len="med"/>
          <a:tailEnd type="triangl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0.35725000000000001</cdr:x>
      <cdr:y>0.13425000000000001</cdr:y>
    </cdr:from>
    <cdr:to>
      <cdr:x>0.39674999999999999</cdr:x>
      <cdr:y>0.16725000000000001</cdr:y>
    </cdr:to>
    <cdr:cxnSp macro="">
      <cdr:nvCxnSpPr>
        <cdr:cNvPr id="6" name="直線矢印コネクタ 10"/>
        <cdr:cNvCxnSpPr/>
      </cdr:nvCxnSpPr>
      <cdr:spPr>
        <a:xfrm xmlns:a="http://schemas.openxmlformats.org/drawingml/2006/main" flipH="1">
          <a:off x="2057563" y="579947"/>
          <a:ext cx="227498" cy="142556"/>
        </a:xfrm>
        <a:prstGeom xmlns:a="http://schemas.openxmlformats.org/drawingml/2006/main" prst="straightConnector1">
          <a:avLst/>
        </a:prstGeom>
        <a:ln xmlns:a="http://schemas.openxmlformats.org/drawingml/2006/main">
          <a:solidFill>
            <a:sysClr val="windowText" lastClr="000000"/>
          </a:solidFill>
          <a:headEnd type="none" w="med" len="med"/>
          <a:tailEnd type="triangl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0</xdr:col>
      <xdr:colOff>139700</xdr:colOff>
      <xdr:row>2</xdr:row>
      <xdr:rowOff>9525</xdr:rowOff>
    </xdr:from>
    <xdr:to xmlns:xdr="http://schemas.openxmlformats.org/drawingml/2006/spreadsheetDrawing">
      <xdr:col>8</xdr:col>
      <xdr:colOff>426085</xdr:colOff>
      <xdr:row>27</xdr:row>
      <xdr:rowOff>43180</xdr:rowOff>
    </xdr:to>
    <xdr:grpSp>
      <xdr:nvGrpSpPr>
        <xdr:cNvPr id="19" name="グループ 12"/>
        <xdr:cNvGrpSpPr/>
      </xdr:nvGrpSpPr>
      <xdr:grpSpPr>
        <a:xfrm>
          <a:off x="139700" y="352425"/>
          <a:ext cx="5772785" cy="4319905"/>
          <a:chOff x="139439" y="352313"/>
          <a:chExt cx="5773323" cy="4319868"/>
        </a:xfrm>
      </xdr:grpSpPr>
      <xdr:grpSp>
        <xdr:nvGrpSpPr>
          <xdr:cNvPr id="17" name="グループ 10"/>
          <xdr:cNvGrpSpPr/>
        </xdr:nvGrpSpPr>
        <xdr:grpSpPr>
          <a:xfrm>
            <a:off x="139439" y="352313"/>
            <a:ext cx="5773323" cy="4319868"/>
            <a:chOff x="139439" y="352313"/>
            <a:chExt cx="5773323" cy="4319868"/>
          </a:xfrm>
        </xdr:grpSpPr>
        <xdr:graphicFrame macro="">
          <xdr:nvGraphicFramePr>
            <xdr:cNvPr id="2" name="グラフ 2"/>
            <xdr:cNvGraphicFramePr/>
          </xdr:nvGraphicFramePr>
          <xdr:xfrm>
            <a:off x="152177" y="352313"/>
            <a:ext cx="5760585" cy="431986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1" name="テキスト 9"/>
            <xdr:cNvSpPr txBox="1"/>
          </xdr:nvSpPr>
          <xdr:spPr>
            <a:xfrm>
              <a:off x="139439" y="485439"/>
              <a:ext cx="504797"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latin typeface="ＭＳ Ｐ明朝"/>
                  <a:ea typeface="ＭＳ Ｐ明朝"/>
                </a:rPr>
                <a:t>45.0</a:t>
              </a:r>
              <a:endParaRPr kumimoji="1" lang="ja-JP" altLang="en-US" sz="1000">
                <a:latin typeface="ＭＳ Ｐ明朝"/>
                <a:ea typeface="ＭＳ Ｐ明朝"/>
              </a:endParaRPr>
            </a:p>
          </xdr:txBody>
        </xdr:sp>
      </xdr:grpSp>
      <xdr:grpSp>
        <xdr:nvGrpSpPr>
          <xdr:cNvPr id="18" name="グループ 11"/>
          <xdr:cNvGrpSpPr/>
        </xdr:nvGrpSpPr>
        <xdr:grpSpPr>
          <a:xfrm>
            <a:off x="1285791" y="1561876"/>
            <a:ext cx="2286000" cy="2152874"/>
            <a:chOff x="1285791" y="1561876"/>
            <a:chExt cx="2286000" cy="2152874"/>
          </a:xfrm>
        </xdr:grpSpPr>
        <xdr:cxnSp macro="">
          <xdr:nvCxnSpPr>
            <xdr:cNvPr id="3" name="直線矢印コネクタ 3"/>
            <xdr:cNvCxnSpPr/>
          </xdr:nvCxnSpPr>
          <xdr:spPr>
            <a:xfrm>
              <a:off x="1285791" y="2151529"/>
              <a:ext cx="581221" cy="47737"/>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4"/>
            <xdr:cNvCxnSpPr/>
          </xdr:nvCxnSpPr>
          <xdr:spPr>
            <a:xfrm flipH="1">
              <a:off x="1980977" y="1561876"/>
              <a:ext cx="495411" cy="447787"/>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5"/>
            <xdr:cNvCxnSpPr/>
          </xdr:nvCxnSpPr>
          <xdr:spPr>
            <a:xfrm flipH="1">
              <a:off x="2238403" y="2531409"/>
              <a:ext cx="247371" cy="390637"/>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6"/>
            <xdr:cNvCxnSpPr/>
          </xdr:nvCxnSpPr>
          <xdr:spPr>
            <a:xfrm flipH="1">
              <a:off x="3180959" y="3046431"/>
              <a:ext cx="390832" cy="562087"/>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7"/>
            <xdr:cNvCxnSpPr/>
          </xdr:nvCxnSpPr>
          <xdr:spPr>
            <a:xfrm flipV="1">
              <a:off x="2285330" y="3628689"/>
              <a:ext cx="543008" cy="86061"/>
            </a:xfrm>
            <a:prstGeom prst="straightConnector1">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5.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7.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81"/>
  <sheetViews>
    <sheetView showGridLines="0" tabSelected="1" workbookViewId="0"/>
  </sheetViews>
  <sheetFormatPr defaultRowHeight="14.25"/>
  <cols>
    <col min="1" max="1" width="4.625" style="1" bestFit="1" customWidth="1"/>
    <col min="2" max="2" width="86.25" style="1" bestFit="1" customWidth="1"/>
    <col min="3" max="16384" width="9" style="1" customWidth="1"/>
  </cols>
  <sheetData>
    <row r="1" spans="1:2" ht="18.75">
      <c r="A1" s="2"/>
      <c r="B1" s="2" t="s">
        <v>3</v>
      </c>
    </row>
    <row r="3" spans="1:2">
      <c r="A3" s="1">
        <v>1</v>
      </c>
      <c r="B3" s="3" t="s">
        <v>391</v>
      </c>
    </row>
    <row r="5" spans="1:2" s="1" customFormat="1">
      <c r="A5" s="1">
        <v>3</v>
      </c>
      <c r="B5" s="4" t="s">
        <v>410</v>
      </c>
    </row>
    <row r="6" spans="1:2" s="1" customFormat="1"/>
    <row r="7" spans="1:2" s="1" customFormat="1">
      <c r="A7" s="1">
        <v>4</v>
      </c>
      <c r="B7" s="3" t="s">
        <v>121</v>
      </c>
    </row>
    <row r="8" spans="1:2" s="1" customFormat="1"/>
    <row r="9" spans="1:2" s="1" customFormat="1">
      <c r="A9" s="1">
        <v>5</v>
      </c>
      <c r="B9" s="3" t="s">
        <v>396</v>
      </c>
    </row>
    <row r="10" spans="1:2" s="1" customFormat="1"/>
    <row r="11" spans="1:2" s="1" customFormat="1">
      <c r="A11" s="1">
        <v>6</v>
      </c>
      <c r="B11" s="3" t="s">
        <v>397</v>
      </c>
    </row>
    <row r="12" spans="1:2" s="1" customFormat="1"/>
    <row r="13" spans="1:2" s="1" customFormat="1">
      <c r="A13" s="1">
        <v>7</v>
      </c>
      <c r="B13" s="3" t="s">
        <v>261</v>
      </c>
    </row>
    <row r="14" spans="1:2" s="1" customFormat="1"/>
    <row r="15" spans="1:2" s="1" customFormat="1">
      <c r="A15" s="1">
        <v>8</v>
      </c>
      <c r="B15" s="3" t="s">
        <v>300</v>
      </c>
    </row>
    <row r="16" spans="1:2" s="1" customFormat="1"/>
    <row r="17" spans="1:2" s="1" customFormat="1">
      <c r="A17" s="1">
        <v>9</v>
      </c>
      <c r="B17" s="3" t="s">
        <v>282</v>
      </c>
    </row>
    <row r="18" spans="1:2" s="1" customFormat="1"/>
    <row r="19" spans="1:2" s="1" customFormat="1">
      <c r="A19" s="1">
        <v>10</v>
      </c>
      <c r="B19" s="3" t="s">
        <v>24</v>
      </c>
    </row>
    <row r="20" spans="1:2" s="1" customFormat="1"/>
    <row r="21" spans="1:2" s="1" customFormat="1">
      <c r="A21" s="1">
        <v>11</v>
      </c>
      <c r="B21" s="3" t="s">
        <v>278</v>
      </c>
    </row>
    <row r="22" spans="1:2" s="1" customFormat="1"/>
    <row r="23" spans="1:2" s="1" customFormat="1">
      <c r="A23" s="1">
        <v>12</v>
      </c>
      <c r="B23" s="4" t="s">
        <v>321</v>
      </c>
    </row>
    <row r="24" spans="1:2" s="1" customFormat="1"/>
    <row r="25" spans="1:2" s="1" customFormat="1">
      <c r="A25" s="1">
        <v>13</v>
      </c>
      <c r="B25" s="3" t="s">
        <v>375</v>
      </c>
    </row>
    <row r="26" spans="1:2" s="1" customFormat="1">
      <c r="B26" s="5"/>
    </row>
    <row r="27" spans="1:2" s="1" customFormat="1">
      <c r="A27" s="1">
        <v>14</v>
      </c>
      <c r="B27" s="3" t="s">
        <v>420</v>
      </c>
    </row>
    <row r="28" spans="1:2" s="1" customFormat="1">
      <c r="B28" s="5"/>
    </row>
    <row r="29" spans="1:2" s="1" customFormat="1">
      <c r="A29" s="1">
        <v>15</v>
      </c>
      <c r="B29" s="3" t="s">
        <v>400</v>
      </c>
    </row>
    <row r="30" spans="1:2" s="1" customFormat="1">
      <c r="B30" s="5"/>
    </row>
    <row r="31" spans="1:2" s="1" customFormat="1">
      <c r="A31" s="1">
        <v>16</v>
      </c>
      <c r="B31" s="3" t="s">
        <v>207</v>
      </c>
    </row>
    <row r="32" spans="1:2" s="1" customFormat="1">
      <c r="B32" s="5"/>
    </row>
    <row r="33" spans="1:3" s="1" customFormat="1">
      <c r="A33" s="1">
        <v>17</v>
      </c>
      <c r="B33" s="3" t="s">
        <v>409</v>
      </c>
    </row>
    <row r="34" spans="1:3" s="1" customFormat="1">
      <c r="B34" s="5"/>
    </row>
    <row r="35" spans="1:3" s="1" customFormat="1">
      <c r="A35" s="1">
        <v>18</v>
      </c>
      <c r="B35" s="3" t="s">
        <v>302</v>
      </c>
    </row>
    <row r="36" spans="1:3" s="1" customFormat="1"/>
    <row r="37" spans="1:3" s="1" customFormat="1">
      <c r="A37" s="1">
        <v>19</v>
      </c>
      <c r="B37" s="3" t="s">
        <v>355</v>
      </c>
    </row>
    <row r="38" spans="1:3" s="1" customFormat="1"/>
    <row r="39" spans="1:3" s="1" customFormat="1">
      <c r="A39" s="1">
        <v>20</v>
      </c>
      <c r="B39" s="3" t="s">
        <v>139</v>
      </c>
    </row>
    <row r="40" spans="1:3" s="1" customFormat="1"/>
    <row r="41" spans="1:3" s="1" customFormat="1">
      <c r="A41" s="1">
        <v>21</v>
      </c>
      <c r="B41" s="4" t="s">
        <v>269</v>
      </c>
    </row>
    <row r="42" spans="1:3" s="1" customFormat="1"/>
    <row r="43" spans="1:3" s="1" customFormat="1">
      <c r="A43" s="1">
        <v>22</v>
      </c>
      <c r="B43" s="3" t="s">
        <v>362</v>
      </c>
    </row>
    <row r="44" spans="1:3" s="1" customFormat="1"/>
    <row r="45" spans="1:3" s="1" customFormat="1">
      <c r="A45" s="1">
        <v>23</v>
      </c>
      <c r="B45" s="3" t="s">
        <v>374</v>
      </c>
    </row>
    <row r="46" spans="1:3" s="1" customFormat="1"/>
    <row r="47" spans="1:3" s="1" customFormat="1">
      <c r="A47" s="1">
        <v>24</v>
      </c>
      <c r="B47" s="3" t="s">
        <v>380</v>
      </c>
      <c r="C47" s="1" t="s">
        <v>35</v>
      </c>
    </row>
    <row r="48" spans="1:3"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sheetData>
  <phoneticPr fontId="3" type="Hiragana"/>
  <conditionalFormatting sqref="B17">
    <cfRule type="cellIs" dxfId="26" priority="2" operator="equal">
      <formula>0</formula>
    </cfRule>
  </conditionalFormatting>
  <conditionalFormatting sqref="B15">
    <cfRule type="cellIs" dxfId="25" priority="3" operator="equal">
      <formula>0</formula>
    </cfRule>
  </conditionalFormatting>
  <conditionalFormatting sqref="B11">
    <cfRule type="cellIs" dxfId="24" priority="5" operator="equal">
      <formula>0</formula>
    </cfRule>
  </conditionalFormatting>
  <conditionalFormatting sqref="B37">
    <cfRule type="cellIs" dxfId="23" priority="1" operator="equal">
      <formula>0</formula>
    </cfRule>
  </conditionalFormatting>
  <conditionalFormatting sqref="B45">
    <cfRule type="cellIs" dxfId="22" priority="7" operator="equal">
      <formula>0</formula>
    </cfRule>
  </conditionalFormatting>
  <hyperlinks>
    <hyperlink ref="B5" location="'図Ⅰ－１－１'!A1"/>
    <hyperlink ref="B7" location="'表Ⅰ－１－１'!A1"/>
    <hyperlink ref="B9" location="'表Ⅰ－１－２'!A1"/>
    <hyperlink ref="B11" location="'図Ⅰ－２－１'!A1"/>
    <hyperlink ref="B13" location="'図Ⅰ－２－２'!A1"/>
    <hyperlink ref="B15" location="'表Ⅰ－２－１'!A1"/>
    <hyperlink ref="B17" location="'図Ⅰ－３－１'!A1"/>
    <hyperlink ref="B19" location="'表Ⅰ－３－１'!A1"/>
    <hyperlink ref="B21" location="'表Ⅰ－３－２'!A1"/>
    <hyperlink ref="B25" location="'図Ⅰ－４－１'!A1"/>
    <hyperlink ref="B29" location="'図Ⅰ－４－２'!A1"/>
    <hyperlink ref="B35" location="'表Ⅱ－１－１'!A1"/>
    <hyperlink ref="B37" location="'表Ⅱ－１－２'!A1"/>
    <hyperlink ref="B39" location="'表Ⅱ－２－１'!A1"/>
    <hyperlink ref="B41" location="'表Ⅱ－３－１'!A1"/>
    <hyperlink ref="B43" location="'表Ⅱ－３－２'!A1"/>
    <hyperlink ref="B45" location="'表Ⅱ－３－３'!A1"/>
    <hyperlink ref="B47" location="'表Ⅱ－３－４'!A1"/>
    <hyperlink ref="B23" location="'表Ⅰ－４－１'!A1"/>
    <hyperlink ref="B3" location="表!A1"/>
    <hyperlink ref="B27" location="'表Ⅰ－４－２'!A1"/>
    <hyperlink ref="B31" location="'表１－４－３'!A1"/>
    <hyperlink ref="B33" location="'表Ⅰ－４－４'!A1"/>
  </hyperlinks>
  <pageMargins left="0.39370078740157477" right="0.39370078740157477" top="0.39370078740157477" bottom="0.39370078740157477" header="0.19685039370078738" footer="0.19685039370078738"/>
  <pageSetup paperSize="9" scale="86"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L13"/>
  <sheetViews>
    <sheetView showGridLines="0" workbookViewId="0"/>
  </sheetViews>
  <sheetFormatPr defaultRowHeight="13.5"/>
  <cols>
    <col min="1" max="1" width="3.625" style="6" customWidth="1"/>
    <col min="2" max="2" width="9.25" style="6" bestFit="1" customWidth="1"/>
    <col min="3" max="3" width="10.5" style="6" bestFit="1" customWidth="1"/>
    <col min="4" max="10" width="9.375" style="6" customWidth="1"/>
    <col min="11" max="16384" width="9" style="6" customWidth="1"/>
  </cols>
  <sheetData>
    <row r="1" spans="1:12" ht="16" customHeight="1">
      <c r="A1" s="42" t="s">
        <v>262</v>
      </c>
    </row>
    <row r="2" spans="1:12" ht="16" customHeight="1"/>
    <row r="3" spans="1:12" ht="32" customHeight="1">
      <c r="A3" s="83"/>
      <c r="B3" s="83"/>
      <c r="C3" s="138" t="s">
        <v>270</v>
      </c>
      <c r="D3" s="141" t="s">
        <v>271</v>
      </c>
      <c r="E3" s="138" t="s">
        <v>272</v>
      </c>
      <c r="F3" s="141" t="s">
        <v>274</v>
      </c>
      <c r="G3" s="141" t="s">
        <v>275</v>
      </c>
      <c r="H3" s="141" t="s">
        <v>276</v>
      </c>
      <c r="I3" s="138" t="s">
        <v>127</v>
      </c>
      <c r="J3" s="143" t="s">
        <v>277</v>
      </c>
      <c r="L3" s="146" t="s">
        <v>75</v>
      </c>
    </row>
    <row r="4" spans="1:12" ht="16" customHeight="1">
      <c r="A4" s="134" t="s">
        <v>263</v>
      </c>
      <c r="B4" s="63"/>
      <c r="C4" s="71">
        <v>959502</v>
      </c>
      <c r="D4" s="71">
        <v>182078</v>
      </c>
      <c r="E4" s="71">
        <v>40173</v>
      </c>
      <c r="F4" s="71">
        <v>108631</v>
      </c>
      <c r="G4" s="71">
        <v>84946</v>
      </c>
      <c r="H4" s="71">
        <v>125900</v>
      </c>
      <c r="I4" s="71">
        <v>379067</v>
      </c>
      <c r="J4" s="63">
        <v>38707</v>
      </c>
    </row>
    <row r="5" spans="1:12" ht="16" customHeight="1">
      <c r="A5" s="135"/>
      <c r="B5" s="137" t="s">
        <v>85</v>
      </c>
      <c r="C5" s="139">
        <f>(C4-J4)/($C4-$J4)*100</f>
        <v>100</v>
      </c>
      <c r="D5" s="139">
        <f t="shared" ref="D5:I5" si="0">D4/($C$4-$J$4)*100</f>
        <v>19.77399964161404</v>
      </c>
      <c r="E5" s="139">
        <f t="shared" si="0"/>
        <v>4.3628603543676929</v>
      </c>
      <c r="F5" s="139">
        <f t="shared" si="0"/>
        <v>11.797522792804044</v>
      </c>
      <c r="G5" s="139">
        <f t="shared" si="0"/>
        <v>9.2252890165563457</v>
      </c>
      <c r="H5" s="139">
        <f t="shared" si="0"/>
        <v>13.672967381447554</v>
      </c>
      <c r="I5" s="139">
        <f t="shared" si="0"/>
        <v>41.167360813210323</v>
      </c>
      <c r="J5" s="144">
        <v>0</v>
      </c>
    </row>
    <row r="6" spans="1:12" ht="16" customHeight="1">
      <c r="A6" s="136" t="s">
        <v>265</v>
      </c>
      <c r="B6" s="136"/>
      <c r="C6" s="71">
        <v>452439</v>
      </c>
      <c r="D6" s="71">
        <v>120215</v>
      </c>
      <c r="E6" s="71">
        <v>19256</v>
      </c>
      <c r="F6" s="71">
        <v>50606</v>
      </c>
      <c r="G6" s="71">
        <v>38965</v>
      </c>
      <c r="H6" s="71">
        <v>56663</v>
      </c>
      <c r="I6" s="71">
        <v>146298</v>
      </c>
      <c r="J6" s="63">
        <v>20436</v>
      </c>
    </row>
    <row r="7" spans="1:12" ht="16" customHeight="1">
      <c r="A7" s="135"/>
      <c r="B7" s="137" t="s">
        <v>85</v>
      </c>
      <c r="C7" s="139">
        <f>(C6-J6)/($C6-$J6)*100</f>
        <v>100</v>
      </c>
      <c r="D7" s="139">
        <f t="shared" ref="D7:I7" si="1">D6/($C6-$J6)*100</f>
        <v>27.827353050789</v>
      </c>
      <c r="E7" s="139">
        <f t="shared" si="1"/>
        <v>4.457376453404259</v>
      </c>
      <c r="F7" s="139">
        <f t="shared" si="1"/>
        <v>11.714270502751138</v>
      </c>
      <c r="G7" s="139">
        <f t="shared" si="1"/>
        <v>9.0196132897225247</v>
      </c>
      <c r="H7" s="139">
        <f t="shared" si="1"/>
        <v>13.116344099462271</v>
      </c>
      <c r="I7" s="139">
        <f t="shared" si="1"/>
        <v>33.865042603870805</v>
      </c>
      <c r="J7" s="145">
        <v>0</v>
      </c>
    </row>
    <row r="8" spans="1:12" ht="16" customHeight="1">
      <c r="A8" s="136" t="s">
        <v>266</v>
      </c>
      <c r="B8" s="136"/>
      <c r="C8" s="71">
        <v>507063</v>
      </c>
      <c r="D8" s="71">
        <v>61863</v>
      </c>
      <c r="E8" s="71">
        <v>20917</v>
      </c>
      <c r="F8" s="71">
        <v>58025</v>
      </c>
      <c r="G8" s="71">
        <v>45981</v>
      </c>
      <c r="H8" s="71">
        <v>69237</v>
      </c>
      <c r="I8" s="71">
        <v>232769</v>
      </c>
      <c r="J8" s="63">
        <v>18271</v>
      </c>
    </row>
    <row r="9" spans="1:12" ht="16" customHeight="1">
      <c r="A9" s="13"/>
      <c r="B9" s="137" t="s">
        <v>85</v>
      </c>
      <c r="C9" s="140">
        <f>(C8-J8)/($C8-$J8)*100</f>
        <v>100</v>
      </c>
      <c r="D9" s="140">
        <f t="shared" ref="D9:I9" si="2">D8/($C8-$J8)*100</f>
        <v>12.656303703824939</v>
      </c>
      <c r="E9" s="140">
        <f t="shared" si="2"/>
        <v>4.2793253572071555</v>
      </c>
      <c r="F9" s="140">
        <f t="shared" si="2"/>
        <v>11.871102636704366</v>
      </c>
      <c r="G9" s="140">
        <f t="shared" si="2"/>
        <v>9.4070688554640824</v>
      </c>
      <c r="H9" s="140">
        <f t="shared" si="2"/>
        <v>14.164920866135288</v>
      </c>
      <c r="I9" s="140">
        <f t="shared" si="2"/>
        <v>47.621278580664168</v>
      </c>
      <c r="J9" s="21">
        <v>0</v>
      </c>
    </row>
    <row r="11" spans="1:12">
      <c r="D11" s="142"/>
      <c r="E11" s="142"/>
      <c r="F11" s="142"/>
      <c r="G11" s="142"/>
      <c r="H11" s="142"/>
      <c r="I11" s="142"/>
    </row>
    <row r="12" spans="1:12">
      <c r="D12" s="142"/>
      <c r="E12" s="142"/>
      <c r="F12" s="142"/>
      <c r="G12" s="142"/>
      <c r="H12" s="142"/>
      <c r="I12" s="142"/>
    </row>
    <row r="13" spans="1:12">
      <c r="D13" s="142"/>
      <c r="E13" s="142"/>
      <c r="F13" s="142"/>
      <c r="G13" s="142"/>
      <c r="H13" s="142"/>
      <c r="I13" s="142"/>
    </row>
  </sheetData>
  <mergeCells count="1">
    <mergeCell ref="A3:B3"/>
  </mergeCells>
  <phoneticPr fontId="8" type="Hiragana"/>
  <conditionalFormatting sqref="J1:J1048576">
    <cfRule type="cellIs" dxfId="19" priority="1" operator="equal">
      <formula>0</formula>
    </cfRule>
  </conditionalFormatting>
  <hyperlinks>
    <hyperlink ref="L3" location="目次!A19"/>
  </hyperlinks>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56"/>
  <sheetViews>
    <sheetView showGridLines="0" workbookViewId="0"/>
  </sheetViews>
  <sheetFormatPr defaultRowHeight="13.5"/>
  <cols>
    <col min="1" max="1" width="1.625" style="6" customWidth="1"/>
    <col min="2" max="2" width="9.125" style="6" customWidth="1"/>
    <col min="3" max="9" width="10.625" style="6" customWidth="1"/>
    <col min="10" max="10" width="9" style="6" customWidth="1"/>
    <col min="11" max="11" width="12.125" style="6" bestFit="1" customWidth="1"/>
    <col min="12" max="16384" width="9" style="6" customWidth="1"/>
  </cols>
  <sheetData>
    <row r="1" spans="1:11" ht="15" customHeight="1">
      <c r="A1" s="42" t="s">
        <v>287</v>
      </c>
    </row>
    <row r="2" spans="1:11" ht="15" customHeight="1"/>
    <row r="3" spans="1:11" ht="13.35" customHeight="1">
      <c r="A3" s="62" t="s">
        <v>147</v>
      </c>
      <c r="B3" s="124"/>
      <c r="C3" s="83" t="s">
        <v>187</v>
      </c>
      <c r="D3" s="83"/>
      <c r="E3" s="83"/>
      <c r="F3" s="83"/>
      <c r="G3" s="83"/>
      <c r="H3" s="83"/>
      <c r="I3" s="83"/>
    </row>
    <row r="4" spans="1:11" ht="13.35" customHeight="1">
      <c r="A4" s="108"/>
      <c r="B4" s="100"/>
      <c r="C4" s="56" t="s">
        <v>213</v>
      </c>
      <c r="D4" s="88" t="s">
        <v>279</v>
      </c>
      <c r="E4" s="68" t="s">
        <v>224</v>
      </c>
      <c r="F4" s="88" t="s">
        <v>195</v>
      </c>
      <c r="G4" s="88" t="s">
        <v>280</v>
      </c>
      <c r="H4" s="88" t="s">
        <v>134</v>
      </c>
      <c r="I4" s="92" t="s">
        <v>99</v>
      </c>
      <c r="K4" s="43" t="s">
        <v>118</v>
      </c>
    </row>
    <row r="5" spans="1:11" ht="13.35" customHeight="1">
      <c r="A5" s="108"/>
      <c r="B5" s="100"/>
      <c r="C5" s="57"/>
      <c r="D5" s="111"/>
      <c r="E5" s="69"/>
      <c r="F5" s="111"/>
      <c r="G5" s="111"/>
      <c r="H5" s="111"/>
      <c r="I5" s="93"/>
    </row>
    <row r="6" spans="1:11" ht="13.35" customHeight="1">
      <c r="A6" s="119"/>
      <c r="B6" s="125"/>
      <c r="C6" s="58"/>
      <c r="D6" s="70"/>
      <c r="E6" s="70"/>
      <c r="F6" s="112"/>
      <c r="G6" s="112"/>
      <c r="H6" s="112"/>
      <c r="I6" s="94"/>
    </row>
    <row r="7" spans="1:11" ht="13.35" customHeight="1">
      <c r="A7" s="108"/>
      <c r="B7" s="100"/>
      <c r="C7" s="57"/>
      <c r="D7" s="69"/>
      <c r="E7" s="69"/>
      <c r="F7" s="111"/>
      <c r="G7" s="111"/>
      <c r="H7" s="111"/>
      <c r="I7" s="93"/>
    </row>
    <row r="8" spans="1:11" ht="13.35" customHeight="1">
      <c r="A8" s="6" t="s">
        <v>203</v>
      </c>
      <c r="B8" s="100"/>
      <c r="C8" s="147">
        <v>100</v>
      </c>
      <c r="D8" s="149">
        <v>12.745372024506555</v>
      </c>
      <c r="E8" s="149">
        <v>5.7285141737028455</v>
      </c>
      <c r="F8" s="149">
        <v>16.567327536347488</v>
      </c>
      <c r="G8" s="149">
        <v>12.906534237367209</v>
      </c>
      <c r="H8" s="149">
        <v>18.057499672008802</v>
      </c>
      <c r="I8" s="150">
        <v>33.994752356067096</v>
      </c>
      <c r="K8" s="63"/>
    </row>
    <row r="9" spans="1:11" ht="13.35" customHeight="1">
      <c r="B9" s="59" t="s">
        <v>150</v>
      </c>
      <c r="C9" s="147">
        <v>100</v>
      </c>
      <c r="D9" s="149">
        <v>8.4802566656648128</v>
      </c>
      <c r="E9" s="149">
        <v>6.5897459352206686</v>
      </c>
      <c r="F9" s="149">
        <v>18.512993256666928</v>
      </c>
      <c r="G9" s="149">
        <v>13.671742116935306</v>
      </c>
      <c r="H9" s="149">
        <v>17.704758608741251</v>
      </c>
      <c r="I9" s="150">
        <v>35.040503416771038</v>
      </c>
      <c r="K9" s="63"/>
    </row>
    <row r="10" spans="1:11" ht="13.35" customHeight="1">
      <c r="B10" s="59" t="s">
        <v>153</v>
      </c>
      <c r="C10" s="147">
        <v>100</v>
      </c>
      <c r="D10" s="149">
        <v>16.122479927883603</v>
      </c>
      <c r="E10" s="149">
        <v>5.1322274362452287</v>
      </c>
      <c r="F10" s="149">
        <v>14.269358113515926</v>
      </c>
      <c r="G10" s="149">
        <v>10.696732015130964</v>
      </c>
      <c r="H10" s="149">
        <v>14.786473120634893</v>
      </c>
      <c r="I10" s="150">
        <v>38.992729386589382</v>
      </c>
      <c r="K10" s="63"/>
    </row>
    <row r="11" spans="1:11" ht="13.35" customHeight="1">
      <c r="B11" s="59" t="s">
        <v>154</v>
      </c>
      <c r="C11" s="147">
        <v>100</v>
      </c>
      <c r="D11" s="149">
        <v>17.226930922933793</v>
      </c>
      <c r="E11" s="149">
        <v>5.309024488088836</v>
      </c>
      <c r="F11" s="149">
        <v>15.344105019674117</v>
      </c>
      <c r="G11" s="149">
        <v>11.501549176759788</v>
      </c>
      <c r="H11" s="149">
        <v>13.978439556500142</v>
      </c>
      <c r="I11" s="150">
        <v>36.639950836043326</v>
      </c>
      <c r="K11" s="63"/>
    </row>
    <row r="12" spans="1:11" ht="13.35" customHeight="1">
      <c r="B12" s="59" t="s">
        <v>156</v>
      </c>
      <c r="C12" s="147">
        <v>100</v>
      </c>
      <c r="D12" s="149">
        <v>13.536127024703475</v>
      </c>
      <c r="E12" s="149">
        <v>6.1123886365538382</v>
      </c>
      <c r="F12" s="149">
        <v>18.24805613250253</v>
      </c>
      <c r="G12" s="149">
        <v>14.034361947367218</v>
      </c>
      <c r="H12" s="149">
        <v>16.039141731145246</v>
      </c>
      <c r="I12" s="150">
        <v>32.029924527727694</v>
      </c>
      <c r="K12" s="63"/>
    </row>
    <row r="13" spans="1:11" ht="13.35" customHeight="1">
      <c r="B13" s="59" t="s">
        <v>157</v>
      </c>
      <c r="C13" s="147">
        <v>100</v>
      </c>
      <c r="D13" s="149">
        <v>19.77399964161404</v>
      </c>
      <c r="E13" s="149">
        <v>4.3628603543676929</v>
      </c>
      <c r="F13" s="149">
        <v>11.797522792804044</v>
      </c>
      <c r="G13" s="149">
        <v>9.2252890165563457</v>
      </c>
      <c r="H13" s="149">
        <v>13.672967381447554</v>
      </c>
      <c r="I13" s="150">
        <v>41.167360813210323</v>
      </c>
      <c r="K13" s="63"/>
    </row>
    <row r="14" spans="1:11" ht="13.35" customHeight="1">
      <c r="B14" s="59" t="s">
        <v>0</v>
      </c>
      <c r="C14" s="147">
        <v>100</v>
      </c>
      <c r="D14" s="149">
        <v>21.754562371706758</v>
      </c>
      <c r="E14" s="149">
        <v>4.6293578532659501</v>
      </c>
      <c r="F14" s="149">
        <v>12.799342828607493</v>
      </c>
      <c r="G14" s="149">
        <v>9.6960872922000618</v>
      </c>
      <c r="H14" s="149">
        <v>13.67292355054669</v>
      </c>
      <c r="I14" s="150">
        <v>37.447726103673048</v>
      </c>
      <c r="K14" s="63"/>
    </row>
    <row r="15" spans="1:11" ht="13.35" customHeight="1">
      <c r="B15" s="59" t="s">
        <v>158</v>
      </c>
      <c r="C15" s="147">
        <v>100</v>
      </c>
      <c r="D15" s="149">
        <v>17.04002214765023</v>
      </c>
      <c r="E15" s="149">
        <v>5.4335877455846591</v>
      </c>
      <c r="F15" s="149">
        <v>15.71678113094335</v>
      </c>
      <c r="G15" s="149">
        <v>11.419534644508206</v>
      </c>
      <c r="H15" s="149">
        <v>14.698359892366128</v>
      </c>
      <c r="I15" s="150">
        <v>35.691714438947429</v>
      </c>
      <c r="K15" s="63"/>
    </row>
    <row r="16" spans="1:11" ht="13.35" customHeight="1">
      <c r="B16" s="59" t="s">
        <v>135</v>
      </c>
      <c r="C16" s="147">
        <v>100</v>
      </c>
      <c r="D16" s="149">
        <v>16.508168064499866</v>
      </c>
      <c r="E16" s="149">
        <v>4.9160788286179287</v>
      </c>
      <c r="F16" s="149">
        <v>14.323711706807218</v>
      </c>
      <c r="G16" s="149">
        <v>11.425092303242167</v>
      </c>
      <c r="H16" s="149">
        <v>16.411078587884553</v>
      </c>
      <c r="I16" s="150">
        <v>36.415870508948267</v>
      </c>
      <c r="K16" s="63"/>
    </row>
    <row r="17" spans="2:11" ht="13.35" customHeight="1">
      <c r="B17" s="59" t="s">
        <v>160</v>
      </c>
      <c r="C17" s="147">
        <v>100</v>
      </c>
      <c r="D17" s="149">
        <v>16.547952937065951</v>
      </c>
      <c r="E17" s="149">
        <v>4.9397267223196186</v>
      </c>
      <c r="F17" s="149">
        <v>14.276947438028746</v>
      </c>
      <c r="G17" s="149">
        <v>11.7381291403058</v>
      </c>
      <c r="H17" s="149">
        <v>16.509094044678768</v>
      </c>
      <c r="I17" s="150">
        <v>35.988149717601118</v>
      </c>
      <c r="K17" s="63"/>
    </row>
    <row r="18" spans="2:11" ht="13.35" customHeight="1">
      <c r="B18" s="59" t="s">
        <v>144</v>
      </c>
      <c r="C18" s="147">
        <v>100</v>
      </c>
      <c r="D18" s="149">
        <v>14.502283595487391</v>
      </c>
      <c r="E18" s="149">
        <v>5.1330754720910328</v>
      </c>
      <c r="F18" s="149">
        <v>14.772237792053067</v>
      </c>
      <c r="G18" s="149">
        <v>11.857762745005628</v>
      </c>
      <c r="H18" s="149">
        <v>17.16719075557582</v>
      </c>
      <c r="I18" s="150">
        <v>36.567449639787064</v>
      </c>
      <c r="K18" s="63"/>
    </row>
    <row r="19" spans="2:11" ht="13.35" customHeight="1">
      <c r="B19" s="59" t="s">
        <v>162</v>
      </c>
      <c r="C19" s="147">
        <v>100</v>
      </c>
      <c r="D19" s="149">
        <v>11.60031331334055</v>
      </c>
      <c r="E19" s="149">
        <v>5.2750709525697781</v>
      </c>
      <c r="F19" s="149">
        <v>15.801717414480102</v>
      </c>
      <c r="G19" s="149">
        <v>13.153764147329422</v>
      </c>
      <c r="H19" s="149">
        <v>19.84588395605175</v>
      </c>
      <c r="I19" s="150">
        <v>34.323250216228395</v>
      </c>
      <c r="K19" s="63"/>
    </row>
    <row r="20" spans="2:11" ht="13.35" customHeight="1">
      <c r="B20" s="59" t="s">
        <v>1</v>
      </c>
      <c r="C20" s="147">
        <v>100</v>
      </c>
      <c r="D20" s="149">
        <v>11.45093360579691</v>
      </c>
      <c r="E20" s="149">
        <v>5.468920828103264</v>
      </c>
      <c r="F20" s="149">
        <v>16.165025753084823</v>
      </c>
      <c r="G20" s="149">
        <v>12.95220598998212</v>
      </c>
      <c r="H20" s="149">
        <v>20.10999500154146</v>
      </c>
      <c r="I20" s="150">
        <v>33.852918821491414</v>
      </c>
      <c r="K20" s="63"/>
    </row>
    <row r="21" spans="2:11" ht="13.35" customHeight="1">
      <c r="B21" s="59" t="s">
        <v>25</v>
      </c>
      <c r="C21" s="147">
        <v>100</v>
      </c>
      <c r="D21" s="149">
        <v>9.3075339703544859</v>
      </c>
      <c r="E21" s="149">
        <v>7.1618747018630966</v>
      </c>
      <c r="F21" s="149">
        <v>20.931228903534951</v>
      </c>
      <c r="G21" s="149">
        <v>15.393960443531288</v>
      </c>
      <c r="H21" s="149">
        <v>19.870613074405707</v>
      </c>
      <c r="I21" s="150">
        <v>27.334788906310472</v>
      </c>
      <c r="K21" s="63"/>
    </row>
    <row r="22" spans="2:11" ht="13.35" customHeight="1">
      <c r="B22" s="59" t="s">
        <v>131</v>
      </c>
      <c r="C22" s="147">
        <v>100</v>
      </c>
      <c r="D22" s="149">
        <v>9.7542724386776722</v>
      </c>
      <c r="E22" s="149">
        <v>5.8994940473491884</v>
      </c>
      <c r="F22" s="149">
        <v>17.508409876050667</v>
      </c>
      <c r="G22" s="149">
        <v>14.156977300638838</v>
      </c>
      <c r="H22" s="149">
        <v>21.335722050448176</v>
      </c>
      <c r="I22" s="150">
        <v>31.345124286835457</v>
      </c>
      <c r="K22" s="63"/>
    </row>
    <row r="23" spans="2:11" ht="13.35" customHeight="1">
      <c r="B23" s="59" t="s">
        <v>164</v>
      </c>
      <c r="C23" s="147">
        <v>100</v>
      </c>
      <c r="D23" s="149">
        <v>19.465082503213559</v>
      </c>
      <c r="E23" s="149">
        <v>4.64040332254595</v>
      </c>
      <c r="F23" s="149">
        <v>12.868068788052952</v>
      </c>
      <c r="G23" s="149">
        <v>10.061838656672636</v>
      </c>
      <c r="H23" s="149">
        <v>14.722369949226957</v>
      </c>
      <c r="I23" s="150">
        <v>38.242236780287946</v>
      </c>
      <c r="K23" s="63"/>
    </row>
    <row r="24" spans="2:11" ht="13.35" customHeight="1">
      <c r="B24" s="59" t="s">
        <v>148</v>
      </c>
      <c r="C24" s="147">
        <v>100</v>
      </c>
      <c r="D24" s="149">
        <v>19.057260194611793</v>
      </c>
      <c r="E24" s="149">
        <v>4.5431285848809999</v>
      </c>
      <c r="F24" s="149">
        <v>12.790158993856437</v>
      </c>
      <c r="G24" s="149">
        <v>9.7499679549613294</v>
      </c>
      <c r="H24" s="149">
        <v>15.200854265219879</v>
      </c>
      <c r="I24" s="150">
        <v>38.658630006469565</v>
      </c>
      <c r="K24" s="63"/>
    </row>
    <row r="25" spans="2:11" ht="13.35" customHeight="1">
      <c r="B25" s="59" t="s">
        <v>165</v>
      </c>
      <c r="C25" s="147">
        <v>100</v>
      </c>
      <c r="D25" s="149">
        <v>16.165774303923968</v>
      </c>
      <c r="E25" s="149">
        <v>5.4458867009744925</v>
      </c>
      <c r="F25" s="149">
        <v>14.982901239411959</v>
      </c>
      <c r="G25" s="149">
        <v>11.197726342302342</v>
      </c>
      <c r="H25" s="149">
        <v>16.174094408606013</v>
      </c>
      <c r="I25" s="150">
        <v>36.033617004781227</v>
      </c>
      <c r="K25" s="63"/>
    </row>
    <row r="26" spans="2:11" ht="13.35" customHeight="1">
      <c r="B26" s="59" t="s">
        <v>166</v>
      </c>
      <c r="C26" s="147">
        <v>100</v>
      </c>
      <c r="D26" s="149">
        <v>21.221888757422409</v>
      </c>
      <c r="E26" s="149">
        <v>4.7059210643574882</v>
      </c>
      <c r="F26" s="149">
        <v>12.728224969460323</v>
      </c>
      <c r="G26" s="149">
        <v>9.9215908327495033</v>
      </c>
      <c r="H26" s="149">
        <v>14.61476132435949</v>
      </c>
      <c r="I26" s="150">
        <v>36.80761305165079</v>
      </c>
      <c r="K26" s="63"/>
    </row>
    <row r="27" spans="2:11" ht="13.35" customHeight="1">
      <c r="B27" s="59" t="s">
        <v>167</v>
      </c>
      <c r="C27" s="147">
        <v>100</v>
      </c>
      <c r="D27" s="149">
        <v>16.225290548048978</v>
      </c>
      <c r="E27" s="149">
        <v>5.1871042330402561</v>
      </c>
      <c r="F27" s="149">
        <v>14.433962513164737</v>
      </c>
      <c r="G27" s="149">
        <v>11.397296576772522</v>
      </c>
      <c r="H27" s="149">
        <v>16.318862461165676</v>
      </c>
      <c r="I27" s="150">
        <v>36.437483667807832</v>
      </c>
      <c r="K27" s="63"/>
    </row>
    <row r="28" spans="2:11" ht="13.35" customHeight="1">
      <c r="B28" s="59" t="s">
        <v>169</v>
      </c>
      <c r="C28" s="147">
        <v>100</v>
      </c>
      <c r="D28" s="149">
        <v>16.945094741694451</v>
      </c>
      <c r="E28" s="149">
        <v>5.3796679260138225</v>
      </c>
      <c r="F28" s="149">
        <v>14.470933965097608</v>
      </c>
      <c r="G28" s="149">
        <v>11.281398053816567</v>
      </c>
      <c r="H28" s="149">
        <v>15.811172375882746</v>
      </c>
      <c r="I28" s="150">
        <v>36.111732937494807</v>
      </c>
      <c r="K28" s="63"/>
    </row>
    <row r="29" spans="2:11" ht="13.35" customHeight="1">
      <c r="B29" s="59" t="s">
        <v>170</v>
      </c>
      <c r="C29" s="147">
        <v>100</v>
      </c>
      <c r="D29" s="149">
        <v>17.207861349761874</v>
      </c>
      <c r="E29" s="149">
        <v>4.5276543294857623</v>
      </c>
      <c r="F29" s="149">
        <v>13.214374830602175</v>
      </c>
      <c r="G29" s="149">
        <v>10.86872582719916</v>
      </c>
      <c r="H29" s="149">
        <v>16.088114833441605</v>
      </c>
      <c r="I29" s="150">
        <v>38.093268829509427</v>
      </c>
      <c r="K29" s="63"/>
    </row>
    <row r="30" spans="2:11" ht="13.35" customHeight="1">
      <c r="B30" s="59" t="s">
        <v>171</v>
      </c>
      <c r="C30" s="147">
        <v>100</v>
      </c>
      <c r="D30" s="149">
        <v>14.301409695991691</v>
      </c>
      <c r="E30" s="149">
        <v>5.3629128332333087</v>
      </c>
      <c r="F30" s="149">
        <v>15.632996723650312</v>
      </c>
      <c r="G30" s="149">
        <v>12.544710723249056</v>
      </c>
      <c r="H30" s="149">
        <v>17.09381963545869</v>
      </c>
      <c r="I30" s="150">
        <v>35.064150388416941</v>
      </c>
      <c r="K30" s="63"/>
    </row>
    <row r="31" spans="2:11" ht="13.35" customHeight="1">
      <c r="B31" s="59" t="s">
        <v>172</v>
      </c>
      <c r="C31" s="147">
        <v>100</v>
      </c>
      <c r="D31" s="149">
        <v>13.221379587320623</v>
      </c>
      <c r="E31" s="149">
        <v>5.6957673475490935</v>
      </c>
      <c r="F31" s="149">
        <v>16.727766037172714</v>
      </c>
      <c r="G31" s="149">
        <v>13.173325517053176</v>
      </c>
      <c r="H31" s="149">
        <v>18.257900977996201</v>
      </c>
      <c r="I31" s="150">
        <v>32.923860532908193</v>
      </c>
      <c r="K31" s="63"/>
    </row>
    <row r="32" spans="2:11" ht="13.35" customHeight="1">
      <c r="B32" s="59" t="s">
        <v>174</v>
      </c>
      <c r="C32" s="147">
        <v>100</v>
      </c>
      <c r="D32" s="149">
        <v>16.598446577457192</v>
      </c>
      <c r="E32" s="149">
        <v>4.8488599073382046</v>
      </c>
      <c r="F32" s="149">
        <v>13.598966262120618</v>
      </c>
      <c r="G32" s="149">
        <v>11.042840012413668</v>
      </c>
      <c r="H32" s="149">
        <v>16.311548813325473</v>
      </c>
      <c r="I32" s="150">
        <v>37.59933842734484</v>
      </c>
      <c r="K32" s="63"/>
    </row>
    <row r="33" spans="1:11" ht="13.35" customHeight="1">
      <c r="B33" s="59" t="s">
        <v>175</v>
      </c>
      <c r="C33" s="147">
        <v>100</v>
      </c>
      <c r="D33" s="149">
        <v>18.124307125940973</v>
      </c>
      <c r="E33" s="149">
        <v>4.9198222213958731</v>
      </c>
      <c r="F33" s="149">
        <v>14.069594575227045</v>
      </c>
      <c r="G33" s="149">
        <v>11.611930100192204</v>
      </c>
      <c r="H33" s="149">
        <v>17.454809698338806</v>
      </c>
      <c r="I33" s="150">
        <v>33.819536278905098</v>
      </c>
      <c r="K33" s="63"/>
    </row>
    <row r="34" spans="1:11" ht="13.35" customHeight="1">
      <c r="B34" s="59" t="s">
        <v>11</v>
      </c>
      <c r="C34" s="147">
        <v>100</v>
      </c>
      <c r="D34" s="149">
        <v>12.773304578048361</v>
      </c>
      <c r="E34" s="149">
        <v>5.4512430553515925</v>
      </c>
      <c r="F34" s="149">
        <v>15.646129108805281</v>
      </c>
      <c r="G34" s="149">
        <v>11.914189157374112</v>
      </c>
      <c r="H34" s="149">
        <v>18.634105315765009</v>
      </c>
      <c r="I34" s="150">
        <v>35.581028784655643</v>
      </c>
      <c r="K34" s="63"/>
    </row>
    <row r="35" spans="1:11" ht="13.35" customHeight="1">
      <c r="B35" s="59" t="s">
        <v>176</v>
      </c>
      <c r="C35" s="147">
        <v>100</v>
      </c>
      <c r="D35" s="149">
        <v>10.13947756621835</v>
      </c>
      <c r="E35" s="149">
        <v>5.5969385832573888</v>
      </c>
      <c r="F35" s="149">
        <v>16.740601592952711</v>
      </c>
      <c r="G35" s="149">
        <v>13.607938805159861</v>
      </c>
      <c r="H35" s="149">
        <v>21.26014087317925</v>
      </c>
      <c r="I35" s="150">
        <v>32.654902579232441</v>
      </c>
      <c r="K35" s="63"/>
    </row>
    <row r="36" spans="1:11" ht="13.35" customHeight="1">
      <c r="A36" s="6" t="s">
        <v>251</v>
      </c>
      <c r="B36" s="59" t="s">
        <v>4</v>
      </c>
      <c r="C36" s="147">
        <v>100</v>
      </c>
      <c r="D36" s="149">
        <v>12.094316948485384</v>
      </c>
      <c r="E36" s="149">
        <v>5.0274295300235448</v>
      </c>
      <c r="F36" s="149">
        <v>15.316668756118426</v>
      </c>
      <c r="G36" s="149">
        <v>12.718065233031584</v>
      </c>
      <c r="H36" s="149">
        <v>19.669368769322649</v>
      </c>
      <c r="I36" s="150">
        <v>35.17415076301841</v>
      </c>
      <c r="K36" s="63"/>
    </row>
    <row r="37" spans="1:11" ht="13.35" customHeight="1">
      <c r="B37" s="59" t="s">
        <v>177</v>
      </c>
      <c r="C37" s="147">
        <v>100</v>
      </c>
      <c r="D37" s="149">
        <v>13.620603378655312</v>
      </c>
      <c r="E37" s="149">
        <v>4.420529975319341</v>
      </c>
      <c r="F37" s="149">
        <v>13.302010265149342</v>
      </c>
      <c r="G37" s="149">
        <v>11.576304303715194</v>
      </c>
      <c r="H37" s="149">
        <v>18.659241180888294</v>
      </c>
      <c r="I37" s="150">
        <v>38.421310896272516</v>
      </c>
      <c r="K37" s="63"/>
    </row>
    <row r="38" spans="1:11" ht="13.35" customHeight="1">
      <c r="B38" s="59" t="s">
        <v>178</v>
      </c>
      <c r="C38" s="147">
        <v>100</v>
      </c>
      <c r="D38" s="149">
        <v>14.802824165714126</v>
      </c>
      <c r="E38" s="149">
        <v>4.4748482905387199</v>
      </c>
      <c r="F38" s="149">
        <v>13.1746772979453</v>
      </c>
      <c r="G38" s="149">
        <v>11.141120001486893</v>
      </c>
      <c r="H38" s="149">
        <v>16.848230133727359</v>
      </c>
      <c r="I38" s="150">
        <v>39.558300110587602</v>
      </c>
      <c r="K38" s="63"/>
    </row>
    <row r="39" spans="1:11" ht="13.35" customHeight="1">
      <c r="B39" s="59" t="s">
        <v>179</v>
      </c>
      <c r="C39" s="147">
        <v>100</v>
      </c>
      <c r="D39" s="149">
        <v>17.76437874679878</v>
      </c>
      <c r="E39" s="149">
        <v>5.337580427908267</v>
      </c>
      <c r="F39" s="149">
        <v>14.527414378843147</v>
      </c>
      <c r="G39" s="149">
        <v>10.654349321601794</v>
      </c>
      <c r="H39" s="149">
        <v>14.900287700190578</v>
      </c>
      <c r="I39" s="150">
        <v>36.815989424657431</v>
      </c>
      <c r="K39" s="63"/>
    </row>
    <row r="40" spans="1:11" ht="13.35" customHeight="1">
      <c r="B40" s="59" t="s">
        <v>181</v>
      </c>
      <c r="C40" s="147">
        <v>100</v>
      </c>
      <c r="D40" s="149">
        <v>17.10192268765249</v>
      </c>
      <c r="E40" s="149">
        <v>5.8705094666446218</v>
      </c>
      <c r="F40" s="149">
        <v>15.647893047698663</v>
      </c>
      <c r="G40" s="149">
        <v>10.655982149893305</v>
      </c>
      <c r="H40" s="149">
        <v>14.196181202069944</v>
      </c>
      <c r="I40" s="150">
        <v>36.527511446040975</v>
      </c>
      <c r="K40" s="63"/>
    </row>
    <row r="41" spans="1:11" ht="13.35" customHeight="1">
      <c r="B41" s="59" t="s">
        <v>29</v>
      </c>
      <c r="C41" s="147">
        <v>100</v>
      </c>
      <c r="D41" s="149">
        <v>14.312334436410168</v>
      </c>
      <c r="E41" s="149">
        <v>5.5035057780307683</v>
      </c>
      <c r="F41" s="149">
        <v>15.894804496447565</v>
      </c>
      <c r="G41" s="149">
        <v>11.981059117064174</v>
      </c>
      <c r="H41" s="149">
        <v>16.241882936991644</v>
      </c>
      <c r="I41" s="150">
        <v>36.066413235055684</v>
      </c>
      <c r="K41" s="63"/>
    </row>
    <row r="42" spans="1:11" ht="13.35" customHeight="1">
      <c r="B42" s="59" t="s">
        <v>182</v>
      </c>
      <c r="C42" s="147">
        <v>100</v>
      </c>
      <c r="D42" s="149">
        <v>11.309413852690357</v>
      </c>
      <c r="E42" s="149">
        <v>5.9407032582965629</v>
      </c>
      <c r="F42" s="149">
        <v>17.221199855647555</v>
      </c>
      <c r="G42" s="149">
        <v>13.068884643534421</v>
      </c>
      <c r="H42" s="149">
        <v>17.868954169657773</v>
      </c>
      <c r="I42" s="150">
        <v>34.590844220173331</v>
      </c>
      <c r="K42" s="63"/>
    </row>
    <row r="43" spans="1:11" ht="13.35" customHeight="1">
      <c r="B43" s="59" t="s">
        <v>113</v>
      </c>
      <c r="C43" s="147">
        <v>100</v>
      </c>
      <c r="D43" s="149">
        <v>11.286149554853816</v>
      </c>
      <c r="E43" s="149">
        <v>5.7569862394953821</v>
      </c>
      <c r="F43" s="149">
        <v>16.165839240220453</v>
      </c>
      <c r="G43" s="149">
        <v>12.275653851792272</v>
      </c>
      <c r="H43" s="149">
        <v>16.854538034541918</v>
      </c>
      <c r="I43" s="150">
        <v>37.660833079096157</v>
      </c>
      <c r="K43" s="63"/>
    </row>
    <row r="44" spans="1:11" ht="13.35" customHeight="1">
      <c r="B44" s="59" t="s">
        <v>183</v>
      </c>
      <c r="C44" s="147">
        <v>100</v>
      </c>
      <c r="D44" s="149">
        <v>16.25733271307783</v>
      </c>
      <c r="E44" s="149">
        <v>5.0928822708485368</v>
      </c>
      <c r="F44" s="149">
        <v>14.01296888863788</v>
      </c>
      <c r="G44" s="149">
        <v>10.908223488164365</v>
      </c>
      <c r="H44" s="149">
        <v>15.265122071930811</v>
      </c>
      <c r="I44" s="150">
        <v>38.463470567340572</v>
      </c>
      <c r="K44" s="63"/>
    </row>
    <row r="45" spans="1:11" ht="13.35" customHeight="1">
      <c r="B45" s="59" t="s">
        <v>28</v>
      </c>
      <c r="C45" s="147">
        <v>100</v>
      </c>
      <c r="D45" s="149">
        <v>15.36726815159567</v>
      </c>
      <c r="E45" s="149">
        <v>5.3499920641898573</v>
      </c>
      <c r="F45" s="149">
        <v>15.281972465593411</v>
      </c>
      <c r="G45" s="149">
        <v>11.69076146096552</v>
      </c>
      <c r="H45" s="149">
        <v>16.072470503335897</v>
      </c>
      <c r="I45" s="150">
        <v>36.237535354319647</v>
      </c>
      <c r="K45" s="63"/>
    </row>
    <row r="46" spans="1:11" ht="13.35" customHeight="1">
      <c r="B46" s="59" t="s">
        <v>184</v>
      </c>
      <c r="C46" s="147">
        <v>100</v>
      </c>
      <c r="D46" s="149">
        <v>12.283322456548692</v>
      </c>
      <c r="E46" s="149">
        <v>5.3336774202086525</v>
      </c>
      <c r="F46" s="149">
        <v>15.403346741141624</v>
      </c>
      <c r="G46" s="149">
        <v>12.1772841454528</v>
      </c>
      <c r="H46" s="149">
        <v>17.159430503136068</v>
      </c>
      <c r="I46" s="150">
        <v>37.64293873351216</v>
      </c>
      <c r="K46" s="63"/>
    </row>
    <row r="47" spans="1:11" ht="13.35" customHeight="1">
      <c r="B47" s="59" t="s">
        <v>108</v>
      </c>
      <c r="C47" s="147">
        <v>100</v>
      </c>
      <c r="D47" s="149">
        <v>12.899044910228024</v>
      </c>
      <c r="E47" s="149">
        <v>5.620485140354563</v>
      </c>
      <c r="F47" s="149">
        <v>15.283052408733171</v>
      </c>
      <c r="G47" s="149">
        <v>11.805135829602936</v>
      </c>
      <c r="H47" s="149">
        <v>16.023691397727823</v>
      </c>
      <c r="I47" s="150">
        <v>38.368590313353479</v>
      </c>
      <c r="K47" s="63"/>
    </row>
    <row r="48" spans="1:11" ht="13.35" customHeight="1">
      <c r="B48" s="59" t="s">
        <v>186</v>
      </c>
      <c r="C48" s="147">
        <v>100</v>
      </c>
      <c r="D48" s="149">
        <v>9.9244739168489193</v>
      </c>
      <c r="E48" s="149">
        <v>6.8994601519296106</v>
      </c>
      <c r="F48" s="149">
        <v>19.606509764866662</v>
      </c>
      <c r="G48" s="149">
        <v>14.770646830558778</v>
      </c>
      <c r="H48" s="149">
        <v>17.732945210137121</v>
      </c>
      <c r="I48" s="150">
        <v>31.065964125658908</v>
      </c>
      <c r="K48" s="63"/>
    </row>
    <row r="49" spans="1:11" ht="13.35" customHeight="1">
      <c r="B49" s="59" t="s">
        <v>103</v>
      </c>
      <c r="C49" s="147">
        <v>100</v>
      </c>
      <c r="D49" s="149">
        <v>16.187858298569648</v>
      </c>
      <c r="E49" s="149">
        <v>5.716752218931088</v>
      </c>
      <c r="F49" s="149">
        <v>16.240843839978496</v>
      </c>
      <c r="G49" s="149">
        <v>12.129036593624159</v>
      </c>
      <c r="H49" s="149">
        <v>15.228432299986041</v>
      </c>
      <c r="I49" s="150">
        <v>34.497076748910565</v>
      </c>
      <c r="K49" s="63"/>
    </row>
    <row r="50" spans="1:11" ht="13.35" customHeight="1">
      <c r="B50" s="59" t="s">
        <v>31</v>
      </c>
      <c r="C50" s="147">
        <v>100</v>
      </c>
      <c r="D50" s="149">
        <v>12.484553335607041</v>
      </c>
      <c r="E50" s="149">
        <v>6.1846937237763626</v>
      </c>
      <c r="F50" s="149">
        <v>16.874657952553555</v>
      </c>
      <c r="G50" s="149">
        <v>12.552605905820954</v>
      </c>
      <c r="H50" s="149">
        <v>16.323019694001381</v>
      </c>
      <c r="I50" s="150">
        <v>35.580469388240701</v>
      </c>
      <c r="K50" s="63"/>
    </row>
    <row r="51" spans="1:11" ht="13.35" customHeight="1">
      <c r="B51" s="59" t="s">
        <v>188</v>
      </c>
      <c r="C51" s="147">
        <v>100</v>
      </c>
      <c r="D51" s="149">
        <v>13.10434816310887</v>
      </c>
      <c r="E51" s="149">
        <v>6.7238145274258674</v>
      </c>
      <c r="F51" s="149">
        <v>17.714339851774021</v>
      </c>
      <c r="G51" s="149">
        <v>13.007023723908654</v>
      </c>
      <c r="H51" s="149">
        <v>15.786676148929772</v>
      </c>
      <c r="I51" s="150">
        <v>33.663797584852823</v>
      </c>
      <c r="K51" s="63"/>
    </row>
    <row r="52" spans="1:11" ht="13.35" customHeight="1">
      <c r="B52" s="59" t="s">
        <v>189</v>
      </c>
      <c r="C52" s="147">
        <v>100</v>
      </c>
      <c r="D52" s="149">
        <v>12.000128962270949</v>
      </c>
      <c r="E52" s="149">
        <v>6.2072575414480946</v>
      </c>
      <c r="F52" s="149">
        <v>17.045303687183047</v>
      </c>
      <c r="G52" s="149">
        <v>13.072791615935186</v>
      </c>
      <c r="H52" s="149">
        <v>16.411681705943266</v>
      </c>
      <c r="I52" s="150">
        <v>35.26283648721946</v>
      </c>
      <c r="K52" s="63"/>
    </row>
    <row r="53" spans="1:11" ht="13.35" customHeight="1">
      <c r="B53" s="59" t="s">
        <v>190</v>
      </c>
      <c r="C53" s="147">
        <v>100</v>
      </c>
      <c r="D53" s="149">
        <v>11.264341023742377</v>
      </c>
      <c r="E53" s="149">
        <v>6.381435313053534</v>
      </c>
      <c r="F53" s="149">
        <v>17.769456520537844</v>
      </c>
      <c r="G53" s="149">
        <v>13.201026013027109</v>
      </c>
      <c r="H53" s="149">
        <v>15.917971202912865</v>
      </c>
      <c r="I53" s="150">
        <v>35.465769926726267</v>
      </c>
      <c r="K53" s="63"/>
    </row>
    <row r="54" spans="1:11" ht="13.35" customHeight="1">
      <c r="B54" s="59" t="s">
        <v>191</v>
      </c>
      <c r="C54" s="147">
        <v>100</v>
      </c>
      <c r="D54" s="149">
        <v>9.4782094471133096</v>
      </c>
      <c r="E54" s="149">
        <v>6.8881269891894403</v>
      </c>
      <c r="F54" s="149">
        <v>19.131168563664026</v>
      </c>
      <c r="G54" s="149">
        <v>13.824359971030093</v>
      </c>
      <c r="H54" s="149">
        <v>16.428395824612458</v>
      </c>
      <c r="I54" s="150">
        <v>34.249739204390664</v>
      </c>
      <c r="K54" s="63"/>
    </row>
    <row r="55" spans="1:11" ht="13.35" customHeight="1">
      <c r="B55" s="59" t="s">
        <v>193</v>
      </c>
      <c r="C55" s="147">
        <v>100</v>
      </c>
      <c r="D55" s="149">
        <v>11.951410890984125</v>
      </c>
      <c r="E55" s="149">
        <v>7.3519868687254268</v>
      </c>
      <c r="F55" s="149">
        <v>20.93216780547391</v>
      </c>
      <c r="G55" s="149">
        <v>15.428823486998086</v>
      </c>
      <c r="H55" s="149">
        <v>16.523605332247541</v>
      </c>
      <c r="I55" s="150">
        <v>27.812005615570911</v>
      </c>
      <c r="K55" s="63"/>
    </row>
    <row r="56" spans="1:11" ht="13.35" customHeight="1">
      <c r="A56" s="13"/>
      <c r="B56" s="101"/>
      <c r="C56" s="148"/>
      <c r="D56" s="107"/>
      <c r="E56" s="107"/>
      <c r="F56" s="107"/>
      <c r="G56" s="107"/>
      <c r="H56" s="107"/>
      <c r="I56" s="114"/>
      <c r="K56" s="63"/>
    </row>
    <row r="57" spans="1:11" ht="13.35" customHeight="1"/>
    <row r="58" spans="1:11" ht="13.35" customHeight="1"/>
    <row r="59" spans="1:11" ht="13.35" customHeight="1"/>
    <row r="60" spans="1:11" ht="13.35" customHeight="1"/>
    <row r="61" spans="1:11" ht="13.35" customHeight="1"/>
    <row r="62" spans="1:11" ht="13.35" customHeight="1"/>
    <row r="63" spans="1:11" ht="13.35" customHeight="1"/>
    <row r="64" spans="1:11" ht="13.35" customHeight="1"/>
    <row r="65" ht="13.35" customHeight="1"/>
    <row r="66" ht="13.35" customHeight="1"/>
    <row r="67" ht="13.35" customHeight="1"/>
    <row r="68" ht="13.35" customHeight="1"/>
    <row r="69" ht="13.35" customHeight="1"/>
    <row r="70" ht="13.35" customHeight="1"/>
    <row r="71" ht="13.35" customHeight="1"/>
    <row r="72" ht="13.35" customHeight="1"/>
    <row r="73" ht="13.35" customHeight="1"/>
    <row r="74" ht="13.35" customHeight="1"/>
    <row r="75" ht="13.35" customHeight="1"/>
    <row r="76" ht="13.35" customHeight="1"/>
    <row r="77" ht="13.35" customHeight="1"/>
    <row r="78" ht="13.35" customHeight="1"/>
    <row r="79" ht="13.35" customHeight="1"/>
    <row r="80" ht="13.35" customHeight="1"/>
    <row r="81" ht="13.35" customHeight="1"/>
    <row r="82" ht="13.35" customHeight="1"/>
    <row r="83" ht="13.35" customHeight="1"/>
    <row r="84" ht="13.35" customHeight="1"/>
    <row r="85" ht="13.35" customHeight="1"/>
    <row r="86" ht="13.35" customHeight="1"/>
    <row r="87" ht="13.35" customHeight="1"/>
    <row r="88" ht="13.35" customHeight="1"/>
    <row r="89" ht="13.35" customHeight="1"/>
    <row r="90" ht="13.35" customHeight="1"/>
    <row r="91" ht="13.35" customHeight="1"/>
    <row r="92" ht="13.35" customHeight="1"/>
    <row r="93" ht="13.35" customHeight="1"/>
    <row r="94" ht="13.35" customHeight="1"/>
    <row r="95" ht="13.35" customHeight="1"/>
    <row r="96" ht="13.35" customHeight="1"/>
    <row r="97" ht="13.35" customHeight="1"/>
    <row r="98" ht="13.35" customHeight="1"/>
    <row r="99" ht="13.35" customHeight="1"/>
    <row r="100" ht="13.35" customHeight="1"/>
    <row r="101" ht="13.35" customHeight="1"/>
    <row r="102" ht="13.35" customHeight="1"/>
    <row r="103" ht="13.35" customHeight="1"/>
    <row r="104" ht="13.35" customHeight="1"/>
    <row r="105" ht="13.35" customHeight="1"/>
    <row r="106" ht="13.35" customHeight="1"/>
    <row r="107" ht="13.35" customHeight="1"/>
    <row r="108" ht="13.35" customHeight="1"/>
    <row r="109" ht="13.35" customHeight="1"/>
    <row r="110" ht="13.35" customHeight="1"/>
    <row r="111" ht="13.35" customHeight="1"/>
    <row r="112" ht="13.35" customHeight="1"/>
    <row r="113" ht="13.35" customHeight="1"/>
    <row r="114" ht="13.35" customHeight="1"/>
    <row r="115" ht="13.35" customHeight="1"/>
    <row r="116" ht="13.35" customHeight="1"/>
    <row r="117" ht="13.35" customHeight="1"/>
    <row r="118" ht="13.35" customHeight="1"/>
    <row r="119" ht="13.35" customHeight="1"/>
    <row r="120" ht="13.35" customHeight="1"/>
    <row r="121" ht="13.35" customHeight="1"/>
    <row r="122" ht="13.35" customHeight="1"/>
    <row r="123" ht="13.35" customHeight="1"/>
    <row r="124" ht="13.35" customHeight="1"/>
    <row r="125" ht="13.35" customHeight="1"/>
    <row r="126" ht="13.35" customHeight="1"/>
    <row r="127" ht="13.35" customHeight="1"/>
    <row r="128" ht="13.35" customHeight="1"/>
    <row r="129" ht="13.35" customHeight="1"/>
    <row r="130" ht="13.35" customHeight="1"/>
    <row r="131" ht="13.35" customHeight="1"/>
    <row r="132" ht="13.35" customHeight="1"/>
    <row r="133" ht="13.35" customHeight="1"/>
    <row r="134" ht="13.35" customHeight="1"/>
    <row r="135" ht="13.35" customHeight="1"/>
    <row r="136" ht="13.35" customHeight="1"/>
    <row r="137" ht="13.35" customHeight="1"/>
    <row r="138" ht="13.35" customHeight="1"/>
    <row r="139" ht="13.35" customHeight="1"/>
    <row r="140" ht="13.35" customHeight="1"/>
    <row r="141" ht="13.35" customHeight="1"/>
    <row r="142" ht="13.35" customHeight="1"/>
    <row r="143" ht="13.35" customHeight="1"/>
    <row r="144" ht="13.35" customHeight="1"/>
    <row r="145" ht="13.35" customHeight="1"/>
    <row r="146" ht="13.35" customHeight="1"/>
    <row r="147" ht="13.35" customHeight="1"/>
    <row r="148" ht="13.35" customHeight="1"/>
    <row r="149" ht="13.35" customHeight="1"/>
    <row r="150" ht="13.35" customHeight="1"/>
    <row r="151" ht="13.35" customHeight="1"/>
    <row r="152" ht="13.35" customHeight="1"/>
    <row r="153" ht="13.35" customHeight="1"/>
    <row r="154" ht="13.35" customHeight="1"/>
    <row r="155" ht="13.35" customHeight="1"/>
    <row r="156" ht="13.35" customHeight="1"/>
    <row r="157" ht="13.35" customHeight="1"/>
  </sheetData>
  <mergeCells count="9">
    <mergeCell ref="C3:I3"/>
    <mergeCell ref="A3:B6"/>
    <mergeCell ref="C4:C6"/>
    <mergeCell ref="D4:D6"/>
    <mergeCell ref="E4:E6"/>
    <mergeCell ref="F4:F6"/>
    <mergeCell ref="G4:G6"/>
    <mergeCell ref="H4:H6"/>
    <mergeCell ref="I4:I6"/>
  </mergeCells>
  <phoneticPr fontId="8"/>
  <conditionalFormatting sqref="A1:XFC1048576">
    <cfRule type="cellIs" dxfId="18" priority="1" operator="equal">
      <formula>0</formula>
    </cfRule>
  </conditionalFormatting>
  <hyperlinks>
    <hyperlink ref="K4" location="目次!A21"/>
  </hyperlinks>
  <printOptions horizontalCentered="1"/>
  <pageMargins left="0.39370078740157483" right="0.39370078740157483" top="0.39370078740157483" bottom="0.39370078740157483" header="0.19685039370078741" footer="0.19685039370078741"/>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BC53"/>
  <sheetViews>
    <sheetView showGridLines="0" workbookViewId="0">
      <selection activeCell="A3" sqref="A3:S32"/>
    </sheetView>
  </sheetViews>
  <sheetFormatPr defaultRowHeight="13.5"/>
  <cols>
    <col min="1" max="2" width="3.625" style="6" customWidth="1"/>
    <col min="3" max="4" width="8.625" style="6" customWidth="1"/>
    <col min="5" max="5" width="2.625" style="6" customWidth="1"/>
    <col min="6" max="7" width="3.625" style="6" customWidth="1"/>
    <col min="8" max="9" width="8.625" style="6" customWidth="1"/>
    <col min="10" max="12" width="3.625" style="6" customWidth="1"/>
    <col min="13" max="14" width="8.625" style="6" customWidth="1"/>
    <col min="15" max="15" width="2.625" style="6" customWidth="1"/>
    <col min="16" max="17" width="3.625" style="6" customWidth="1"/>
    <col min="18" max="19" width="8.625" style="6" customWidth="1"/>
    <col min="20" max="16384" width="9" style="6" customWidth="1"/>
  </cols>
  <sheetData>
    <row r="1" spans="1:55" ht="16.149999999999999" customHeight="1">
      <c r="A1" s="42" t="s">
        <v>390</v>
      </c>
    </row>
    <row r="2" spans="1:55" ht="16.149999999999999" customHeight="1"/>
    <row r="3" spans="1:55" ht="16.149999999999999" customHeight="1">
      <c r="A3" s="151" t="s">
        <v>283</v>
      </c>
      <c r="B3" s="153" t="s">
        <v>147</v>
      </c>
      <c r="C3" s="158"/>
      <c r="D3" s="62" t="s">
        <v>230</v>
      </c>
      <c r="E3" s="45"/>
      <c r="F3" s="151" t="s">
        <v>283</v>
      </c>
      <c r="G3" s="153" t="s">
        <v>147</v>
      </c>
      <c r="H3" s="158"/>
      <c r="I3" s="62" t="s">
        <v>230</v>
      </c>
      <c r="J3" s="108"/>
      <c r="K3" s="151" t="s">
        <v>283</v>
      </c>
      <c r="L3" s="153" t="s">
        <v>147</v>
      </c>
      <c r="M3" s="158"/>
      <c r="N3" s="62" t="s">
        <v>389</v>
      </c>
      <c r="O3" s="45"/>
      <c r="P3" s="151" t="s">
        <v>283</v>
      </c>
      <c r="Q3" s="153" t="s">
        <v>147</v>
      </c>
      <c r="R3" s="158"/>
      <c r="S3" s="62" t="s">
        <v>389</v>
      </c>
      <c r="U3" s="146" t="s">
        <v>118</v>
      </c>
    </row>
    <row r="4" spans="1:55" s="6" customFormat="1" ht="16.149999999999999" customHeight="1">
      <c r="A4" s="52"/>
      <c r="B4" s="154"/>
      <c r="C4" s="159"/>
      <c r="D4" s="46"/>
      <c r="E4" s="45"/>
      <c r="F4" s="52"/>
      <c r="G4" s="154"/>
      <c r="H4" s="159"/>
      <c r="I4" s="46"/>
      <c r="J4" s="45"/>
      <c r="K4" s="52"/>
      <c r="L4" s="154"/>
      <c r="M4" s="159"/>
      <c r="N4" s="46"/>
      <c r="O4" s="45"/>
      <c r="P4" s="52"/>
      <c r="Q4" s="154"/>
      <c r="R4" s="159"/>
      <c r="S4" s="46"/>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row>
    <row r="5" spans="1:55" s="6" customFormat="1" ht="16.149999999999999" customHeight="1">
      <c r="A5" s="54"/>
      <c r="B5" s="155" t="s">
        <v>395</v>
      </c>
      <c r="C5" s="160"/>
      <c r="D5" s="163">
        <v>33179</v>
      </c>
      <c r="E5" s="164"/>
      <c r="F5" s="54"/>
      <c r="G5" s="167" t="s">
        <v>395</v>
      </c>
      <c r="H5" s="171"/>
      <c r="I5" s="172"/>
      <c r="J5" s="164"/>
      <c r="K5" s="54"/>
      <c r="L5" s="155" t="s">
        <v>395</v>
      </c>
      <c r="M5" s="160"/>
      <c r="N5" s="163">
        <v>55886</v>
      </c>
      <c r="O5" s="164"/>
      <c r="P5" s="54"/>
      <c r="Q5" s="167" t="s">
        <v>395</v>
      </c>
      <c r="R5" s="171"/>
      <c r="S5" s="172"/>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row>
    <row r="6" spans="1:55" s="6" customFormat="1" ht="16.149999999999999" customHeight="1">
      <c r="A6" s="6">
        <v>1</v>
      </c>
      <c r="B6" s="156">
        <v>4</v>
      </c>
      <c r="C6" s="67" t="s">
        <v>286</v>
      </c>
      <c r="D6" s="164">
        <v>4820</v>
      </c>
      <c r="E6" s="164"/>
      <c r="F6" s="6">
        <v>20</v>
      </c>
      <c r="G6" s="156">
        <v>40</v>
      </c>
      <c r="H6" s="67" t="s">
        <v>186</v>
      </c>
      <c r="I6" s="164">
        <v>190</v>
      </c>
      <c r="J6" s="164"/>
      <c r="K6" s="6">
        <v>1</v>
      </c>
      <c r="L6" s="156">
        <v>13</v>
      </c>
      <c r="M6" s="67" t="s">
        <v>25</v>
      </c>
      <c r="N6" s="164">
        <v>10078</v>
      </c>
      <c r="O6" s="164"/>
      <c r="P6" s="6">
        <v>21</v>
      </c>
      <c r="Q6" s="156">
        <v>40</v>
      </c>
      <c r="R6" s="67" t="s">
        <v>186</v>
      </c>
      <c r="S6" s="164">
        <v>309</v>
      </c>
    </row>
    <row r="7" spans="1:55" s="6" customFormat="1" ht="16.149999999999999" customHeight="1">
      <c r="A7" s="6">
        <v>2</v>
      </c>
      <c r="B7" s="156">
        <v>13</v>
      </c>
      <c r="C7" s="67" t="s">
        <v>25</v>
      </c>
      <c r="D7" s="164">
        <v>4783</v>
      </c>
      <c r="E7" s="164"/>
      <c r="F7" s="6">
        <v>22</v>
      </c>
      <c r="G7" s="156">
        <v>21</v>
      </c>
      <c r="H7" s="67" t="s">
        <v>170</v>
      </c>
      <c r="I7" s="164">
        <v>152</v>
      </c>
      <c r="J7" s="164"/>
      <c r="K7" s="6">
        <v>2</v>
      </c>
      <c r="L7" s="156">
        <v>4</v>
      </c>
      <c r="M7" s="67" t="s">
        <v>286</v>
      </c>
      <c r="N7" s="164">
        <v>9936</v>
      </c>
      <c r="O7" s="164"/>
      <c r="P7" s="6">
        <v>22</v>
      </c>
      <c r="Q7" s="156">
        <v>19</v>
      </c>
      <c r="R7" s="67" t="s">
        <v>167</v>
      </c>
      <c r="S7" s="164">
        <v>230</v>
      </c>
    </row>
    <row r="8" spans="1:55" s="6" customFormat="1" ht="16.149999999999999" customHeight="1">
      <c r="A8" s="6">
        <v>3</v>
      </c>
      <c r="B8" s="156">
        <v>3</v>
      </c>
      <c r="C8" s="67" t="s">
        <v>211</v>
      </c>
      <c r="D8" s="164">
        <v>2999</v>
      </c>
      <c r="E8" s="164"/>
      <c r="F8" s="6">
        <v>23</v>
      </c>
      <c r="G8" s="156">
        <v>17</v>
      </c>
      <c r="H8" s="67" t="s">
        <v>165</v>
      </c>
      <c r="I8" s="164">
        <v>150</v>
      </c>
      <c r="J8" s="164"/>
      <c r="K8" s="6">
        <v>3</v>
      </c>
      <c r="L8" s="156">
        <v>14</v>
      </c>
      <c r="M8" s="67" t="s">
        <v>131</v>
      </c>
      <c r="N8" s="164">
        <v>4651</v>
      </c>
      <c r="O8" s="164"/>
      <c r="P8" s="6">
        <v>23</v>
      </c>
      <c r="Q8" s="156">
        <v>16</v>
      </c>
      <c r="R8" s="67" t="s">
        <v>148</v>
      </c>
      <c r="S8" s="164">
        <v>219</v>
      </c>
    </row>
    <row r="9" spans="1:55" s="6" customFormat="1" ht="16.149999999999999" customHeight="1">
      <c r="A9" s="6">
        <v>4</v>
      </c>
      <c r="B9" s="156">
        <v>2</v>
      </c>
      <c r="C9" s="67" t="s">
        <v>117</v>
      </c>
      <c r="D9" s="164">
        <v>2979</v>
      </c>
      <c r="E9" s="164"/>
      <c r="F9" s="6">
        <v>24</v>
      </c>
      <c r="G9" s="156">
        <v>19</v>
      </c>
      <c r="H9" s="67" t="s">
        <v>167</v>
      </c>
      <c r="I9" s="164">
        <v>136</v>
      </c>
      <c r="J9" s="164"/>
      <c r="K9" s="6">
        <v>4</v>
      </c>
      <c r="L9" s="156">
        <v>3</v>
      </c>
      <c r="M9" s="67" t="s">
        <v>211</v>
      </c>
      <c r="N9" s="164">
        <v>3949</v>
      </c>
      <c r="O9" s="164"/>
      <c r="P9" s="6">
        <v>24</v>
      </c>
      <c r="Q9" s="156">
        <v>17</v>
      </c>
      <c r="R9" s="67" t="s">
        <v>165</v>
      </c>
      <c r="S9" s="164">
        <v>218</v>
      </c>
    </row>
    <row r="10" spans="1:55" s="6" customFormat="1" ht="16.149999999999999" customHeight="1">
      <c r="A10" s="6">
        <v>5</v>
      </c>
      <c r="B10" s="156">
        <v>14</v>
      </c>
      <c r="C10" s="67" t="s">
        <v>131</v>
      </c>
      <c r="D10" s="164">
        <v>2360</v>
      </c>
      <c r="E10" s="164"/>
      <c r="F10" s="6">
        <v>25</v>
      </c>
      <c r="G10" s="156">
        <v>33</v>
      </c>
      <c r="H10" s="67" t="s">
        <v>29</v>
      </c>
      <c r="I10" s="164">
        <v>134</v>
      </c>
      <c r="J10" s="164"/>
      <c r="K10" s="6">
        <v>5</v>
      </c>
      <c r="L10" s="156">
        <v>11</v>
      </c>
      <c r="M10" s="67" t="s">
        <v>162</v>
      </c>
      <c r="N10" s="164">
        <v>3877</v>
      </c>
      <c r="O10" s="164"/>
      <c r="P10" s="6">
        <v>25</v>
      </c>
      <c r="Q10" s="156">
        <v>34</v>
      </c>
      <c r="R10" s="67" t="s">
        <v>182</v>
      </c>
      <c r="S10" s="164">
        <v>193</v>
      </c>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row>
    <row r="11" spans="1:55" s="6" customFormat="1" ht="16.149999999999999" customHeight="1">
      <c r="A11" s="6">
        <v>6</v>
      </c>
      <c r="B11" s="156">
        <v>11</v>
      </c>
      <c r="C11" s="67" t="s">
        <v>162</v>
      </c>
      <c r="D11" s="164">
        <v>1977</v>
      </c>
      <c r="E11" s="164"/>
      <c r="F11" s="6">
        <v>26</v>
      </c>
      <c r="G11" s="156">
        <v>16</v>
      </c>
      <c r="H11" s="67" t="s">
        <v>148</v>
      </c>
      <c r="I11" s="164">
        <v>113</v>
      </c>
      <c r="J11" s="164"/>
      <c r="K11" s="6">
        <v>6</v>
      </c>
      <c r="L11" s="156">
        <v>12</v>
      </c>
      <c r="M11" s="67" t="s">
        <v>1</v>
      </c>
      <c r="N11" s="164">
        <v>3451</v>
      </c>
      <c r="O11" s="164"/>
      <c r="P11" s="6">
        <v>26</v>
      </c>
      <c r="Q11" s="156">
        <v>21</v>
      </c>
      <c r="R11" s="67" t="s">
        <v>170</v>
      </c>
      <c r="S11" s="164">
        <v>182</v>
      </c>
    </row>
    <row r="12" spans="1:55" s="6" customFormat="1" ht="16.149999999999999" customHeight="1">
      <c r="A12" s="6">
        <v>7</v>
      </c>
      <c r="B12" s="156">
        <v>12</v>
      </c>
      <c r="C12" s="67" t="s">
        <v>1</v>
      </c>
      <c r="D12" s="164">
        <v>1775</v>
      </c>
      <c r="E12" s="164"/>
      <c r="F12" s="6">
        <v>27</v>
      </c>
      <c r="G12" s="156">
        <v>24</v>
      </c>
      <c r="H12" s="67" t="s">
        <v>174</v>
      </c>
      <c r="I12" s="164">
        <v>105</v>
      </c>
      <c r="J12" s="164"/>
      <c r="K12" s="6">
        <v>7</v>
      </c>
      <c r="L12" s="156">
        <v>2</v>
      </c>
      <c r="M12" s="67" t="s">
        <v>117</v>
      </c>
      <c r="N12" s="164">
        <v>3250</v>
      </c>
      <c r="O12" s="164"/>
      <c r="P12" s="6">
        <v>27</v>
      </c>
      <c r="Q12" s="156">
        <v>24</v>
      </c>
      <c r="R12" s="67" t="s">
        <v>174</v>
      </c>
      <c r="S12" s="164">
        <v>176</v>
      </c>
    </row>
    <row r="13" spans="1:55" s="6" customFormat="1" ht="16.149999999999999" customHeight="1">
      <c r="A13" s="6">
        <v>8</v>
      </c>
      <c r="B13" s="156">
        <v>6</v>
      </c>
      <c r="C13" s="67" t="s">
        <v>388</v>
      </c>
      <c r="D13" s="164">
        <v>1618</v>
      </c>
      <c r="E13" s="164"/>
      <c r="F13" s="6">
        <v>28</v>
      </c>
      <c r="G13" s="156">
        <v>34</v>
      </c>
      <c r="H13" s="67" t="s">
        <v>182</v>
      </c>
      <c r="I13" s="164">
        <v>95</v>
      </c>
      <c r="J13" s="164"/>
      <c r="K13" s="6">
        <v>8</v>
      </c>
      <c r="L13" s="156">
        <v>1</v>
      </c>
      <c r="M13" s="67" t="s">
        <v>387</v>
      </c>
      <c r="N13" s="164">
        <v>2288</v>
      </c>
      <c r="O13" s="164"/>
      <c r="P13" s="6">
        <v>28</v>
      </c>
      <c r="Q13" s="156">
        <v>47</v>
      </c>
      <c r="R13" s="67" t="s">
        <v>193</v>
      </c>
      <c r="S13" s="164">
        <v>167</v>
      </c>
    </row>
    <row r="14" spans="1:55" s="6" customFormat="1" ht="16.149999999999999" customHeight="1">
      <c r="A14" s="6">
        <v>9</v>
      </c>
      <c r="B14" s="156">
        <v>1</v>
      </c>
      <c r="C14" s="67" t="s">
        <v>387</v>
      </c>
      <c r="D14" s="164">
        <v>1605</v>
      </c>
      <c r="E14" s="164"/>
      <c r="F14" s="6">
        <v>29</v>
      </c>
      <c r="G14" s="156">
        <v>47</v>
      </c>
      <c r="H14" s="67" t="s">
        <v>193</v>
      </c>
      <c r="I14" s="164">
        <v>80</v>
      </c>
      <c r="J14" s="164"/>
      <c r="K14" s="6">
        <v>9</v>
      </c>
      <c r="L14" s="156">
        <v>6</v>
      </c>
      <c r="M14" s="67" t="s">
        <v>388</v>
      </c>
      <c r="N14" s="164">
        <v>1948</v>
      </c>
      <c r="O14" s="164"/>
      <c r="P14" s="6">
        <v>29</v>
      </c>
      <c r="Q14" s="156">
        <v>33</v>
      </c>
      <c r="R14" s="67" t="s">
        <v>29</v>
      </c>
      <c r="S14" s="164">
        <v>161</v>
      </c>
    </row>
    <row r="15" spans="1:55" s="6" customFormat="1" ht="16.149999999999999" customHeight="1">
      <c r="A15" s="6">
        <v>10</v>
      </c>
      <c r="B15" s="156">
        <v>7</v>
      </c>
      <c r="C15" s="161" t="s">
        <v>50</v>
      </c>
      <c r="D15" s="165">
        <v>1199</v>
      </c>
      <c r="E15" s="164"/>
      <c r="F15" s="6">
        <v>30</v>
      </c>
      <c r="G15" s="156">
        <v>46</v>
      </c>
      <c r="H15" s="161" t="s">
        <v>191</v>
      </c>
      <c r="I15" s="165">
        <v>73</v>
      </c>
      <c r="J15" s="164"/>
      <c r="K15" s="6">
        <v>10</v>
      </c>
      <c r="L15" s="156">
        <v>7</v>
      </c>
      <c r="M15" s="161" t="s">
        <v>50</v>
      </c>
      <c r="N15" s="165">
        <v>1760</v>
      </c>
      <c r="O15" s="164"/>
      <c r="P15" s="6">
        <v>30</v>
      </c>
      <c r="Q15" s="156">
        <v>25</v>
      </c>
      <c r="R15" s="161" t="s">
        <v>175</v>
      </c>
      <c r="S15" s="165">
        <v>146</v>
      </c>
    </row>
    <row r="16" spans="1:55" s="6" customFormat="1" ht="16.149999999999999" customHeight="1">
      <c r="A16" s="152">
        <v>11</v>
      </c>
      <c r="B16" s="157">
        <v>15</v>
      </c>
      <c r="C16" s="67" t="s">
        <v>164</v>
      </c>
      <c r="D16" s="164">
        <v>1002</v>
      </c>
      <c r="E16" s="164"/>
      <c r="F16" s="152">
        <v>31</v>
      </c>
      <c r="G16" s="157">
        <v>29</v>
      </c>
      <c r="H16" s="67" t="s">
        <v>177</v>
      </c>
      <c r="I16" s="164">
        <v>72</v>
      </c>
      <c r="J16" s="164"/>
      <c r="K16" s="152">
        <v>11</v>
      </c>
      <c r="L16" s="157">
        <v>15</v>
      </c>
      <c r="M16" s="67" t="s">
        <v>164</v>
      </c>
      <c r="N16" s="164">
        <v>1489</v>
      </c>
      <c r="O16" s="164"/>
      <c r="P16" s="152">
        <v>31</v>
      </c>
      <c r="Q16" s="157">
        <v>29</v>
      </c>
      <c r="R16" s="67" t="s">
        <v>177</v>
      </c>
      <c r="S16" s="164">
        <v>103</v>
      </c>
    </row>
    <row r="17" spans="1:19" s="6" customFormat="1" ht="16.149999999999999" customHeight="1">
      <c r="A17" s="126">
        <v>12</v>
      </c>
      <c r="B17" s="156">
        <v>8</v>
      </c>
      <c r="C17" s="67" t="s">
        <v>135</v>
      </c>
      <c r="D17" s="164">
        <v>700</v>
      </c>
      <c r="E17" s="164"/>
      <c r="F17" s="126">
        <v>32</v>
      </c>
      <c r="G17" s="156">
        <v>43</v>
      </c>
      <c r="H17" s="67" t="s">
        <v>188</v>
      </c>
      <c r="I17" s="164">
        <v>63</v>
      </c>
      <c r="J17" s="164"/>
      <c r="K17" s="126">
        <v>12</v>
      </c>
      <c r="L17" s="156">
        <v>23</v>
      </c>
      <c r="M17" s="67" t="s">
        <v>172</v>
      </c>
      <c r="N17" s="164">
        <v>1070</v>
      </c>
      <c r="O17" s="164"/>
      <c r="P17" s="126">
        <v>32</v>
      </c>
      <c r="Q17" s="156">
        <v>18</v>
      </c>
      <c r="R17" s="67" t="s">
        <v>166</v>
      </c>
      <c r="S17" s="164">
        <v>101</v>
      </c>
    </row>
    <row r="18" spans="1:19" s="6" customFormat="1" ht="16.149999999999999" customHeight="1">
      <c r="A18" s="126">
        <v>13</v>
      </c>
      <c r="B18" s="156">
        <v>9</v>
      </c>
      <c r="C18" s="67" t="s">
        <v>160</v>
      </c>
      <c r="D18" s="164">
        <v>641</v>
      </c>
      <c r="E18" s="164"/>
      <c r="F18" s="126">
        <v>33</v>
      </c>
      <c r="G18" s="156">
        <v>18</v>
      </c>
      <c r="H18" s="67" t="s">
        <v>166</v>
      </c>
      <c r="I18" s="164">
        <v>59</v>
      </c>
      <c r="J18" s="164"/>
      <c r="K18" s="126">
        <v>13</v>
      </c>
      <c r="L18" s="156">
        <v>8</v>
      </c>
      <c r="M18" s="67" t="s">
        <v>135</v>
      </c>
      <c r="N18" s="164">
        <v>1066</v>
      </c>
      <c r="O18" s="164"/>
      <c r="P18" s="126">
        <v>33</v>
      </c>
      <c r="Q18" s="156">
        <v>35</v>
      </c>
      <c r="R18" s="67" t="s">
        <v>113</v>
      </c>
      <c r="S18" s="164">
        <v>87</v>
      </c>
    </row>
    <row r="19" spans="1:19" s="6" customFormat="1" ht="16.149999999999999" customHeight="1">
      <c r="A19" s="126">
        <v>14</v>
      </c>
      <c r="B19" s="156">
        <v>23</v>
      </c>
      <c r="C19" s="67" t="s">
        <v>172</v>
      </c>
      <c r="D19" s="164">
        <v>635</v>
      </c>
      <c r="E19" s="164"/>
      <c r="F19" s="126">
        <v>34</v>
      </c>
      <c r="G19" s="156">
        <v>25</v>
      </c>
      <c r="H19" s="67" t="s">
        <v>175</v>
      </c>
      <c r="I19" s="164">
        <v>57</v>
      </c>
      <c r="J19" s="164"/>
      <c r="K19" s="126">
        <v>14</v>
      </c>
      <c r="L19" s="156">
        <v>9</v>
      </c>
      <c r="M19" s="67" t="s">
        <v>160</v>
      </c>
      <c r="N19" s="164">
        <v>933</v>
      </c>
      <c r="O19" s="164"/>
      <c r="P19" s="126">
        <v>34</v>
      </c>
      <c r="Q19" s="156">
        <v>46</v>
      </c>
      <c r="R19" s="67" t="s">
        <v>191</v>
      </c>
      <c r="S19" s="164">
        <v>80</v>
      </c>
    </row>
    <row r="20" spans="1:19" s="6" customFormat="1" ht="16.149999999999999" customHeight="1">
      <c r="A20" s="126">
        <v>15</v>
      </c>
      <c r="B20" s="156">
        <v>22</v>
      </c>
      <c r="C20" s="67" t="s">
        <v>171</v>
      </c>
      <c r="D20" s="164">
        <v>509</v>
      </c>
      <c r="E20" s="164"/>
      <c r="F20" s="126">
        <v>35</v>
      </c>
      <c r="G20" s="156">
        <v>30</v>
      </c>
      <c r="H20" s="67" t="s">
        <v>178</v>
      </c>
      <c r="I20" s="164">
        <v>54</v>
      </c>
      <c r="J20" s="164"/>
      <c r="K20" s="126">
        <v>15</v>
      </c>
      <c r="L20" s="156">
        <v>27</v>
      </c>
      <c r="M20" s="67" t="s">
        <v>176</v>
      </c>
      <c r="N20" s="164">
        <v>787</v>
      </c>
      <c r="O20" s="164"/>
      <c r="P20" s="126">
        <v>35</v>
      </c>
      <c r="Q20" s="156">
        <v>42</v>
      </c>
      <c r="R20" s="67" t="s">
        <v>31</v>
      </c>
      <c r="S20" s="164">
        <v>76</v>
      </c>
    </row>
    <row r="21" spans="1:19" s="6" customFormat="1" ht="16.149999999999999" customHeight="1">
      <c r="A21" s="126">
        <v>16</v>
      </c>
      <c r="B21" s="156">
        <v>27</v>
      </c>
      <c r="C21" s="67" t="s">
        <v>176</v>
      </c>
      <c r="D21" s="164">
        <v>445</v>
      </c>
      <c r="E21" s="164"/>
      <c r="F21" s="126">
        <v>36</v>
      </c>
      <c r="G21" s="156">
        <v>38</v>
      </c>
      <c r="H21" s="67" t="s">
        <v>184</v>
      </c>
      <c r="I21" s="164">
        <v>53</v>
      </c>
      <c r="J21" s="164"/>
      <c r="K21" s="126">
        <v>16</v>
      </c>
      <c r="L21" s="156">
        <v>10</v>
      </c>
      <c r="M21" s="67" t="s">
        <v>144</v>
      </c>
      <c r="N21" s="164">
        <v>733</v>
      </c>
      <c r="O21" s="164"/>
      <c r="P21" s="126">
        <v>36</v>
      </c>
      <c r="Q21" s="156">
        <v>37</v>
      </c>
      <c r="R21" s="67" t="s">
        <v>28</v>
      </c>
      <c r="S21" s="164">
        <v>59</v>
      </c>
    </row>
    <row r="22" spans="1:19" s="6" customFormat="1" ht="16.149999999999999" customHeight="1">
      <c r="A22" s="126">
        <v>17</v>
      </c>
      <c r="B22" s="156">
        <v>10</v>
      </c>
      <c r="C22" s="67" t="s">
        <v>144</v>
      </c>
      <c r="D22" s="164">
        <v>414</v>
      </c>
      <c r="E22" s="164"/>
      <c r="F22" s="126">
        <v>37</v>
      </c>
      <c r="G22" s="156">
        <v>35</v>
      </c>
      <c r="H22" s="67" t="s">
        <v>113</v>
      </c>
      <c r="I22" s="164">
        <v>52</v>
      </c>
      <c r="J22" s="164"/>
      <c r="K22" s="126">
        <v>17</v>
      </c>
      <c r="L22" s="156">
        <v>22</v>
      </c>
      <c r="M22" s="67" t="s">
        <v>171</v>
      </c>
      <c r="N22" s="164">
        <v>607</v>
      </c>
      <c r="O22" s="164"/>
      <c r="P22" s="126">
        <v>37</v>
      </c>
      <c r="Q22" s="156">
        <v>32</v>
      </c>
      <c r="R22" s="67" t="s">
        <v>181</v>
      </c>
      <c r="S22" s="164">
        <v>57</v>
      </c>
    </row>
    <row r="23" spans="1:19" s="6" customFormat="1" ht="16.149999999999999" customHeight="1">
      <c r="A23" s="126">
        <v>18</v>
      </c>
      <c r="B23" s="156">
        <v>28</v>
      </c>
      <c r="C23" s="67" t="s">
        <v>4</v>
      </c>
      <c r="D23" s="164">
        <v>299</v>
      </c>
      <c r="E23" s="164"/>
      <c r="F23" s="126">
        <v>38</v>
      </c>
      <c r="G23" s="156">
        <v>42</v>
      </c>
      <c r="H23" s="67" t="s">
        <v>31</v>
      </c>
      <c r="I23" s="164">
        <v>50</v>
      </c>
      <c r="J23" s="164"/>
      <c r="K23" s="126">
        <v>18</v>
      </c>
      <c r="L23" s="156">
        <v>28</v>
      </c>
      <c r="M23" s="67" t="s">
        <v>4</v>
      </c>
      <c r="N23" s="164">
        <v>389</v>
      </c>
      <c r="O23" s="164"/>
      <c r="P23" s="126">
        <v>38</v>
      </c>
      <c r="Q23" s="156">
        <v>38</v>
      </c>
      <c r="R23" s="67" t="s">
        <v>184</v>
      </c>
      <c r="S23" s="164">
        <v>50</v>
      </c>
    </row>
    <row r="24" spans="1:19" s="6" customFormat="1" ht="16.149999999999999" customHeight="1">
      <c r="A24" s="126">
        <v>19</v>
      </c>
      <c r="B24" s="156">
        <v>20</v>
      </c>
      <c r="C24" s="67" t="s">
        <v>169</v>
      </c>
      <c r="D24" s="164">
        <v>275</v>
      </c>
      <c r="E24" s="164"/>
      <c r="F24" s="126">
        <v>39</v>
      </c>
      <c r="G24" s="156">
        <v>45</v>
      </c>
      <c r="H24" s="67" t="s">
        <v>190</v>
      </c>
      <c r="I24" s="164">
        <v>48</v>
      </c>
      <c r="J24" s="164"/>
      <c r="K24" s="126">
        <v>19</v>
      </c>
      <c r="L24" s="156">
        <v>20</v>
      </c>
      <c r="M24" s="67" t="s">
        <v>169</v>
      </c>
      <c r="N24" s="164">
        <v>366</v>
      </c>
      <c r="O24" s="164"/>
      <c r="P24" s="126">
        <v>38</v>
      </c>
      <c r="Q24" s="156">
        <v>43</v>
      </c>
      <c r="R24" s="67" t="s">
        <v>188</v>
      </c>
      <c r="S24" s="164">
        <v>50</v>
      </c>
    </row>
    <row r="25" spans="1:19" s="6" customFormat="1" ht="16.149999999999999" customHeight="1">
      <c r="A25" s="127">
        <v>20</v>
      </c>
      <c r="B25" s="155">
        <v>26</v>
      </c>
      <c r="C25" s="162" t="s">
        <v>11</v>
      </c>
      <c r="D25" s="163">
        <v>190</v>
      </c>
      <c r="E25" s="164"/>
      <c r="F25" s="166">
        <v>40</v>
      </c>
      <c r="G25" s="168">
        <v>41</v>
      </c>
      <c r="H25" s="161" t="s">
        <v>103</v>
      </c>
      <c r="I25" s="165">
        <v>45</v>
      </c>
      <c r="J25" s="164"/>
      <c r="K25" s="127">
        <v>20</v>
      </c>
      <c r="L25" s="155">
        <v>26</v>
      </c>
      <c r="M25" s="162" t="s">
        <v>11</v>
      </c>
      <c r="N25" s="163">
        <v>347</v>
      </c>
      <c r="O25" s="164"/>
      <c r="P25" s="166">
        <v>40</v>
      </c>
      <c r="Q25" s="168">
        <v>39</v>
      </c>
      <c r="R25" s="161" t="s">
        <v>108</v>
      </c>
      <c r="S25" s="165">
        <v>45</v>
      </c>
    </row>
    <row r="26" spans="1:19" s="6" customFormat="1" ht="16.149999999999999" customHeight="1">
      <c r="E26" s="164"/>
      <c r="F26" s="6">
        <v>41</v>
      </c>
      <c r="G26" s="156">
        <v>37</v>
      </c>
      <c r="H26" s="67" t="s">
        <v>28</v>
      </c>
      <c r="I26" s="164">
        <v>36</v>
      </c>
      <c r="J26" s="164"/>
      <c r="O26" s="164"/>
      <c r="P26" s="6">
        <v>40</v>
      </c>
      <c r="Q26" s="156">
        <v>45</v>
      </c>
      <c r="R26" s="67" t="s">
        <v>190</v>
      </c>
      <c r="S26" s="164">
        <v>45</v>
      </c>
    </row>
    <row r="27" spans="1:19" s="6" customFormat="1" ht="16.149999999999999" customHeight="1">
      <c r="E27" s="164"/>
      <c r="F27" s="6">
        <v>41</v>
      </c>
      <c r="G27" s="156">
        <v>44</v>
      </c>
      <c r="H27" s="67" t="s">
        <v>189</v>
      </c>
      <c r="I27" s="164">
        <v>36</v>
      </c>
      <c r="J27" s="164"/>
      <c r="O27" s="164"/>
      <c r="P27" s="6">
        <v>42</v>
      </c>
      <c r="Q27" s="156">
        <v>44</v>
      </c>
      <c r="R27" s="67" t="s">
        <v>189</v>
      </c>
      <c r="S27" s="164">
        <v>44</v>
      </c>
    </row>
    <row r="28" spans="1:19" s="6" customFormat="1" ht="16.149999999999999" customHeight="1">
      <c r="E28" s="164"/>
      <c r="F28" s="6">
        <v>43</v>
      </c>
      <c r="G28" s="156">
        <v>36</v>
      </c>
      <c r="H28" s="67" t="s">
        <v>183</v>
      </c>
      <c r="I28" s="164">
        <v>34</v>
      </c>
      <c r="J28" s="164"/>
      <c r="O28" s="164"/>
      <c r="P28" s="6">
        <v>43</v>
      </c>
      <c r="Q28" s="156">
        <v>31</v>
      </c>
      <c r="R28" s="67" t="s">
        <v>179</v>
      </c>
      <c r="S28" s="164">
        <v>30</v>
      </c>
    </row>
    <row r="29" spans="1:19" s="6" customFormat="1" ht="16.149999999999999" customHeight="1">
      <c r="E29" s="164"/>
      <c r="F29" s="6">
        <v>44</v>
      </c>
      <c r="G29" s="156">
        <v>39</v>
      </c>
      <c r="H29" s="67" t="s">
        <v>108</v>
      </c>
      <c r="I29" s="164">
        <v>23</v>
      </c>
      <c r="J29" s="164"/>
      <c r="O29" s="164"/>
      <c r="P29" s="6">
        <v>43</v>
      </c>
      <c r="Q29" s="156">
        <v>41</v>
      </c>
      <c r="R29" s="67" t="s">
        <v>103</v>
      </c>
      <c r="S29" s="164">
        <v>30</v>
      </c>
    </row>
    <row r="30" spans="1:19" s="6" customFormat="1" ht="16.149999999999999" customHeight="1">
      <c r="E30" s="164"/>
      <c r="F30" s="6">
        <v>45</v>
      </c>
      <c r="G30" s="156">
        <v>31</v>
      </c>
      <c r="H30" s="67" t="s">
        <v>179</v>
      </c>
      <c r="I30" s="164">
        <v>22</v>
      </c>
      <c r="J30" s="164"/>
      <c r="O30" s="164"/>
      <c r="P30" s="6">
        <v>45</v>
      </c>
      <c r="Q30" s="156">
        <v>30</v>
      </c>
      <c r="R30" s="67" t="s">
        <v>178</v>
      </c>
      <c r="S30" s="164">
        <v>29</v>
      </c>
    </row>
    <row r="31" spans="1:19" s="6" customFormat="1" ht="16.149999999999999" customHeight="1">
      <c r="E31" s="164"/>
      <c r="F31" s="6">
        <v>45</v>
      </c>
      <c r="G31" s="156">
        <v>32</v>
      </c>
      <c r="H31" s="67" t="s">
        <v>181</v>
      </c>
      <c r="I31" s="164">
        <v>22</v>
      </c>
      <c r="J31" s="164"/>
      <c r="O31" s="164"/>
      <c r="P31" s="13">
        <v>46</v>
      </c>
      <c r="Q31" s="155">
        <v>36</v>
      </c>
      <c r="R31" s="162" t="s">
        <v>183</v>
      </c>
      <c r="S31" s="163">
        <v>24</v>
      </c>
    </row>
    <row r="32" spans="1:19" s="6" customFormat="1" ht="16.149999999999999" customHeight="1">
      <c r="E32" s="164"/>
      <c r="F32" s="82" t="s">
        <v>363</v>
      </c>
      <c r="G32" s="169"/>
      <c r="H32" s="73" t="s">
        <v>145</v>
      </c>
      <c r="I32" s="73">
        <v>2112</v>
      </c>
      <c r="J32" s="164"/>
      <c r="O32" s="164"/>
      <c r="Q32" s="170"/>
      <c r="R32" s="75"/>
      <c r="S32" s="164"/>
    </row>
    <row r="33" spans="1:19" s="6" customFormat="1" ht="16.149999999999999" customHeight="1">
      <c r="E33" s="164"/>
      <c r="G33" s="170"/>
      <c r="H33" s="75"/>
      <c r="I33" s="164"/>
      <c r="J33" s="164"/>
      <c r="O33" s="164"/>
      <c r="Q33" s="170"/>
      <c r="R33" s="75"/>
      <c r="S33" s="164"/>
    </row>
    <row r="34" spans="1:19" s="6" customFormat="1" ht="16.149999999999999" customHeight="1">
      <c r="A34" s="6" t="s">
        <v>407</v>
      </c>
      <c r="E34" s="164"/>
      <c r="G34" s="170"/>
      <c r="H34" s="75"/>
      <c r="I34" s="164"/>
      <c r="J34" s="164"/>
      <c r="O34" s="164"/>
      <c r="Q34" s="170"/>
      <c r="R34" s="75"/>
      <c r="S34" s="164"/>
    </row>
    <row r="35" spans="1:19" s="6" customFormat="1" ht="16.149999999999999" customHeight="1">
      <c r="E35" s="164"/>
      <c r="G35" s="170"/>
      <c r="H35" s="75"/>
      <c r="I35" s="164"/>
      <c r="J35" s="164"/>
      <c r="O35" s="164"/>
      <c r="Q35" s="170"/>
      <c r="R35" s="75"/>
      <c r="S35" s="164"/>
    </row>
    <row r="36" spans="1:19" s="6" customFormat="1" ht="16.149999999999999" customHeight="1">
      <c r="E36" s="164"/>
      <c r="G36" s="170"/>
      <c r="H36" s="75"/>
      <c r="I36" s="164"/>
      <c r="J36" s="164"/>
      <c r="O36" s="164"/>
      <c r="Q36" s="170"/>
      <c r="R36" s="75"/>
      <c r="S36" s="164"/>
    </row>
    <row r="37" spans="1:19" s="6" customFormat="1" ht="16.149999999999999" customHeight="1">
      <c r="E37" s="164"/>
      <c r="G37" s="170"/>
      <c r="H37" s="75"/>
      <c r="I37" s="164"/>
      <c r="J37" s="164"/>
      <c r="O37" s="164"/>
      <c r="Q37" s="170"/>
      <c r="R37" s="75"/>
      <c r="S37" s="164"/>
    </row>
    <row r="38" spans="1:19" s="6" customFormat="1" ht="16.149999999999999" customHeight="1">
      <c r="E38" s="164"/>
      <c r="G38" s="170"/>
      <c r="H38" s="75"/>
      <c r="I38" s="164"/>
      <c r="J38" s="164"/>
      <c r="O38" s="164"/>
      <c r="Q38" s="170"/>
      <c r="R38" s="75"/>
      <c r="S38" s="164"/>
    </row>
    <row r="39" spans="1:19" s="6" customFormat="1" ht="16.149999999999999" customHeight="1">
      <c r="E39" s="164"/>
      <c r="G39" s="170"/>
      <c r="H39" s="75"/>
      <c r="I39" s="164"/>
      <c r="J39" s="164"/>
      <c r="O39" s="164"/>
      <c r="Q39" s="170"/>
      <c r="R39" s="75"/>
      <c r="S39" s="164"/>
    </row>
    <row r="40" spans="1:19" s="6" customFormat="1" ht="16.149999999999999" customHeight="1">
      <c r="E40" s="164"/>
      <c r="G40" s="170"/>
      <c r="H40" s="75"/>
      <c r="I40" s="164"/>
      <c r="J40" s="164"/>
      <c r="O40" s="164"/>
      <c r="Q40" s="170"/>
      <c r="R40" s="75"/>
      <c r="S40" s="164"/>
    </row>
    <row r="41" spans="1:19" s="6" customFormat="1" ht="16.149999999999999" customHeight="1">
      <c r="E41" s="164"/>
      <c r="G41" s="170"/>
      <c r="H41" s="75"/>
      <c r="I41" s="164"/>
      <c r="J41" s="164"/>
      <c r="O41" s="164"/>
      <c r="Q41" s="170"/>
      <c r="R41" s="75"/>
      <c r="S41" s="164"/>
    </row>
    <row r="42" spans="1:19" s="6" customFormat="1" ht="16.149999999999999" customHeight="1">
      <c r="E42" s="164"/>
      <c r="G42" s="170"/>
      <c r="H42" s="75"/>
      <c r="I42" s="164"/>
      <c r="J42" s="164"/>
      <c r="O42" s="164"/>
      <c r="Q42" s="170"/>
      <c r="R42" s="75"/>
      <c r="S42" s="164"/>
    </row>
    <row r="43" spans="1:19" s="6" customFormat="1" ht="16.149999999999999" customHeight="1">
      <c r="E43" s="164"/>
      <c r="G43" s="170"/>
      <c r="H43" s="75"/>
      <c r="I43" s="164"/>
      <c r="J43" s="164"/>
      <c r="O43" s="164"/>
      <c r="Q43" s="170"/>
      <c r="R43" s="75"/>
      <c r="S43" s="164"/>
    </row>
    <row r="44" spans="1:19" s="6" customFormat="1" ht="16.149999999999999" customHeight="1">
      <c r="E44" s="164"/>
      <c r="G44" s="170"/>
      <c r="H44" s="75"/>
      <c r="I44" s="164"/>
      <c r="J44" s="164"/>
      <c r="O44" s="164"/>
      <c r="Q44" s="170"/>
      <c r="R44" s="75"/>
      <c r="S44" s="164"/>
    </row>
    <row r="45" spans="1:19" s="6" customFormat="1" ht="16.149999999999999" customHeight="1">
      <c r="E45" s="164"/>
      <c r="G45" s="170"/>
      <c r="H45" s="75"/>
      <c r="I45" s="164"/>
      <c r="J45" s="164"/>
      <c r="O45" s="164"/>
      <c r="Q45" s="170"/>
      <c r="R45" s="75"/>
      <c r="S45" s="164"/>
    </row>
    <row r="46" spans="1:19" s="6" customFormat="1" ht="16.149999999999999" customHeight="1">
      <c r="E46" s="164"/>
      <c r="G46" s="170"/>
      <c r="H46" s="75"/>
      <c r="I46" s="164"/>
      <c r="J46" s="164"/>
      <c r="O46" s="164"/>
      <c r="Q46" s="170"/>
      <c r="R46" s="75"/>
      <c r="S46" s="164"/>
    </row>
    <row r="47" spans="1:19" s="6" customFormat="1" ht="16.149999999999999" customHeight="1">
      <c r="E47" s="164"/>
      <c r="G47" s="170"/>
      <c r="H47" s="75"/>
      <c r="I47" s="164"/>
      <c r="J47" s="164"/>
      <c r="O47" s="164"/>
      <c r="Q47" s="170"/>
      <c r="R47" s="75"/>
      <c r="S47" s="164"/>
    </row>
    <row r="48" spans="1:19" s="6" customFormat="1" ht="16.149999999999999" customHeight="1">
      <c r="E48" s="164"/>
      <c r="G48" s="170"/>
      <c r="H48" s="75"/>
      <c r="I48" s="164"/>
      <c r="J48" s="164"/>
      <c r="O48" s="164"/>
      <c r="Q48" s="170"/>
      <c r="R48" s="75"/>
      <c r="S48" s="164"/>
    </row>
    <row r="49" spans="4:19" s="6" customFormat="1" ht="16.149999999999999" customHeight="1">
      <c r="E49" s="164"/>
      <c r="G49" s="170"/>
      <c r="H49" s="75"/>
      <c r="I49" s="164"/>
      <c r="J49" s="164"/>
      <c r="O49" s="164"/>
      <c r="Q49" s="170"/>
      <c r="R49" s="75"/>
      <c r="S49" s="164"/>
    </row>
    <row r="50" spans="4:19" s="6" customFormat="1" ht="16.149999999999999" customHeight="1">
      <c r="E50" s="164"/>
      <c r="G50" s="170"/>
      <c r="H50" s="75"/>
      <c r="I50" s="164"/>
      <c r="J50" s="164"/>
      <c r="O50" s="164"/>
      <c r="Q50" s="170"/>
      <c r="R50" s="75"/>
      <c r="S50" s="164"/>
    </row>
    <row r="51" spans="4:19" s="6" customFormat="1" ht="16.149999999999999" customHeight="1">
      <c r="E51" s="164"/>
      <c r="G51" s="170"/>
      <c r="H51" s="75"/>
      <c r="I51" s="164"/>
      <c r="J51" s="164"/>
      <c r="O51" s="164"/>
      <c r="Q51" s="170"/>
      <c r="R51" s="75"/>
      <c r="S51" s="164"/>
    </row>
    <row r="52" spans="4:19" s="6" customFormat="1" ht="16.149999999999999" customHeight="1">
      <c r="E52" s="75"/>
      <c r="G52" s="75"/>
      <c r="H52" s="75"/>
      <c r="I52" s="164"/>
      <c r="J52" s="164"/>
      <c r="M52" s="63"/>
    </row>
    <row r="53" spans="4:19">
      <c r="D53" s="75"/>
      <c r="I53" s="75"/>
      <c r="J53" s="75"/>
    </row>
    <row r="55" spans="4:19" ht="8.1" customHeight="1"/>
    <row r="56" spans="4:19" ht="15.6" customHeight="1"/>
    <row r="57" spans="4:19" ht="15.6" customHeight="1"/>
    <row r="58" spans="4:19" ht="15.6" customHeight="1"/>
    <row r="59" spans="4:19" ht="15.6" customHeight="1"/>
    <row r="60" spans="4:19" ht="15.6" customHeight="1"/>
    <row r="61" spans="4:19" ht="15.6" customHeight="1"/>
    <row r="62" spans="4:19" ht="15.6" customHeight="1"/>
    <row r="63" spans="4:19" ht="15.6" customHeight="1"/>
    <row r="64" spans="4:19"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sheetData>
  <sortState ref="Z6:AC51">
    <sortCondition descending="1" ref="AC6:AC51"/>
  </sortState>
  <mergeCells count="16">
    <mergeCell ref="B5:C5"/>
    <mergeCell ref="G5:H5"/>
    <mergeCell ref="L5:M5"/>
    <mergeCell ref="Q5:R5"/>
    <mergeCell ref="A3:A5"/>
    <mergeCell ref="B3:C4"/>
    <mergeCell ref="D3:D4"/>
    <mergeCell ref="F3:F5"/>
    <mergeCell ref="G3:H4"/>
    <mergeCell ref="I3:I4"/>
    <mergeCell ref="K3:K5"/>
    <mergeCell ref="L3:M4"/>
    <mergeCell ref="N3:N4"/>
    <mergeCell ref="P3:P5"/>
    <mergeCell ref="Q3:R4"/>
    <mergeCell ref="S3:S4"/>
  </mergeCells>
  <phoneticPr fontId="8"/>
  <hyperlinks>
    <hyperlink ref="U3" location="目次!A23"/>
  </hyperlinks>
  <printOptions horizontalCentered="1"/>
  <pageMargins left="0.39370078740157483" right="0.39370078740157483" top="0.39370078740157483" bottom="0.39370078740157483" header="0.19685039370078741" footer="0.19685039370078741"/>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29"/>
  <sheetViews>
    <sheetView showGridLines="0" workbookViewId="0">
      <selection activeCell="M36" sqref="M36"/>
    </sheetView>
  </sheetViews>
  <sheetFormatPr defaultRowHeight="13.5"/>
  <sheetData>
    <row r="1" spans="1:11">
      <c r="A1" s="42" t="s">
        <v>360</v>
      </c>
    </row>
    <row r="4" spans="1:11">
      <c r="K4" s="43" t="s">
        <v>118</v>
      </c>
    </row>
    <row r="28" spans="1:1">
      <c r="A28" s="6" t="s">
        <v>407</v>
      </c>
    </row>
    <row r="29" spans="1:1">
      <c r="A29" s="6" t="s">
        <v>408</v>
      </c>
    </row>
  </sheetData>
  <phoneticPr fontId="8"/>
  <hyperlinks>
    <hyperlink ref="K4" location="目次!A25"/>
  </hyperlinks>
  <pageMargins left="0.7" right="0.7" top="0.75" bottom="0.75" header="0.3" footer="0.3"/>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25"/>
  <sheetViews>
    <sheetView showGridLines="0" workbookViewId="0"/>
  </sheetViews>
  <sheetFormatPr defaultRowHeight="13.5"/>
  <cols>
    <col min="1" max="1" width="3.625" style="6" customWidth="1"/>
    <col min="2" max="2" width="9" style="6" customWidth="1"/>
    <col min="3" max="21" width="7.125" style="6" customWidth="1"/>
    <col min="22" max="16384" width="9" style="6" customWidth="1"/>
  </cols>
  <sheetData>
    <row r="1" spans="1:23" s="173" customFormat="1" ht="14.25" customHeight="1">
      <c r="A1" s="0" t="s">
        <v>307</v>
      </c>
      <c r="B1" s="175"/>
      <c r="C1" s="175"/>
      <c r="D1" s="175"/>
      <c r="E1" s="175"/>
      <c r="F1" s="175"/>
      <c r="G1" s="175"/>
      <c r="H1" s="175"/>
      <c r="I1" s="175"/>
      <c r="J1" s="175"/>
      <c r="K1" s="175"/>
      <c r="L1" s="175"/>
      <c r="M1" s="175"/>
      <c r="N1" s="175"/>
      <c r="O1" s="175"/>
      <c r="P1" s="175"/>
      <c r="Q1" s="175"/>
      <c r="R1" s="175"/>
      <c r="S1" s="175"/>
      <c r="T1" s="175"/>
      <c r="U1" s="175"/>
      <c r="W1" s="175"/>
    </row>
    <row r="2" spans="1:23" s="173" customFormat="1" ht="14.25" customHeight="1">
      <c r="A2" s="175"/>
      <c r="B2" s="175"/>
      <c r="C2" s="175"/>
      <c r="D2" s="175"/>
      <c r="E2" s="175"/>
      <c r="F2" s="175"/>
      <c r="G2" s="175"/>
      <c r="H2" s="175"/>
      <c r="I2" s="175"/>
      <c r="J2" s="175"/>
      <c r="K2" s="175"/>
      <c r="L2" s="175"/>
      <c r="M2" s="175"/>
      <c r="N2" s="175"/>
      <c r="O2" s="175"/>
      <c r="P2" s="175"/>
      <c r="Q2" s="175"/>
      <c r="R2" s="175"/>
      <c r="S2" s="175"/>
      <c r="T2" s="175"/>
      <c r="U2" s="175"/>
      <c r="W2" s="175"/>
    </row>
    <row r="3" spans="1:23" ht="14.25" customHeight="1">
      <c r="A3" s="151" t="s">
        <v>283</v>
      </c>
      <c r="B3" s="176" t="s">
        <v>329</v>
      </c>
      <c r="C3" s="68" t="s">
        <v>213</v>
      </c>
      <c r="D3" s="88" t="s">
        <v>34</v>
      </c>
      <c r="E3" s="88" t="s">
        <v>98</v>
      </c>
      <c r="F3" s="88" t="s">
        <v>288</v>
      </c>
      <c r="G3" s="88" t="s">
        <v>289</v>
      </c>
      <c r="H3" s="88" t="s">
        <v>290</v>
      </c>
      <c r="I3" s="88" t="s">
        <v>291</v>
      </c>
      <c r="J3" s="88" t="s">
        <v>292</v>
      </c>
      <c r="K3" s="88" t="s">
        <v>180</v>
      </c>
      <c r="L3" s="88" t="s">
        <v>21</v>
      </c>
      <c r="M3" s="88" t="s">
        <v>293</v>
      </c>
      <c r="N3" s="88" t="s">
        <v>294</v>
      </c>
      <c r="O3" s="88" t="s">
        <v>295</v>
      </c>
      <c r="P3" s="88" t="s">
        <v>112</v>
      </c>
      <c r="Q3" s="88" t="s">
        <v>296</v>
      </c>
      <c r="R3" s="88" t="s">
        <v>83</v>
      </c>
      <c r="S3" s="88" t="s">
        <v>298</v>
      </c>
      <c r="T3" s="88" t="s">
        <v>299</v>
      </c>
      <c r="U3" s="62" t="s">
        <v>226</v>
      </c>
      <c r="W3" s="146" t="s">
        <v>118</v>
      </c>
    </row>
    <row r="4" spans="1:23" ht="14.25" customHeight="1">
      <c r="A4" s="52"/>
      <c r="B4" s="177"/>
      <c r="C4" s="69"/>
      <c r="D4" s="111"/>
      <c r="E4" s="111"/>
      <c r="F4" s="111"/>
      <c r="G4" s="111"/>
      <c r="H4" s="111"/>
      <c r="I4" s="111"/>
      <c r="J4" s="111"/>
      <c r="K4" s="111"/>
      <c r="L4" s="111"/>
      <c r="M4" s="111"/>
      <c r="N4" s="111"/>
      <c r="O4" s="111"/>
      <c r="P4" s="111"/>
      <c r="Q4" s="111"/>
      <c r="R4" s="111"/>
      <c r="S4" s="111"/>
      <c r="T4" s="111"/>
      <c r="U4" s="108"/>
    </row>
    <row r="5" spans="1:23" ht="14.25" customHeight="1">
      <c r="A5" s="54"/>
      <c r="B5" s="178"/>
      <c r="C5" s="70"/>
      <c r="D5" s="112"/>
      <c r="E5" s="112"/>
      <c r="F5" s="112"/>
      <c r="G5" s="112"/>
      <c r="H5" s="112"/>
      <c r="I5" s="112"/>
      <c r="J5" s="112"/>
      <c r="K5" s="112"/>
      <c r="L5" s="112"/>
      <c r="M5" s="112"/>
      <c r="N5" s="112"/>
      <c r="O5" s="112"/>
      <c r="P5" s="112"/>
      <c r="Q5" s="112"/>
      <c r="R5" s="112"/>
      <c r="S5" s="112"/>
      <c r="T5" s="112"/>
      <c r="U5" s="119"/>
    </row>
    <row r="6" spans="1:23" ht="14.25" customHeight="1">
      <c r="B6" s="179" t="s">
        <v>285</v>
      </c>
      <c r="C6" s="126"/>
      <c r="D6" s="69"/>
      <c r="E6" s="69"/>
      <c r="F6" s="69"/>
      <c r="G6" s="69"/>
      <c r="H6" s="69"/>
      <c r="I6" s="69"/>
      <c r="J6" s="69"/>
      <c r="K6" s="69"/>
      <c r="L6" s="69"/>
      <c r="M6" s="69"/>
      <c r="N6" s="69"/>
      <c r="O6" s="69"/>
      <c r="P6" s="69"/>
      <c r="Q6" s="69"/>
      <c r="R6" s="69"/>
      <c r="S6" s="69"/>
      <c r="T6" s="69"/>
      <c r="U6" s="45"/>
    </row>
    <row r="7" spans="1:23" s="174" customFormat="1" ht="14.25" customHeight="1">
      <c r="A7" s="96">
        <v>1</v>
      </c>
      <c r="B7" s="180" t="s">
        <v>286</v>
      </c>
      <c r="C7" s="182">
        <v>4820</v>
      </c>
      <c r="D7" s="184">
        <v>193</v>
      </c>
      <c r="E7" s="184">
        <v>239</v>
      </c>
      <c r="F7" s="184">
        <v>114</v>
      </c>
      <c r="G7" s="184">
        <v>137</v>
      </c>
      <c r="H7" s="184">
        <v>639</v>
      </c>
      <c r="I7" s="184">
        <v>883</v>
      </c>
      <c r="J7" s="184">
        <v>528</v>
      </c>
      <c r="K7" s="184">
        <v>425</v>
      </c>
      <c r="L7" s="184">
        <v>365</v>
      </c>
      <c r="M7" s="184">
        <v>416</v>
      </c>
      <c r="N7" s="184">
        <v>316</v>
      </c>
      <c r="O7" s="184">
        <v>240</v>
      </c>
      <c r="P7" s="184">
        <v>163</v>
      </c>
      <c r="Q7" s="184">
        <v>94</v>
      </c>
      <c r="R7" s="184">
        <v>32</v>
      </c>
      <c r="S7" s="184">
        <v>10</v>
      </c>
      <c r="T7" s="184">
        <v>15</v>
      </c>
      <c r="U7" s="174">
        <v>11</v>
      </c>
    </row>
    <row r="8" spans="1:23" ht="14.25" customHeight="1">
      <c r="A8" s="116">
        <v>2</v>
      </c>
      <c r="B8" s="180" t="s">
        <v>25</v>
      </c>
      <c r="C8" s="182">
        <v>4783</v>
      </c>
      <c r="D8" s="184">
        <v>170</v>
      </c>
      <c r="E8" s="184">
        <v>235</v>
      </c>
      <c r="F8" s="184">
        <v>70</v>
      </c>
      <c r="G8" s="184">
        <v>67</v>
      </c>
      <c r="H8" s="184">
        <v>357</v>
      </c>
      <c r="I8" s="184">
        <v>804</v>
      </c>
      <c r="J8" s="184">
        <v>626</v>
      </c>
      <c r="K8" s="184">
        <v>542</v>
      </c>
      <c r="L8" s="184">
        <v>355</v>
      </c>
      <c r="M8" s="184">
        <v>273</v>
      </c>
      <c r="N8" s="184">
        <v>288</v>
      </c>
      <c r="O8" s="184">
        <v>230</v>
      </c>
      <c r="P8" s="184">
        <v>258</v>
      </c>
      <c r="Q8" s="184">
        <v>232</v>
      </c>
      <c r="R8" s="184">
        <v>142</v>
      </c>
      <c r="S8" s="184">
        <v>58</v>
      </c>
      <c r="T8" s="184">
        <v>35</v>
      </c>
      <c r="U8" s="174">
        <v>41</v>
      </c>
    </row>
    <row r="9" spans="1:23" ht="14.25" customHeight="1">
      <c r="A9" s="116">
        <v>3</v>
      </c>
      <c r="B9" s="179" t="s">
        <v>211</v>
      </c>
      <c r="C9" s="182">
        <v>2999</v>
      </c>
      <c r="D9" s="184">
        <v>85</v>
      </c>
      <c r="E9" s="184">
        <v>134</v>
      </c>
      <c r="F9" s="184">
        <v>76</v>
      </c>
      <c r="G9" s="184">
        <v>213</v>
      </c>
      <c r="H9" s="184">
        <v>585</v>
      </c>
      <c r="I9" s="184">
        <v>381</v>
      </c>
      <c r="J9" s="184">
        <v>315</v>
      </c>
      <c r="K9" s="184">
        <v>263</v>
      </c>
      <c r="L9" s="184">
        <v>247</v>
      </c>
      <c r="M9" s="184">
        <v>208</v>
      </c>
      <c r="N9" s="184">
        <v>190</v>
      </c>
      <c r="O9" s="184">
        <v>128</v>
      </c>
      <c r="P9" s="184">
        <v>79</v>
      </c>
      <c r="Q9" s="184">
        <v>30</v>
      </c>
      <c r="R9" s="184">
        <v>20</v>
      </c>
      <c r="S9" s="184">
        <v>8</v>
      </c>
      <c r="T9" s="184">
        <v>12</v>
      </c>
      <c r="U9" s="174">
        <v>25</v>
      </c>
    </row>
    <row r="10" spans="1:23" ht="14.25" customHeight="1">
      <c r="A10" s="116">
        <v>4</v>
      </c>
      <c r="B10" s="180" t="s">
        <v>117</v>
      </c>
      <c r="C10" s="182">
        <v>2979</v>
      </c>
      <c r="D10" s="184">
        <v>96</v>
      </c>
      <c r="E10" s="184">
        <v>126</v>
      </c>
      <c r="F10" s="184">
        <v>72</v>
      </c>
      <c r="G10" s="184">
        <v>201</v>
      </c>
      <c r="H10" s="184">
        <v>496</v>
      </c>
      <c r="I10" s="184">
        <v>437</v>
      </c>
      <c r="J10" s="184">
        <v>309</v>
      </c>
      <c r="K10" s="184">
        <v>256</v>
      </c>
      <c r="L10" s="184">
        <v>246</v>
      </c>
      <c r="M10" s="184">
        <v>228</v>
      </c>
      <c r="N10" s="184">
        <v>178</v>
      </c>
      <c r="O10" s="184">
        <v>162</v>
      </c>
      <c r="P10" s="184">
        <v>65</v>
      </c>
      <c r="Q10" s="184">
        <v>45</v>
      </c>
      <c r="R10" s="184">
        <v>26</v>
      </c>
      <c r="S10" s="184">
        <v>4</v>
      </c>
      <c r="T10" s="184">
        <v>9</v>
      </c>
      <c r="U10" s="187">
        <v>23</v>
      </c>
    </row>
    <row r="11" spans="1:23" ht="14.25" customHeight="1">
      <c r="A11" s="120">
        <v>5</v>
      </c>
      <c r="B11" s="179" t="s">
        <v>131</v>
      </c>
      <c r="C11" s="182">
        <v>2360</v>
      </c>
      <c r="D11" s="184">
        <v>83</v>
      </c>
      <c r="E11" s="184">
        <v>101</v>
      </c>
      <c r="F11" s="184">
        <v>54</v>
      </c>
      <c r="G11" s="184">
        <v>40</v>
      </c>
      <c r="H11" s="184">
        <v>218</v>
      </c>
      <c r="I11" s="184">
        <v>392</v>
      </c>
      <c r="J11" s="184">
        <v>272</v>
      </c>
      <c r="K11" s="184">
        <v>235</v>
      </c>
      <c r="L11" s="184">
        <v>143</v>
      </c>
      <c r="M11" s="184">
        <v>121</v>
      </c>
      <c r="N11" s="184">
        <v>109</v>
      </c>
      <c r="O11" s="184">
        <v>120</v>
      </c>
      <c r="P11" s="184">
        <v>136</v>
      </c>
      <c r="Q11" s="184">
        <v>158</v>
      </c>
      <c r="R11" s="184">
        <v>96</v>
      </c>
      <c r="S11" s="184">
        <v>41</v>
      </c>
      <c r="T11" s="184">
        <v>20</v>
      </c>
      <c r="U11" s="134">
        <v>21</v>
      </c>
    </row>
    <row r="12" spans="1:23" ht="14.25" customHeight="1">
      <c r="A12" s="122"/>
      <c r="B12" s="181"/>
      <c r="C12" s="183"/>
      <c r="D12" s="185"/>
      <c r="E12" s="185"/>
      <c r="F12" s="185"/>
      <c r="G12" s="185"/>
      <c r="H12" s="185"/>
      <c r="I12" s="185"/>
      <c r="J12" s="185"/>
      <c r="K12" s="185"/>
      <c r="L12" s="185"/>
      <c r="M12" s="185"/>
      <c r="N12" s="185"/>
      <c r="O12" s="185"/>
      <c r="P12" s="185"/>
      <c r="Q12" s="185"/>
      <c r="R12" s="185"/>
      <c r="S12" s="185"/>
      <c r="T12" s="185"/>
      <c r="U12" s="188"/>
    </row>
    <row r="13" spans="1:23" ht="14.25" customHeight="1">
      <c r="B13" s="179" t="s">
        <v>10</v>
      </c>
      <c r="C13" s="126"/>
      <c r="D13" s="69"/>
      <c r="E13" s="69"/>
      <c r="F13" s="69"/>
      <c r="G13" s="69"/>
      <c r="H13" s="69"/>
      <c r="I13" s="69"/>
      <c r="J13" s="69"/>
      <c r="K13" s="69"/>
      <c r="L13" s="69"/>
      <c r="M13" s="69"/>
      <c r="N13" s="69"/>
      <c r="O13" s="69"/>
      <c r="P13" s="69"/>
      <c r="Q13" s="69"/>
      <c r="R13" s="69"/>
      <c r="S13" s="69"/>
      <c r="T13" s="69"/>
      <c r="U13" s="189"/>
    </row>
    <row r="14" spans="1:23" ht="14.25" customHeight="1">
      <c r="A14" s="6">
        <v>1</v>
      </c>
      <c r="B14" s="179" t="s">
        <v>286</v>
      </c>
      <c r="C14" s="106">
        <f t="shared" ref="C14:U18" si="0">C7/$C7*100</f>
        <v>100</v>
      </c>
      <c r="D14" s="110">
        <f t="shared" si="0"/>
        <v>4.004149377593361</v>
      </c>
      <c r="E14" s="110">
        <f t="shared" si="0"/>
        <v>4.9585062240663902</v>
      </c>
      <c r="F14" s="110">
        <f t="shared" si="0"/>
        <v>2.3651452282157677</v>
      </c>
      <c r="G14" s="110">
        <f t="shared" si="0"/>
        <v>2.8423236514522823</v>
      </c>
      <c r="H14" s="110">
        <f t="shared" si="0"/>
        <v>13.257261410788383</v>
      </c>
      <c r="I14" s="110">
        <f t="shared" si="0"/>
        <v>18.319502074688796</v>
      </c>
      <c r="J14" s="110">
        <f t="shared" si="0"/>
        <v>10.954356846473029</v>
      </c>
      <c r="K14" s="110">
        <f t="shared" si="0"/>
        <v>8.8174273858921168</v>
      </c>
      <c r="L14" s="110">
        <f t="shared" si="0"/>
        <v>7.5726141078838172</v>
      </c>
      <c r="M14" s="110">
        <f t="shared" si="0"/>
        <v>8.6307053941908709</v>
      </c>
      <c r="N14" s="110">
        <f t="shared" si="0"/>
        <v>6.5560165975103741</v>
      </c>
      <c r="O14" s="110">
        <f t="shared" si="0"/>
        <v>4.9792531120331951</v>
      </c>
      <c r="P14" s="110">
        <f t="shared" si="0"/>
        <v>3.3817427385892116</v>
      </c>
      <c r="Q14" s="110">
        <f t="shared" si="0"/>
        <v>1.950207468879668</v>
      </c>
      <c r="R14" s="110">
        <f t="shared" si="0"/>
        <v>0.66390041493775931</v>
      </c>
      <c r="S14" s="110">
        <f t="shared" si="0"/>
        <v>0.2074688796680498</v>
      </c>
      <c r="T14" s="110">
        <f t="shared" si="0"/>
        <v>0.31120331950207469</v>
      </c>
      <c r="U14" s="190">
        <f t="shared" si="0"/>
        <v>0.22821576763485479</v>
      </c>
    </row>
    <row r="15" spans="1:23" ht="14.25" customHeight="1">
      <c r="A15" s="6">
        <v>2</v>
      </c>
      <c r="B15" s="179" t="s">
        <v>25</v>
      </c>
      <c r="C15" s="106">
        <f t="shared" si="0"/>
        <v>100</v>
      </c>
      <c r="D15" s="110">
        <f t="shared" si="0"/>
        <v>3.5542546518921179</v>
      </c>
      <c r="E15" s="110">
        <f t="shared" si="0"/>
        <v>4.9132343717332212</v>
      </c>
      <c r="F15" s="110">
        <f t="shared" si="0"/>
        <v>1.4635166213673425</v>
      </c>
      <c r="G15" s="110">
        <f t="shared" si="0"/>
        <v>1.4007944804515993</v>
      </c>
      <c r="H15" s="110">
        <f t="shared" si="0"/>
        <v>7.4639347689734477</v>
      </c>
      <c r="I15" s="110">
        <f t="shared" si="0"/>
        <v>16.809533765419193</v>
      </c>
      <c r="J15" s="110">
        <f t="shared" si="0"/>
        <v>13.088020071085094</v>
      </c>
      <c r="K15" s="110">
        <f t="shared" si="0"/>
        <v>11.331800125444282</v>
      </c>
      <c r="L15" s="110">
        <f t="shared" si="0"/>
        <v>7.4221200083629517</v>
      </c>
      <c r="M15" s="110">
        <f t="shared" si="0"/>
        <v>5.7077148233326369</v>
      </c>
      <c r="N15" s="110">
        <f t="shared" si="0"/>
        <v>6.021325527911352</v>
      </c>
      <c r="O15" s="110">
        <f t="shared" si="0"/>
        <v>4.8086974702069831</v>
      </c>
      <c r="P15" s="110">
        <f t="shared" si="0"/>
        <v>5.39410411875392</v>
      </c>
      <c r="Q15" s="110">
        <f t="shared" si="0"/>
        <v>4.8505122308174791</v>
      </c>
      <c r="R15" s="110">
        <f t="shared" si="0"/>
        <v>2.9688480033451805</v>
      </c>
      <c r="S15" s="110">
        <f t="shared" si="0"/>
        <v>1.2126280577043698</v>
      </c>
      <c r="T15" s="110">
        <f t="shared" si="0"/>
        <v>0.73175831068367125</v>
      </c>
      <c r="U15" s="190">
        <f t="shared" si="0"/>
        <v>0.85720259251515796</v>
      </c>
    </row>
    <row r="16" spans="1:23" ht="14.25" customHeight="1">
      <c r="A16" s="6">
        <v>3</v>
      </c>
      <c r="B16" s="179" t="s">
        <v>211</v>
      </c>
      <c r="C16" s="106">
        <f t="shared" si="0"/>
        <v>100</v>
      </c>
      <c r="D16" s="110">
        <f t="shared" si="0"/>
        <v>2.8342780926975659</v>
      </c>
      <c r="E16" s="110">
        <f t="shared" si="0"/>
        <v>4.4681560520173393</v>
      </c>
      <c r="F16" s="110">
        <f t="shared" si="0"/>
        <v>2.5341780593531178</v>
      </c>
      <c r="G16" s="110">
        <f t="shared" si="0"/>
        <v>7.1023674558186061</v>
      </c>
      <c r="H16" s="110">
        <f t="shared" si="0"/>
        <v>19.506502167389129</v>
      </c>
      <c r="I16" s="110">
        <f t="shared" si="0"/>
        <v>12.704234744914972</v>
      </c>
      <c r="J16" s="110">
        <f t="shared" si="0"/>
        <v>10.503501167055687</v>
      </c>
      <c r="K16" s="110">
        <f t="shared" si="0"/>
        <v>8.7695898632877611</v>
      </c>
      <c r="L16" s="110">
        <f t="shared" si="0"/>
        <v>8.2360786928976335</v>
      </c>
      <c r="M16" s="110">
        <f t="shared" si="0"/>
        <v>6.9356452150716912</v>
      </c>
      <c r="N16" s="110">
        <f t="shared" si="0"/>
        <v>6.335445148382794</v>
      </c>
      <c r="O16" s="110">
        <f t="shared" si="0"/>
        <v>4.2680893631210397</v>
      </c>
      <c r="P16" s="110">
        <f t="shared" si="0"/>
        <v>2.6342114038012667</v>
      </c>
      <c r="Q16" s="110">
        <f t="shared" si="0"/>
        <v>1.0003334444814937</v>
      </c>
      <c r="R16" s="110">
        <f t="shared" si="0"/>
        <v>0.66688896298766254</v>
      </c>
      <c r="S16" s="110">
        <f t="shared" si="0"/>
        <v>0.26675558519506498</v>
      </c>
      <c r="T16" s="110">
        <f t="shared" si="0"/>
        <v>0.40013337779259756</v>
      </c>
      <c r="U16" s="190">
        <f t="shared" si="0"/>
        <v>0.8336112037345782</v>
      </c>
    </row>
    <row r="17" spans="1:21" ht="14.25" customHeight="1">
      <c r="A17" s="6">
        <v>4</v>
      </c>
      <c r="B17" s="179" t="s">
        <v>117</v>
      </c>
      <c r="C17" s="106">
        <f t="shared" si="0"/>
        <v>100</v>
      </c>
      <c r="D17" s="110">
        <f t="shared" si="0"/>
        <v>3.2225579053373616</v>
      </c>
      <c r="E17" s="110">
        <f t="shared" si="0"/>
        <v>4.2296072507552873</v>
      </c>
      <c r="F17" s="110">
        <f t="shared" si="0"/>
        <v>2.416918429003021</v>
      </c>
      <c r="G17" s="110">
        <f t="shared" si="0"/>
        <v>6.7472306143001006</v>
      </c>
      <c r="H17" s="110">
        <f t="shared" si="0"/>
        <v>16.649882510909702</v>
      </c>
      <c r="I17" s="110">
        <f t="shared" si="0"/>
        <v>14.669352131587782</v>
      </c>
      <c r="J17" s="110">
        <f t="shared" si="0"/>
        <v>10.372608257804632</v>
      </c>
      <c r="K17" s="110">
        <f t="shared" si="0"/>
        <v>8.5934877475662965</v>
      </c>
      <c r="L17" s="110">
        <f t="shared" si="0"/>
        <v>8.2578046324269891</v>
      </c>
      <c r="M17" s="110">
        <f t="shared" si="0"/>
        <v>7.6535750251762336</v>
      </c>
      <c r="N17" s="110">
        <f t="shared" si="0"/>
        <v>5.9751594494796914</v>
      </c>
      <c r="O17" s="110">
        <f t="shared" si="0"/>
        <v>5.4380664652567976</v>
      </c>
      <c r="P17" s="110">
        <f t="shared" si="0"/>
        <v>2.181940248405505</v>
      </c>
      <c r="Q17" s="110">
        <f t="shared" si="0"/>
        <v>1.5105740181268883</v>
      </c>
      <c r="R17" s="110">
        <f t="shared" si="0"/>
        <v>0.87277609936220213</v>
      </c>
      <c r="S17" s="110">
        <f t="shared" si="0"/>
        <v>0.13427324605572338</v>
      </c>
      <c r="T17" s="110">
        <f t="shared" si="0"/>
        <v>0.30211480362537763</v>
      </c>
      <c r="U17" s="190">
        <f t="shared" si="0"/>
        <v>0.77207116482040949</v>
      </c>
    </row>
    <row r="18" spans="1:21" ht="14.25" customHeight="1">
      <c r="A18" s="6">
        <v>5</v>
      </c>
      <c r="B18" s="179" t="s">
        <v>131</v>
      </c>
      <c r="C18" s="106">
        <f t="shared" si="0"/>
        <v>100</v>
      </c>
      <c r="D18" s="110">
        <f t="shared" si="0"/>
        <v>3.5169491525423728</v>
      </c>
      <c r="E18" s="110">
        <f t="shared" si="0"/>
        <v>4.2796610169491522</v>
      </c>
      <c r="F18" s="110">
        <f t="shared" si="0"/>
        <v>2.2881355932203391</v>
      </c>
      <c r="G18" s="110">
        <f t="shared" si="0"/>
        <v>1.6949152542372881</v>
      </c>
      <c r="H18" s="110">
        <f t="shared" si="0"/>
        <v>9.2372881355932197</v>
      </c>
      <c r="I18" s="110">
        <f t="shared" si="0"/>
        <v>16.610169491525422</v>
      </c>
      <c r="J18" s="110">
        <f t="shared" si="0"/>
        <v>11.525423728813559</v>
      </c>
      <c r="K18" s="110">
        <f t="shared" si="0"/>
        <v>9.9576271186440675</v>
      </c>
      <c r="L18" s="110">
        <f t="shared" si="0"/>
        <v>6.0593220338983054</v>
      </c>
      <c r="M18" s="110">
        <f t="shared" si="0"/>
        <v>5.1271186440677958</v>
      </c>
      <c r="N18" s="110">
        <f t="shared" si="0"/>
        <v>4.6186440677966099</v>
      </c>
      <c r="O18" s="110">
        <f t="shared" si="0"/>
        <v>5.0847457627118651</v>
      </c>
      <c r="P18" s="110">
        <f t="shared" si="0"/>
        <v>5.7627118644067794</v>
      </c>
      <c r="Q18" s="110">
        <f t="shared" si="0"/>
        <v>6.6949152542372881</v>
      </c>
      <c r="R18" s="110">
        <f t="shared" si="0"/>
        <v>4.0677966101694913</v>
      </c>
      <c r="S18" s="110">
        <f t="shared" si="0"/>
        <v>1.7372881355932204</v>
      </c>
      <c r="T18" s="110">
        <f t="shared" si="0"/>
        <v>0.84745762711864403</v>
      </c>
      <c r="U18" s="190">
        <f t="shared" si="0"/>
        <v>0.88983050847457634</v>
      </c>
    </row>
    <row r="19" spans="1:21" ht="14.25" customHeight="1">
      <c r="A19" s="13"/>
      <c r="B19" s="181"/>
      <c r="C19" s="127"/>
      <c r="D19" s="186"/>
      <c r="E19" s="186"/>
      <c r="F19" s="186"/>
      <c r="G19" s="186"/>
      <c r="H19" s="186"/>
      <c r="I19" s="186"/>
      <c r="J19" s="186"/>
      <c r="K19" s="186"/>
      <c r="L19" s="186"/>
      <c r="M19" s="186"/>
      <c r="N19" s="186"/>
      <c r="O19" s="186"/>
      <c r="P19" s="186"/>
      <c r="Q19" s="186"/>
      <c r="R19" s="186"/>
      <c r="S19" s="186"/>
      <c r="T19" s="186"/>
      <c r="U19" s="13"/>
    </row>
    <row r="20" spans="1:21">
      <c r="A20" s="6" t="s">
        <v>407</v>
      </c>
    </row>
    <row r="21" spans="1:21">
      <c r="A21" s="6" t="s">
        <v>408</v>
      </c>
    </row>
    <row r="25" spans="1:21">
      <c r="D25" s="131" t="s">
        <v>240</v>
      </c>
      <c r="E25" s="131" t="s">
        <v>241</v>
      </c>
      <c r="F25" s="131" t="s">
        <v>107</v>
      </c>
      <c r="G25" s="131" t="s">
        <v>242</v>
      </c>
      <c r="H25" s="131" t="s">
        <v>243</v>
      </c>
      <c r="I25" s="131" t="s">
        <v>214</v>
      </c>
      <c r="J25" s="131" t="s">
        <v>244</v>
      </c>
      <c r="K25" s="131" t="s">
        <v>245</v>
      </c>
      <c r="L25" s="131" t="s">
        <v>248</v>
      </c>
      <c r="M25" s="131" t="s">
        <v>252</v>
      </c>
      <c r="N25" s="131" t="s">
        <v>254</v>
      </c>
      <c r="O25" s="131" t="s">
        <v>45</v>
      </c>
      <c r="P25" s="131" t="s">
        <v>257</v>
      </c>
      <c r="Q25" s="131" t="s">
        <v>258</v>
      </c>
      <c r="R25" s="131" t="s">
        <v>256</v>
      </c>
      <c r="S25" s="131" t="s">
        <v>123</v>
      </c>
      <c r="T25" s="131" t="s">
        <v>260</v>
      </c>
      <c r="U25" s="131" t="s">
        <v>110</v>
      </c>
    </row>
  </sheetData>
  <mergeCells count="21">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 ref="R3:R5"/>
    <mergeCell ref="S3:S5"/>
    <mergeCell ref="T3:T5"/>
    <mergeCell ref="U3:U5"/>
  </mergeCells>
  <phoneticPr fontId="8"/>
  <conditionalFormatting sqref="U10">
    <cfRule type="cellIs" dxfId="17" priority="2" operator="equal">
      <formula>0</formula>
    </cfRule>
  </conditionalFormatting>
  <conditionalFormatting sqref="D25:U25">
    <cfRule type="cellIs" dxfId="16" priority="1" operator="equal">
      <formula>0</formula>
    </cfRule>
  </conditionalFormatting>
  <hyperlinks>
    <hyperlink ref="W3" location="目次!A27"/>
  </hyperlinks>
  <printOptions horizontalCentered="1"/>
  <pageMargins left="0.39370078740157483" right="0.39370078740157483" top="0.39370078740157483" bottom="0.39370078740157483" header="0.19685039370078741" footer="0.19685039370078741"/>
  <pageSetup paperSize="9" scale="94"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K30"/>
  <sheetViews>
    <sheetView showGridLines="0" workbookViewId="0">
      <selection activeCell="L11" sqref="L11"/>
    </sheetView>
  </sheetViews>
  <sheetFormatPr defaultRowHeight="13.5"/>
  <sheetData>
    <row r="1" spans="1:11">
      <c r="A1" t="s">
        <v>400</v>
      </c>
    </row>
    <row r="4" spans="1:11">
      <c r="K4" s="43" t="s">
        <v>118</v>
      </c>
    </row>
    <row r="29" spans="1:1">
      <c r="A29" s="6" t="s">
        <v>407</v>
      </c>
    </row>
    <row r="30" spans="1:1">
      <c r="A30" s="6" t="s">
        <v>408</v>
      </c>
    </row>
  </sheetData>
  <phoneticPr fontId="8"/>
  <hyperlinks>
    <hyperlink ref="K4" location="目次!A29"/>
  </hyperlinks>
  <pageMargins left="0.7" right="0.7" top="0.75" bottom="0.75" header="0.3" footer="0.3"/>
  <pageSetup paperSize="9"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W25"/>
  <sheetViews>
    <sheetView showGridLines="0" workbookViewId="0"/>
  </sheetViews>
  <sheetFormatPr defaultRowHeight="13.5"/>
  <cols>
    <col min="1" max="1" width="3.625" style="6" customWidth="1"/>
    <col min="2" max="2" width="9" style="6" customWidth="1"/>
    <col min="3" max="21" width="7.125" style="6" customWidth="1"/>
    <col min="22" max="16384" width="9" style="6" customWidth="1"/>
  </cols>
  <sheetData>
    <row r="1" spans="1:23">
      <c r="A1" s="42" t="s">
        <v>361</v>
      </c>
    </row>
    <row r="3" spans="1:23">
      <c r="A3" s="191" t="s">
        <v>283</v>
      </c>
      <c r="B3" s="194"/>
      <c r="C3" s="68" t="s">
        <v>213</v>
      </c>
      <c r="D3" s="88" t="s">
        <v>34</v>
      </c>
      <c r="E3" s="88" t="s">
        <v>98</v>
      </c>
      <c r="F3" s="88" t="s">
        <v>288</v>
      </c>
      <c r="G3" s="88" t="s">
        <v>289</v>
      </c>
      <c r="H3" s="88" t="s">
        <v>290</v>
      </c>
      <c r="I3" s="88" t="s">
        <v>291</v>
      </c>
      <c r="J3" s="88" t="s">
        <v>292</v>
      </c>
      <c r="K3" s="88" t="s">
        <v>180</v>
      </c>
      <c r="L3" s="88" t="s">
        <v>21</v>
      </c>
      <c r="M3" s="88" t="s">
        <v>293</v>
      </c>
      <c r="N3" s="88" t="s">
        <v>294</v>
      </c>
      <c r="O3" s="88" t="s">
        <v>295</v>
      </c>
      <c r="P3" s="88" t="s">
        <v>112</v>
      </c>
      <c r="Q3" s="88" t="s">
        <v>296</v>
      </c>
      <c r="R3" s="88" t="s">
        <v>83</v>
      </c>
      <c r="S3" s="88" t="s">
        <v>298</v>
      </c>
      <c r="T3" s="88" t="s">
        <v>299</v>
      </c>
      <c r="U3" s="92" t="s">
        <v>226</v>
      </c>
      <c r="W3" s="146" t="s">
        <v>118</v>
      </c>
    </row>
    <row r="4" spans="1:23">
      <c r="A4" s="192"/>
      <c r="B4" s="177" t="s">
        <v>329</v>
      </c>
      <c r="C4" s="69"/>
      <c r="D4" s="69"/>
      <c r="E4" s="69"/>
      <c r="F4" s="69"/>
      <c r="G4" s="69"/>
      <c r="H4" s="69"/>
      <c r="I4" s="69"/>
      <c r="J4" s="69"/>
      <c r="K4" s="69"/>
      <c r="L4" s="69"/>
      <c r="M4" s="69"/>
      <c r="N4" s="69"/>
      <c r="O4" s="69"/>
      <c r="P4" s="69"/>
      <c r="Q4" s="69"/>
      <c r="R4" s="69"/>
      <c r="S4" s="69"/>
      <c r="T4" s="69"/>
      <c r="U4" s="79"/>
    </row>
    <row r="5" spans="1:23">
      <c r="A5" s="193"/>
      <c r="B5" s="181"/>
      <c r="C5" s="70"/>
      <c r="D5" s="70"/>
      <c r="E5" s="70"/>
      <c r="F5" s="70"/>
      <c r="G5" s="70"/>
      <c r="H5" s="70"/>
      <c r="I5" s="70"/>
      <c r="J5" s="70"/>
      <c r="K5" s="70"/>
      <c r="L5" s="70"/>
      <c r="M5" s="70"/>
      <c r="N5" s="70"/>
      <c r="O5" s="70"/>
      <c r="P5" s="70"/>
      <c r="Q5" s="70"/>
      <c r="R5" s="70"/>
      <c r="S5" s="70"/>
      <c r="T5" s="70"/>
      <c r="U5" s="80"/>
    </row>
    <row r="6" spans="1:23">
      <c r="B6" s="179" t="s">
        <v>285</v>
      </c>
      <c r="C6" s="126"/>
      <c r="D6" s="197"/>
      <c r="E6" s="197"/>
      <c r="F6" s="197"/>
      <c r="G6" s="197"/>
      <c r="H6" s="197"/>
      <c r="I6" s="197"/>
      <c r="J6" s="197"/>
      <c r="K6" s="197"/>
      <c r="L6" s="197"/>
      <c r="M6" s="197"/>
      <c r="N6" s="197"/>
      <c r="O6" s="197"/>
      <c r="P6" s="197"/>
      <c r="Q6" s="197"/>
      <c r="R6" s="197"/>
      <c r="S6" s="197"/>
      <c r="T6" s="197"/>
      <c r="U6" s="39"/>
    </row>
    <row r="7" spans="1:23">
      <c r="A7" s="6">
        <v>1</v>
      </c>
      <c r="B7" s="179" t="s">
        <v>25</v>
      </c>
      <c r="C7" s="195">
        <v>10078</v>
      </c>
      <c r="D7" s="71">
        <v>100</v>
      </c>
      <c r="E7" s="71">
        <v>149</v>
      </c>
      <c r="F7" s="71">
        <v>110</v>
      </c>
      <c r="G7" s="71">
        <v>897</v>
      </c>
      <c r="H7" s="71">
        <v>3976</v>
      </c>
      <c r="I7" s="71">
        <v>1732</v>
      </c>
      <c r="J7" s="71">
        <v>821</v>
      </c>
      <c r="K7" s="71">
        <v>484</v>
      </c>
      <c r="L7" s="71">
        <v>432</v>
      </c>
      <c r="M7" s="71">
        <v>331</v>
      </c>
      <c r="N7" s="71">
        <v>299</v>
      </c>
      <c r="O7" s="71">
        <v>213</v>
      </c>
      <c r="P7" s="71">
        <v>146</v>
      </c>
      <c r="Q7" s="71">
        <v>78</v>
      </c>
      <c r="R7" s="71">
        <v>83</v>
      </c>
      <c r="S7" s="71">
        <v>55</v>
      </c>
      <c r="T7" s="71">
        <v>48</v>
      </c>
      <c r="U7" s="25">
        <v>124</v>
      </c>
    </row>
    <row r="8" spans="1:23">
      <c r="A8" s="6">
        <v>2</v>
      </c>
      <c r="B8" s="179" t="s">
        <v>286</v>
      </c>
      <c r="C8" s="195">
        <v>9936</v>
      </c>
      <c r="D8" s="71">
        <v>174</v>
      </c>
      <c r="E8" s="71">
        <v>281</v>
      </c>
      <c r="F8" s="71">
        <v>187</v>
      </c>
      <c r="G8" s="71">
        <v>1593</v>
      </c>
      <c r="H8" s="71">
        <v>3153</v>
      </c>
      <c r="I8" s="71">
        <v>1042</v>
      </c>
      <c r="J8" s="71">
        <v>760</v>
      </c>
      <c r="K8" s="71">
        <v>593</v>
      </c>
      <c r="L8" s="71">
        <v>548</v>
      </c>
      <c r="M8" s="71">
        <v>483</v>
      </c>
      <c r="N8" s="71">
        <v>389</v>
      </c>
      <c r="O8" s="71">
        <v>267</v>
      </c>
      <c r="P8" s="71">
        <v>148</v>
      </c>
      <c r="Q8" s="71">
        <v>84</v>
      </c>
      <c r="R8" s="71">
        <v>67</v>
      </c>
      <c r="S8" s="71">
        <v>46</v>
      </c>
      <c r="T8" s="71">
        <v>47</v>
      </c>
      <c r="U8" s="25">
        <v>74</v>
      </c>
    </row>
    <row r="9" spans="1:23">
      <c r="A9" s="6">
        <v>3</v>
      </c>
      <c r="B9" s="179" t="s">
        <v>131</v>
      </c>
      <c r="C9" s="195">
        <v>4651</v>
      </c>
      <c r="D9" s="71">
        <v>43</v>
      </c>
      <c r="E9" s="71">
        <v>58</v>
      </c>
      <c r="F9" s="71">
        <v>35</v>
      </c>
      <c r="G9" s="71">
        <v>446</v>
      </c>
      <c r="H9" s="71">
        <v>1906</v>
      </c>
      <c r="I9" s="71">
        <v>845</v>
      </c>
      <c r="J9" s="71">
        <v>303</v>
      </c>
      <c r="K9" s="71">
        <v>187</v>
      </c>
      <c r="L9" s="71">
        <v>127</v>
      </c>
      <c r="M9" s="71">
        <v>146</v>
      </c>
      <c r="N9" s="71">
        <v>142</v>
      </c>
      <c r="O9" s="71">
        <v>99</v>
      </c>
      <c r="P9" s="71">
        <v>59</v>
      </c>
      <c r="Q9" s="71">
        <v>50</v>
      </c>
      <c r="R9" s="71">
        <v>39</v>
      </c>
      <c r="S9" s="71">
        <v>30</v>
      </c>
      <c r="T9" s="71">
        <v>40</v>
      </c>
      <c r="U9" s="25">
        <v>96</v>
      </c>
    </row>
    <row r="10" spans="1:23">
      <c r="A10" s="6">
        <v>4</v>
      </c>
      <c r="B10" s="179" t="s">
        <v>211</v>
      </c>
      <c r="C10" s="195">
        <v>3949</v>
      </c>
      <c r="D10" s="71">
        <v>69</v>
      </c>
      <c r="E10" s="71">
        <v>119</v>
      </c>
      <c r="F10" s="71">
        <v>91</v>
      </c>
      <c r="G10" s="71">
        <v>544</v>
      </c>
      <c r="H10" s="71">
        <v>958</v>
      </c>
      <c r="I10" s="71">
        <v>450</v>
      </c>
      <c r="J10" s="71">
        <v>298</v>
      </c>
      <c r="K10" s="71">
        <v>311</v>
      </c>
      <c r="L10" s="71">
        <v>243</v>
      </c>
      <c r="M10" s="71">
        <v>252</v>
      </c>
      <c r="N10" s="71">
        <v>209</v>
      </c>
      <c r="O10" s="71">
        <v>150</v>
      </c>
      <c r="P10" s="71">
        <v>96</v>
      </c>
      <c r="Q10" s="71">
        <v>40</v>
      </c>
      <c r="R10" s="71">
        <v>27</v>
      </c>
      <c r="S10" s="71">
        <v>19</v>
      </c>
      <c r="T10" s="71">
        <v>17</v>
      </c>
      <c r="U10" s="25">
        <v>56</v>
      </c>
    </row>
    <row r="11" spans="1:23">
      <c r="A11" s="6">
        <v>5</v>
      </c>
      <c r="B11" s="179" t="s">
        <v>162</v>
      </c>
      <c r="C11" s="195">
        <v>3877</v>
      </c>
      <c r="D11" s="71">
        <v>63</v>
      </c>
      <c r="E11" s="71">
        <v>90</v>
      </c>
      <c r="F11" s="71">
        <v>75</v>
      </c>
      <c r="G11" s="71">
        <v>366</v>
      </c>
      <c r="H11" s="71">
        <v>1408</v>
      </c>
      <c r="I11" s="71">
        <v>528</v>
      </c>
      <c r="J11" s="71">
        <v>301</v>
      </c>
      <c r="K11" s="71">
        <v>184</v>
      </c>
      <c r="L11" s="71">
        <v>186</v>
      </c>
      <c r="M11" s="71">
        <v>153</v>
      </c>
      <c r="N11" s="71">
        <v>128</v>
      </c>
      <c r="O11" s="71">
        <v>82</v>
      </c>
      <c r="P11" s="71">
        <v>73</v>
      </c>
      <c r="Q11" s="71">
        <v>48</v>
      </c>
      <c r="R11" s="71">
        <v>44</v>
      </c>
      <c r="S11" s="71">
        <v>22</v>
      </c>
      <c r="T11" s="71">
        <v>34</v>
      </c>
      <c r="U11" s="25">
        <v>92</v>
      </c>
    </row>
    <row r="12" spans="1:23">
      <c r="A12" s="13"/>
      <c r="B12" s="181"/>
      <c r="C12" s="196"/>
      <c r="D12" s="128"/>
      <c r="E12" s="128"/>
      <c r="F12" s="128"/>
      <c r="G12" s="128"/>
      <c r="H12" s="128"/>
      <c r="I12" s="128"/>
      <c r="J12" s="128"/>
      <c r="K12" s="128"/>
      <c r="L12" s="128"/>
      <c r="M12" s="128"/>
      <c r="N12" s="128"/>
      <c r="O12" s="128"/>
      <c r="P12" s="128"/>
      <c r="Q12" s="128"/>
      <c r="R12" s="128"/>
      <c r="S12" s="128"/>
      <c r="T12" s="128"/>
      <c r="U12" s="30"/>
    </row>
    <row r="13" spans="1:23">
      <c r="B13" s="179" t="s">
        <v>10</v>
      </c>
      <c r="C13" s="126"/>
      <c r="D13" s="197"/>
      <c r="E13" s="197"/>
      <c r="F13" s="197"/>
      <c r="G13" s="197"/>
      <c r="H13" s="197"/>
      <c r="I13" s="197"/>
      <c r="J13" s="197"/>
      <c r="K13" s="197"/>
      <c r="L13" s="197"/>
      <c r="M13" s="197"/>
      <c r="N13" s="197"/>
      <c r="O13" s="197"/>
      <c r="P13" s="197"/>
      <c r="Q13" s="197"/>
      <c r="R13" s="197"/>
      <c r="S13" s="197"/>
      <c r="T13" s="197"/>
      <c r="U13" s="39"/>
    </row>
    <row r="14" spans="1:23">
      <c r="A14" s="6">
        <v>1</v>
      </c>
      <c r="B14" s="179" t="s">
        <v>25</v>
      </c>
      <c r="C14" s="106">
        <f t="shared" ref="C14:U18" si="0">C7/$C7*100</f>
        <v>100</v>
      </c>
      <c r="D14" s="110">
        <f t="shared" si="0"/>
        <v>0.99226036912085736</v>
      </c>
      <c r="E14" s="110">
        <f t="shared" si="0"/>
        <v>1.4784679499900775</v>
      </c>
      <c r="F14" s="110">
        <f t="shared" si="0"/>
        <v>1.091486406032943</v>
      </c>
      <c r="G14" s="110">
        <f t="shared" si="0"/>
        <v>8.9005755110140896</v>
      </c>
      <c r="H14" s="110">
        <f t="shared" si="0"/>
        <v>39.452272276245289</v>
      </c>
      <c r="I14" s="110">
        <f t="shared" si="0"/>
        <v>17.185949593173248</v>
      </c>
      <c r="J14" s="110">
        <f t="shared" si="0"/>
        <v>8.1464576304822387</v>
      </c>
      <c r="K14" s="110">
        <f t="shared" si="0"/>
        <v>4.8025401865449489</v>
      </c>
      <c r="L14" s="110">
        <f t="shared" si="0"/>
        <v>4.2865647946021035</v>
      </c>
      <c r="M14" s="110">
        <f t="shared" si="0"/>
        <v>3.2843818217900376</v>
      </c>
      <c r="N14" s="110">
        <f t="shared" si="0"/>
        <v>2.9668585036713635</v>
      </c>
      <c r="O14" s="110">
        <f t="shared" si="0"/>
        <v>2.1135145862274261</v>
      </c>
      <c r="P14" s="110">
        <f t="shared" si="0"/>
        <v>1.4487001389164516</v>
      </c>
      <c r="Q14" s="110">
        <f t="shared" si="0"/>
        <v>0.77396308791426871</v>
      </c>
      <c r="R14" s="110">
        <f t="shared" si="0"/>
        <v>0.82357610637031153</v>
      </c>
      <c r="S14" s="110">
        <f t="shared" si="0"/>
        <v>0.5457432030164715</v>
      </c>
      <c r="T14" s="110">
        <f t="shared" si="0"/>
        <v>0.47628497717801149</v>
      </c>
      <c r="U14" s="113">
        <f t="shared" si="0"/>
        <v>1.2304028577098631</v>
      </c>
    </row>
    <row r="15" spans="1:23">
      <c r="A15" s="6">
        <v>2</v>
      </c>
      <c r="B15" s="179" t="s">
        <v>286</v>
      </c>
      <c r="C15" s="106">
        <f t="shared" si="0"/>
        <v>100</v>
      </c>
      <c r="D15" s="110">
        <f t="shared" si="0"/>
        <v>1.7512077294685993</v>
      </c>
      <c r="E15" s="110">
        <f t="shared" si="0"/>
        <v>2.8280998389694041</v>
      </c>
      <c r="F15" s="110">
        <f t="shared" si="0"/>
        <v>1.8820450885668278</v>
      </c>
      <c r="G15" s="110">
        <f t="shared" si="0"/>
        <v>16.032608695652172</v>
      </c>
      <c r="H15" s="110">
        <f t="shared" si="0"/>
        <v>31.733091787439616</v>
      </c>
      <c r="I15" s="110">
        <f t="shared" si="0"/>
        <v>10.487117552334944</v>
      </c>
      <c r="J15" s="110">
        <f t="shared" si="0"/>
        <v>7.6489533011272144</v>
      </c>
      <c r="K15" s="110">
        <f t="shared" si="0"/>
        <v>5.9681964573268926</v>
      </c>
      <c r="L15" s="110">
        <f t="shared" si="0"/>
        <v>5.5152979066022549</v>
      </c>
      <c r="M15" s="110">
        <f t="shared" si="0"/>
        <v>4.8611111111111116</v>
      </c>
      <c r="N15" s="110">
        <f t="shared" si="0"/>
        <v>3.9150563607085345</v>
      </c>
      <c r="O15" s="110">
        <f t="shared" si="0"/>
        <v>2.6871980676328504</v>
      </c>
      <c r="P15" s="110">
        <f t="shared" si="0"/>
        <v>1.4895330112721417</v>
      </c>
      <c r="Q15" s="110">
        <f t="shared" si="0"/>
        <v>0.84541062801932365</v>
      </c>
      <c r="R15" s="110">
        <f t="shared" si="0"/>
        <v>0.67431561996779388</v>
      </c>
      <c r="S15" s="110">
        <f t="shared" si="0"/>
        <v>0.46296296296296291</v>
      </c>
      <c r="T15" s="110">
        <f t="shared" si="0"/>
        <v>0.47302737520128824</v>
      </c>
      <c r="U15" s="113">
        <f t="shared" si="0"/>
        <v>0.74476650563607083</v>
      </c>
    </row>
    <row r="16" spans="1:23">
      <c r="A16" s="6">
        <v>3</v>
      </c>
      <c r="B16" s="179" t="s">
        <v>131</v>
      </c>
      <c r="C16" s="106">
        <f t="shared" si="0"/>
        <v>100</v>
      </c>
      <c r="D16" s="110">
        <f t="shared" si="0"/>
        <v>0.92453235863255212</v>
      </c>
      <c r="E16" s="110">
        <f t="shared" si="0"/>
        <v>1.2470436465276284</v>
      </c>
      <c r="F16" s="110">
        <f t="shared" si="0"/>
        <v>0.7525263384218448</v>
      </c>
      <c r="G16" s="110">
        <f t="shared" si="0"/>
        <v>9.5893356267469372</v>
      </c>
      <c r="H16" s="110">
        <f t="shared" si="0"/>
        <v>40.98043431520103</v>
      </c>
      <c r="I16" s="110">
        <f t="shared" si="0"/>
        <v>18.168135884755969</v>
      </c>
      <c r="J16" s="110">
        <f t="shared" si="0"/>
        <v>6.514728015480542</v>
      </c>
      <c r="K16" s="110">
        <f t="shared" si="0"/>
        <v>4.0206407224252851</v>
      </c>
      <c r="L16" s="110">
        <f t="shared" si="0"/>
        <v>2.7305955708449794</v>
      </c>
      <c r="M16" s="110">
        <f t="shared" si="0"/>
        <v>3.1391098688454098</v>
      </c>
      <c r="N16" s="110">
        <f t="shared" si="0"/>
        <v>3.0531068587400561</v>
      </c>
      <c r="O16" s="110">
        <f t="shared" si="0"/>
        <v>2.1285745001075038</v>
      </c>
      <c r="P16" s="110">
        <f t="shared" si="0"/>
        <v>1.2685443990539669</v>
      </c>
      <c r="Q16" s="110">
        <f t="shared" si="0"/>
        <v>1.075037626316921</v>
      </c>
      <c r="R16" s="110">
        <f t="shared" si="0"/>
        <v>0.8385293485271984</v>
      </c>
      <c r="S16" s="110">
        <f t="shared" si="0"/>
        <v>0.64502257579015265</v>
      </c>
      <c r="T16" s="110">
        <f t="shared" si="0"/>
        <v>0.86003010105353694</v>
      </c>
      <c r="U16" s="113">
        <f t="shared" si="0"/>
        <v>2.0640722425284883</v>
      </c>
    </row>
    <row r="17" spans="1:21">
      <c r="A17" s="6">
        <v>4</v>
      </c>
      <c r="B17" s="179" t="s">
        <v>211</v>
      </c>
      <c r="C17" s="106">
        <f t="shared" si="0"/>
        <v>100</v>
      </c>
      <c r="D17" s="110">
        <f t="shared" si="0"/>
        <v>1.7472777918460369</v>
      </c>
      <c r="E17" s="110">
        <f t="shared" si="0"/>
        <v>3.0134211192707014</v>
      </c>
      <c r="F17" s="110">
        <f t="shared" si="0"/>
        <v>2.3043808559128895</v>
      </c>
      <c r="G17" s="110">
        <f t="shared" si="0"/>
        <v>13.775639402380349</v>
      </c>
      <c r="H17" s="110">
        <f t="shared" si="0"/>
        <v>24.259306153456571</v>
      </c>
      <c r="I17" s="110">
        <f t="shared" si="0"/>
        <v>11.395289946821981</v>
      </c>
      <c r="J17" s="110">
        <f t="shared" si="0"/>
        <v>7.5462142314509997</v>
      </c>
      <c r="K17" s="110">
        <f t="shared" si="0"/>
        <v>7.8754114965814139</v>
      </c>
      <c r="L17" s="110">
        <f t="shared" si="0"/>
        <v>6.1534565712838694</v>
      </c>
      <c r="M17" s="110">
        <f t="shared" si="0"/>
        <v>6.3813623702203088</v>
      </c>
      <c r="N17" s="110">
        <f t="shared" si="0"/>
        <v>5.2924791086350975</v>
      </c>
      <c r="O17" s="110">
        <f t="shared" si="0"/>
        <v>3.7984299822739933</v>
      </c>
      <c r="P17" s="110">
        <f t="shared" si="0"/>
        <v>2.430995188655356</v>
      </c>
      <c r="Q17" s="110">
        <f t="shared" si="0"/>
        <v>1.0129146619397316</v>
      </c>
      <c r="R17" s="110">
        <f t="shared" si="0"/>
        <v>0.68371739680931887</v>
      </c>
      <c r="S17" s="110">
        <f t="shared" si="0"/>
        <v>0.48113446442137253</v>
      </c>
      <c r="T17" s="110">
        <f t="shared" si="0"/>
        <v>0.43048873132438592</v>
      </c>
      <c r="U17" s="113">
        <f t="shared" si="0"/>
        <v>1.4180805267156242</v>
      </c>
    </row>
    <row r="18" spans="1:21">
      <c r="A18" s="6">
        <v>5</v>
      </c>
      <c r="B18" s="179" t="s">
        <v>162</v>
      </c>
      <c r="C18" s="106">
        <f t="shared" si="0"/>
        <v>100</v>
      </c>
      <c r="D18" s="110">
        <f t="shared" si="0"/>
        <v>1.6249677585762186</v>
      </c>
      <c r="E18" s="110">
        <f t="shared" si="0"/>
        <v>2.3213825122517409</v>
      </c>
      <c r="F18" s="110">
        <f t="shared" si="0"/>
        <v>1.9344854268764509</v>
      </c>
      <c r="G18" s="110">
        <f t="shared" si="0"/>
        <v>9.4402888831570806</v>
      </c>
      <c r="H18" s="110">
        <f t="shared" si="0"/>
        <v>36.316739747227238</v>
      </c>
      <c r="I18" s="110">
        <f t="shared" si="0"/>
        <v>13.618777405210214</v>
      </c>
      <c r="J18" s="110">
        <f t="shared" si="0"/>
        <v>7.7637348465308236</v>
      </c>
      <c r="K18" s="110">
        <f t="shared" si="0"/>
        <v>4.7459375806035595</v>
      </c>
      <c r="L18" s="110">
        <f t="shared" si="0"/>
        <v>4.797523858653598</v>
      </c>
      <c r="M18" s="110">
        <f t="shared" si="0"/>
        <v>3.9463502708279599</v>
      </c>
      <c r="N18" s="110">
        <f t="shared" si="0"/>
        <v>3.3015217952024765</v>
      </c>
      <c r="O18" s="110">
        <f t="shared" si="0"/>
        <v>2.1150374000515861</v>
      </c>
      <c r="P18" s="110">
        <f t="shared" si="0"/>
        <v>1.8828991488264124</v>
      </c>
      <c r="Q18" s="110">
        <f t="shared" si="0"/>
        <v>1.2380706732009286</v>
      </c>
      <c r="R18" s="110">
        <f t="shared" si="0"/>
        <v>1.1348981171008512</v>
      </c>
      <c r="S18" s="110">
        <f t="shared" si="0"/>
        <v>0.5674490585504256</v>
      </c>
      <c r="T18" s="110">
        <f t="shared" si="0"/>
        <v>0.87696672685065769</v>
      </c>
      <c r="U18" s="113">
        <f t="shared" si="0"/>
        <v>2.3729687903017798</v>
      </c>
    </row>
    <row r="19" spans="1:21">
      <c r="A19" s="13"/>
      <c r="B19" s="181"/>
      <c r="C19" s="127"/>
      <c r="D19" s="186"/>
      <c r="E19" s="186"/>
      <c r="F19" s="186"/>
      <c r="G19" s="186"/>
      <c r="H19" s="186"/>
      <c r="I19" s="186"/>
      <c r="J19" s="186"/>
      <c r="K19" s="186"/>
      <c r="L19" s="186"/>
      <c r="M19" s="186"/>
      <c r="N19" s="186"/>
      <c r="O19" s="186"/>
      <c r="P19" s="186"/>
      <c r="Q19" s="186"/>
      <c r="R19" s="186"/>
      <c r="S19" s="186"/>
      <c r="T19" s="186"/>
      <c r="U19" s="40"/>
    </row>
    <row r="20" spans="1:21">
      <c r="A20" s="6" t="s">
        <v>407</v>
      </c>
    </row>
    <row r="21" spans="1:21">
      <c r="A21" s="6" t="s">
        <v>408</v>
      </c>
    </row>
    <row r="25" spans="1:21">
      <c r="D25" s="131" t="s">
        <v>240</v>
      </c>
      <c r="E25" s="131" t="s">
        <v>241</v>
      </c>
      <c r="F25" s="131" t="s">
        <v>107</v>
      </c>
      <c r="G25" s="131" t="s">
        <v>242</v>
      </c>
      <c r="H25" s="131" t="s">
        <v>243</v>
      </c>
      <c r="I25" s="131" t="s">
        <v>214</v>
      </c>
      <c r="J25" s="131" t="s">
        <v>244</v>
      </c>
      <c r="K25" s="131" t="s">
        <v>245</v>
      </c>
      <c r="L25" s="131" t="s">
        <v>248</v>
      </c>
      <c r="M25" s="131" t="s">
        <v>252</v>
      </c>
      <c r="N25" s="131" t="s">
        <v>254</v>
      </c>
      <c r="O25" s="131" t="s">
        <v>45</v>
      </c>
      <c r="P25" s="131" t="s">
        <v>257</v>
      </c>
      <c r="Q25" s="131" t="s">
        <v>258</v>
      </c>
      <c r="R25" s="131" t="s">
        <v>256</v>
      </c>
      <c r="S25" s="131" t="s">
        <v>123</v>
      </c>
      <c r="T25" s="131" t="s">
        <v>260</v>
      </c>
      <c r="U25" s="131" t="s">
        <v>110</v>
      </c>
    </row>
  </sheetData>
  <mergeCells count="20">
    <mergeCell ref="A3:A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 ref="R3:R5"/>
    <mergeCell ref="S3:S5"/>
    <mergeCell ref="T3:T5"/>
    <mergeCell ref="U3:U5"/>
  </mergeCells>
  <phoneticPr fontId="8"/>
  <conditionalFormatting sqref="D25:U25">
    <cfRule type="cellIs" dxfId="15" priority="1" operator="equal">
      <formula>0</formula>
    </cfRule>
  </conditionalFormatting>
  <conditionalFormatting sqref="D3:U5">
    <cfRule type="cellIs" dxfId="14" priority="2" operator="equal">
      <formula>0</formula>
    </cfRule>
  </conditionalFormatting>
  <hyperlinks>
    <hyperlink ref="W3" location="目次!A31"/>
  </hyperlinks>
  <printOptions horizontalCentered="1"/>
  <pageMargins left="0.39370078740157483" right="0.39370078740157483" top="0.39370078740157483" bottom="0.39370078740157483" header="0.19685039370078741" footer="0"/>
  <pageSetup paperSize="9" scale="94"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S141"/>
  <sheetViews>
    <sheetView showGridLines="0" workbookViewId="0">
      <selection activeCell="B1" sqref="B1"/>
    </sheetView>
  </sheetViews>
  <sheetFormatPr defaultRowHeight="12"/>
  <cols>
    <col min="1" max="1" width="2.625" style="198" customWidth="1"/>
    <col min="2" max="2" width="8.625" style="198" customWidth="1"/>
    <col min="3" max="4" width="6.625" style="198" customWidth="1"/>
    <col min="5" max="5" width="8.625" style="198" customWidth="1"/>
    <col min="6" max="6" width="1.625" style="198" customWidth="1"/>
    <col min="7" max="7" width="2.625" style="198" customWidth="1"/>
    <col min="8" max="8" width="8.625" style="198" customWidth="1"/>
    <col min="9" max="10" width="6.625" style="198" customWidth="1"/>
    <col min="11" max="11" width="8.625" style="198" customWidth="1"/>
    <col min="12" max="12" width="1.625" style="198" customWidth="1"/>
    <col min="13" max="13" width="2.625" style="198" customWidth="1"/>
    <col min="14" max="14" width="8.625" style="198" customWidth="1"/>
    <col min="15" max="16" width="6.625" style="198" customWidth="1"/>
    <col min="17" max="17" width="8.625" style="198" customWidth="1"/>
    <col min="18" max="18" width="9.625" style="198" customWidth="1"/>
    <col min="19" max="16384" width="9" style="198" customWidth="1"/>
  </cols>
  <sheetData>
    <row r="1" spans="1:19" ht="14.65" customHeight="1">
      <c r="A1" s="42" t="s">
        <v>151</v>
      </c>
    </row>
    <row r="2" spans="1:19" ht="14.65" customHeight="1">
      <c r="E2" s="198" t="s">
        <v>403</v>
      </c>
      <c r="K2" s="198" t="s">
        <v>403</v>
      </c>
      <c r="Q2" s="198" t="s">
        <v>403</v>
      </c>
    </row>
    <row r="3" spans="1:19" ht="14.65" customHeight="1">
      <c r="A3" s="200" t="s">
        <v>147</v>
      </c>
      <c r="B3" s="207"/>
      <c r="C3" s="213" t="s">
        <v>163</v>
      </c>
      <c r="D3" s="220"/>
      <c r="E3" s="220"/>
      <c r="G3" s="200" t="s">
        <v>147</v>
      </c>
      <c r="H3" s="207"/>
      <c r="I3" s="213" t="s">
        <v>223</v>
      </c>
      <c r="J3" s="220"/>
      <c r="K3" s="220"/>
      <c r="M3" s="200" t="s">
        <v>147</v>
      </c>
      <c r="N3" s="207"/>
      <c r="O3" s="213" t="s">
        <v>70</v>
      </c>
      <c r="P3" s="220"/>
      <c r="Q3" s="220"/>
      <c r="S3" s="146" t="s">
        <v>118</v>
      </c>
    </row>
    <row r="4" spans="1:19" ht="14.65" customHeight="1">
      <c r="A4" s="201"/>
      <c r="B4" s="208"/>
      <c r="C4" s="214" t="s">
        <v>325</v>
      </c>
      <c r="D4" s="201" t="s">
        <v>402</v>
      </c>
      <c r="E4" s="223" t="s">
        <v>267</v>
      </c>
      <c r="G4" s="201"/>
      <c r="H4" s="208"/>
      <c r="I4" s="214" t="s">
        <v>325</v>
      </c>
      <c r="J4" s="201" t="s">
        <v>401</v>
      </c>
      <c r="K4" s="223" t="s">
        <v>267</v>
      </c>
      <c r="M4" s="201"/>
      <c r="N4" s="208"/>
      <c r="O4" s="214" t="s">
        <v>325</v>
      </c>
      <c r="P4" s="201" t="s">
        <v>401</v>
      </c>
      <c r="Q4" s="223" t="s">
        <v>267</v>
      </c>
    </row>
    <row r="5" spans="1:19" ht="14.65" customHeight="1">
      <c r="A5" s="201"/>
      <c r="B5" s="208"/>
      <c r="C5" s="214"/>
      <c r="D5" s="201"/>
      <c r="E5" s="223"/>
      <c r="G5" s="201"/>
      <c r="H5" s="208"/>
      <c r="I5" s="214"/>
      <c r="J5" s="201"/>
      <c r="K5" s="223"/>
      <c r="M5" s="201"/>
      <c r="N5" s="208"/>
      <c r="O5" s="214"/>
      <c r="P5" s="201"/>
      <c r="Q5" s="223"/>
    </row>
    <row r="6" spans="1:19" ht="14.65" customHeight="1">
      <c r="A6" s="201"/>
      <c r="B6" s="208"/>
      <c r="C6" s="214"/>
      <c r="D6" s="201"/>
      <c r="E6" s="223"/>
      <c r="G6" s="201"/>
      <c r="H6" s="208"/>
      <c r="I6" s="214"/>
      <c r="J6" s="201"/>
      <c r="K6" s="223"/>
      <c r="M6" s="201"/>
      <c r="N6" s="208"/>
      <c r="O6" s="214"/>
      <c r="P6" s="201"/>
      <c r="Q6" s="223"/>
    </row>
    <row r="7" spans="1:19" ht="14.65" customHeight="1">
      <c r="A7" s="202"/>
      <c r="B7" s="209"/>
      <c r="C7" s="215"/>
      <c r="D7" s="202"/>
      <c r="E7" s="224"/>
      <c r="G7" s="202"/>
      <c r="H7" s="209"/>
      <c r="I7" s="215"/>
      <c r="J7" s="202"/>
      <c r="K7" s="224"/>
      <c r="M7" s="202"/>
      <c r="N7" s="209"/>
      <c r="O7" s="215"/>
      <c r="P7" s="202"/>
      <c r="Q7" s="224"/>
    </row>
    <row r="8" spans="1:19" ht="14.65" customHeight="1">
      <c r="A8" s="201"/>
      <c r="B8" s="208"/>
      <c r="C8" s="216"/>
      <c r="D8" s="201"/>
      <c r="E8" s="225"/>
      <c r="G8" s="201"/>
      <c r="H8" s="208"/>
      <c r="I8" s="216"/>
      <c r="J8" s="201"/>
      <c r="K8" s="225"/>
      <c r="M8" s="201"/>
      <c r="N8" s="208"/>
      <c r="O8" s="216"/>
      <c r="P8" s="201"/>
      <c r="Q8" s="225"/>
    </row>
    <row r="9" spans="1:19" s="199" customFormat="1" ht="14.65" customHeight="1">
      <c r="A9" s="203">
        <v>0</v>
      </c>
      <c r="B9" s="210" t="s">
        <v>213</v>
      </c>
      <c r="C9" s="217">
        <v>33179</v>
      </c>
      <c r="D9" s="221">
        <v>55886</v>
      </c>
      <c r="E9" s="226">
        <f t="shared" ref="E9:E55" si="0">C9-D9</f>
        <v>-22707</v>
      </c>
      <c r="F9" s="229"/>
      <c r="G9" s="203">
        <v>0</v>
      </c>
      <c r="H9" s="210" t="s">
        <v>213</v>
      </c>
      <c r="I9" s="217">
        <v>20137</v>
      </c>
      <c r="J9" s="221">
        <v>30091</v>
      </c>
      <c r="K9" s="226">
        <f t="shared" ref="K9:K55" si="1">I9-J9</f>
        <v>-9954</v>
      </c>
      <c r="M9" s="203">
        <v>0</v>
      </c>
      <c r="N9" s="210" t="s">
        <v>213</v>
      </c>
      <c r="O9" s="217">
        <v>13042</v>
      </c>
      <c r="P9" s="221">
        <v>25795</v>
      </c>
      <c r="Q9" s="226">
        <f t="shared" ref="Q9:Q55" si="2">O9-P9</f>
        <v>-12753</v>
      </c>
    </row>
    <row r="10" spans="1:19" s="199" customFormat="1" ht="14.65" customHeight="1">
      <c r="A10" s="203">
        <v>13</v>
      </c>
      <c r="B10" s="210" t="s">
        <v>373</v>
      </c>
      <c r="C10" s="217">
        <v>4783</v>
      </c>
      <c r="D10" s="221">
        <v>10078</v>
      </c>
      <c r="E10" s="226">
        <f t="shared" si="0"/>
        <v>-5295</v>
      </c>
      <c r="F10" s="229"/>
      <c r="G10" s="203">
        <v>4</v>
      </c>
      <c r="H10" s="210" t="s">
        <v>173</v>
      </c>
      <c r="I10" s="217">
        <v>2948</v>
      </c>
      <c r="J10" s="221">
        <v>5100</v>
      </c>
      <c r="K10" s="226">
        <f t="shared" si="1"/>
        <v>-2152</v>
      </c>
      <c r="M10" s="203">
        <v>13</v>
      </c>
      <c r="N10" s="210" t="s">
        <v>373</v>
      </c>
      <c r="O10" s="217">
        <v>2100</v>
      </c>
      <c r="P10" s="221">
        <v>5317</v>
      </c>
      <c r="Q10" s="226">
        <f t="shared" si="2"/>
        <v>-3217</v>
      </c>
    </row>
    <row r="11" spans="1:19" s="199" customFormat="1" ht="14.65" customHeight="1">
      <c r="A11" s="203">
        <v>4</v>
      </c>
      <c r="B11" s="210" t="s">
        <v>173</v>
      </c>
      <c r="C11" s="217">
        <v>4820</v>
      </c>
      <c r="D11" s="221">
        <v>9936</v>
      </c>
      <c r="E11" s="226">
        <f t="shared" si="0"/>
        <v>-5116</v>
      </c>
      <c r="F11" s="229"/>
      <c r="G11" s="203">
        <v>13</v>
      </c>
      <c r="H11" s="210" t="s">
        <v>373</v>
      </c>
      <c r="I11" s="217">
        <v>2683</v>
      </c>
      <c r="J11" s="221">
        <v>4761</v>
      </c>
      <c r="K11" s="226">
        <f t="shared" si="1"/>
        <v>-2078</v>
      </c>
      <c r="M11" s="203">
        <v>4</v>
      </c>
      <c r="N11" s="210" t="s">
        <v>173</v>
      </c>
      <c r="O11" s="217">
        <v>1872</v>
      </c>
      <c r="P11" s="221">
        <v>4836</v>
      </c>
      <c r="Q11" s="226">
        <f t="shared" si="2"/>
        <v>-2964</v>
      </c>
    </row>
    <row r="12" spans="1:19" s="199" customFormat="1" ht="14.65" customHeight="1">
      <c r="A12" s="203">
        <v>14</v>
      </c>
      <c r="B12" s="210" t="s">
        <v>131</v>
      </c>
      <c r="C12" s="217">
        <v>2360</v>
      </c>
      <c r="D12" s="221">
        <v>4651</v>
      </c>
      <c r="E12" s="226">
        <f t="shared" si="0"/>
        <v>-2291</v>
      </c>
      <c r="F12" s="229"/>
      <c r="G12" s="203">
        <v>14</v>
      </c>
      <c r="H12" s="210" t="s">
        <v>131</v>
      </c>
      <c r="I12" s="217">
        <v>1383</v>
      </c>
      <c r="J12" s="221">
        <v>2334</v>
      </c>
      <c r="K12" s="226">
        <f t="shared" si="1"/>
        <v>-951</v>
      </c>
      <c r="M12" s="203">
        <v>14</v>
      </c>
      <c r="N12" s="210" t="s">
        <v>131</v>
      </c>
      <c r="O12" s="217">
        <v>977</v>
      </c>
      <c r="P12" s="221">
        <v>2317</v>
      </c>
      <c r="Q12" s="226">
        <f t="shared" si="2"/>
        <v>-1340</v>
      </c>
    </row>
    <row r="13" spans="1:19" s="199" customFormat="1" ht="14.65" customHeight="1">
      <c r="A13" s="203">
        <v>11</v>
      </c>
      <c r="B13" s="210" t="s">
        <v>162</v>
      </c>
      <c r="C13" s="217">
        <v>1977</v>
      </c>
      <c r="D13" s="221">
        <v>3877</v>
      </c>
      <c r="E13" s="226">
        <f t="shared" si="0"/>
        <v>-1900</v>
      </c>
      <c r="F13" s="229"/>
      <c r="G13" s="203">
        <v>11</v>
      </c>
      <c r="H13" s="210" t="s">
        <v>162</v>
      </c>
      <c r="I13" s="217">
        <v>1170</v>
      </c>
      <c r="J13" s="221">
        <v>1961</v>
      </c>
      <c r="K13" s="226">
        <f t="shared" si="1"/>
        <v>-791</v>
      </c>
      <c r="M13" s="203">
        <v>11</v>
      </c>
      <c r="N13" s="210" t="s">
        <v>162</v>
      </c>
      <c r="O13" s="217">
        <v>807</v>
      </c>
      <c r="P13" s="221">
        <v>1916</v>
      </c>
      <c r="Q13" s="226">
        <f t="shared" si="2"/>
        <v>-1109</v>
      </c>
    </row>
    <row r="14" spans="1:19" s="199" customFormat="1" ht="14.65" customHeight="1">
      <c r="A14" s="203">
        <v>12</v>
      </c>
      <c r="B14" s="210" t="s">
        <v>1</v>
      </c>
      <c r="C14" s="217">
        <v>1775</v>
      </c>
      <c r="D14" s="221">
        <v>3451</v>
      </c>
      <c r="E14" s="226">
        <f t="shared" si="0"/>
        <v>-1676</v>
      </c>
      <c r="F14" s="229"/>
      <c r="G14" s="203">
        <v>12</v>
      </c>
      <c r="H14" s="210" t="s">
        <v>1</v>
      </c>
      <c r="I14" s="217">
        <v>1076</v>
      </c>
      <c r="J14" s="221">
        <v>1814</v>
      </c>
      <c r="K14" s="226">
        <f t="shared" si="1"/>
        <v>-738</v>
      </c>
      <c r="M14" s="203">
        <v>12</v>
      </c>
      <c r="N14" s="210" t="s">
        <v>1</v>
      </c>
      <c r="O14" s="217">
        <v>699</v>
      </c>
      <c r="P14" s="221">
        <v>1637</v>
      </c>
      <c r="Q14" s="226">
        <f t="shared" si="2"/>
        <v>-938</v>
      </c>
    </row>
    <row r="15" spans="1:19" ht="14.65" customHeight="1">
      <c r="A15" s="203">
        <v>3</v>
      </c>
      <c r="B15" s="210" t="s">
        <v>392</v>
      </c>
      <c r="C15" s="217">
        <v>2999</v>
      </c>
      <c r="D15" s="221">
        <v>3949</v>
      </c>
      <c r="E15" s="226">
        <f t="shared" si="0"/>
        <v>-950</v>
      </c>
      <c r="F15" s="229"/>
      <c r="G15" s="203">
        <v>3</v>
      </c>
      <c r="H15" s="210" t="s">
        <v>392</v>
      </c>
      <c r="I15" s="217">
        <v>1756</v>
      </c>
      <c r="J15" s="221">
        <v>2205</v>
      </c>
      <c r="K15" s="226">
        <f t="shared" si="1"/>
        <v>-449</v>
      </c>
      <c r="M15" s="203">
        <v>3</v>
      </c>
      <c r="N15" s="210" t="s">
        <v>392</v>
      </c>
      <c r="O15" s="217">
        <v>1243</v>
      </c>
      <c r="P15" s="221">
        <v>1744</v>
      </c>
      <c r="Q15" s="226">
        <f t="shared" si="2"/>
        <v>-501</v>
      </c>
    </row>
    <row r="16" spans="1:19" ht="14.65" customHeight="1">
      <c r="A16" s="203">
        <v>1</v>
      </c>
      <c r="B16" s="210" t="s">
        <v>387</v>
      </c>
      <c r="C16" s="217">
        <v>1605</v>
      </c>
      <c r="D16" s="221">
        <v>2288</v>
      </c>
      <c r="E16" s="226">
        <f t="shared" si="0"/>
        <v>-683</v>
      </c>
      <c r="F16" s="229"/>
      <c r="G16" s="203">
        <v>1</v>
      </c>
      <c r="H16" s="210" t="s">
        <v>387</v>
      </c>
      <c r="I16" s="217">
        <v>980</v>
      </c>
      <c r="J16" s="221">
        <v>1359</v>
      </c>
      <c r="K16" s="226">
        <f t="shared" si="1"/>
        <v>-379</v>
      </c>
      <c r="M16" s="203">
        <v>1</v>
      </c>
      <c r="N16" s="210" t="s">
        <v>387</v>
      </c>
      <c r="O16" s="217">
        <v>625</v>
      </c>
      <c r="P16" s="221">
        <v>929</v>
      </c>
      <c r="Q16" s="226">
        <f t="shared" si="2"/>
        <v>-304</v>
      </c>
    </row>
    <row r="17" spans="1:17" ht="14.65" customHeight="1">
      <c r="A17" s="203">
        <v>7</v>
      </c>
      <c r="B17" s="210" t="s">
        <v>309</v>
      </c>
      <c r="C17" s="217">
        <v>1199</v>
      </c>
      <c r="D17" s="221">
        <v>1760</v>
      </c>
      <c r="E17" s="226">
        <f t="shared" si="0"/>
        <v>-561</v>
      </c>
      <c r="F17" s="229"/>
      <c r="G17" s="203">
        <v>7</v>
      </c>
      <c r="H17" s="210" t="s">
        <v>309</v>
      </c>
      <c r="I17" s="217">
        <v>842</v>
      </c>
      <c r="J17" s="221">
        <v>1172</v>
      </c>
      <c r="K17" s="226">
        <f t="shared" si="1"/>
        <v>-330</v>
      </c>
      <c r="M17" s="203">
        <v>7</v>
      </c>
      <c r="N17" s="210" t="s">
        <v>309</v>
      </c>
      <c r="O17" s="217">
        <v>357</v>
      </c>
      <c r="P17" s="221">
        <v>588</v>
      </c>
      <c r="Q17" s="226">
        <f t="shared" si="2"/>
        <v>-231</v>
      </c>
    </row>
    <row r="18" spans="1:17" ht="14.65" customHeight="1">
      <c r="A18" s="203">
        <v>15</v>
      </c>
      <c r="B18" s="210" t="s">
        <v>164</v>
      </c>
      <c r="C18" s="217">
        <v>1002</v>
      </c>
      <c r="D18" s="221">
        <v>1489</v>
      </c>
      <c r="E18" s="226">
        <f t="shared" si="0"/>
        <v>-487</v>
      </c>
      <c r="F18" s="229"/>
      <c r="G18" s="203">
        <v>15</v>
      </c>
      <c r="H18" s="210" t="s">
        <v>164</v>
      </c>
      <c r="I18" s="217">
        <v>627</v>
      </c>
      <c r="J18" s="221">
        <v>919</v>
      </c>
      <c r="K18" s="226">
        <f t="shared" si="1"/>
        <v>-292</v>
      </c>
      <c r="M18" s="203">
        <v>10</v>
      </c>
      <c r="N18" s="210" t="s">
        <v>144</v>
      </c>
      <c r="O18" s="217">
        <v>117</v>
      </c>
      <c r="P18" s="221">
        <v>328</v>
      </c>
      <c r="Q18" s="226">
        <f t="shared" si="2"/>
        <v>-211</v>
      </c>
    </row>
    <row r="19" spans="1:17" ht="14.65" customHeight="1">
      <c r="A19" s="203">
        <v>23</v>
      </c>
      <c r="B19" s="210" t="s">
        <v>393</v>
      </c>
      <c r="C19" s="217">
        <v>635</v>
      </c>
      <c r="D19" s="221">
        <v>1070</v>
      </c>
      <c r="E19" s="226">
        <f t="shared" si="0"/>
        <v>-435</v>
      </c>
      <c r="F19" s="229"/>
      <c r="G19" s="203">
        <v>23</v>
      </c>
      <c r="H19" s="210" t="s">
        <v>393</v>
      </c>
      <c r="I19" s="217">
        <v>450</v>
      </c>
      <c r="J19" s="221">
        <v>680</v>
      </c>
      <c r="K19" s="226">
        <f t="shared" si="1"/>
        <v>-230</v>
      </c>
      <c r="M19" s="203">
        <v>23</v>
      </c>
      <c r="N19" s="210" t="s">
        <v>393</v>
      </c>
      <c r="O19" s="217">
        <v>185</v>
      </c>
      <c r="P19" s="221">
        <v>390</v>
      </c>
      <c r="Q19" s="226">
        <f t="shared" si="2"/>
        <v>-205</v>
      </c>
    </row>
    <row r="20" spans="1:17" ht="14.65" customHeight="1">
      <c r="A20" s="203">
        <v>8</v>
      </c>
      <c r="B20" s="210" t="s">
        <v>135</v>
      </c>
      <c r="C20" s="217">
        <v>700</v>
      </c>
      <c r="D20" s="221">
        <v>1066</v>
      </c>
      <c r="E20" s="226">
        <f t="shared" si="0"/>
        <v>-366</v>
      </c>
      <c r="F20" s="229"/>
      <c r="G20" s="203">
        <v>9</v>
      </c>
      <c r="H20" s="210" t="s">
        <v>160</v>
      </c>
      <c r="I20" s="217">
        <v>425</v>
      </c>
      <c r="J20" s="221">
        <v>610</v>
      </c>
      <c r="K20" s="226">
        <f t="shared" si="1"/>
        <v>-185</v>
      </c>
      <c r="M20" s="203">
        <v>27</v>
      </c>
      <c r="N20" s="210" t="s">
        <v>284</v>
      </c>
      <c r="O20" s="217">
        <v>177</v>
      </c>
      <c r="P20" s="221">
        <v>378</v>
      </c>
      <c r="Q20" s="226">
        <f t="shared" si="2"/>
        <v>-201</v>
      </c>
    </row>
    <row r="21" spans="1:17" ht="14.65" customHeight="1">
      <c r="A21" s="203">
        <v>27</v>
      </c>
      <c r="B21" s="210" t="s">
        <v>284</v>
      </c>
      <c r="C21" s="217">
        <v>445</v>
      </c>
      <c r="D21" s="221">
        <v>787</v>
      </c>
      <c r="E21" s="226">
        <f t="shared" si="0"/>
        <v>-342</v>
      </c>
      <c r="F21" s="229"/>
      <c r="G21" s="203">
        <v>8</v>
      </c>
      <c r="H21" s="210" t="s">
        <v>135</v>
      </c>
      <c r="I21" s="217">
        <v>457</v>
      </c>
      <c r="J21" s="221">
        <v>623</v>
      </c>
      <c r="K21" s="226">
        <f t="shared" si="1"/>
        <v>-166</v>
      </c>
      <c r="M21" s="203">
        <v>8</v>
      </c>
      <c r="N21" s="210" t="s">
        <v>135</v>
      </c>
      <c r="O21" s="217">
        <v>243</v>
      </c>
      <c r="P21" s="221">
        <v>443</v>
      </c>
      <c r="Q21" s="226">
        <f t="shared" si="2"/>
        <v>-200</v>
      </c>
    </row>
    <row r="22" spans="1:17" ht="14.65" customHeight="1">
      <c r="A22" s="203">
        <v>6</v>
      </c>
      <c r="B22" s="210" t="s">
        <v>394</v>
      </c>
      <c r="C22" s="217">
        <v>1618</v>
      </c>
      <c r="D22" s="221">
        <v>1948</v>
      </c>
      <c r="E22" s="226">
        <f t="shared" si="0"/>
        <v>-330</v>
      </c>
      <c r="F22" s="229"/>
      <c r="G22" s="203">
        <v>6</v>
      </c>
      <c r="H22" s="210" t="s">
        <v>394</v>
      </c>
      <c r="I22" s="217">
        <v>970</v>
      </c>
      <c r="J22" s="221">
        <v>1120</v>
      </c>
      <c r="K22" s="226">
        <f t="shared" si="1"/>
        <v>-150</v>
      </c>
      <c r="M22" s="203">
        <v>15</v>
      </c>
      <c r="N22" s="210" t="s">
        <v>164</v>
      </c>
      <c r="O22" s="217">
        <v>375</v>
      </c>
      <c r="P22" s="221">
        <v>570</v>
      </c>
      <c r="Q22" s="226">
        <f t="shared" si="2"/>
        <v>-195</v>
      </c>
    </row>
    <row r="23" spans="1:17" ht="14.65" customHeight="1">
      <c r="A23" s="203">
        <v>10</v>
      </c>
      <c r="B23" s="210" t="s">
        <v>144</v>
      </c>
      <c r="C23" s="217">
        <v>414</v>
      </c>
      <c r="D23" s="221">
        <v>733</v>
      </c>
      <c r="E23" s="226">
        <f t="shared" si="0"/>
        <v>-319</v>
      </c>
      <c r="F23" s="229"/>
      <c r="G23" s="203">
        <v>27</v>
      </c>
      <c r="H23" s="210" t="s">
        <v>284</v>
      </c>
      <c r="I23" s="217">
        <v>268</v>
      </c>
      <c r="J23" s="221">
        <v>409</v>
      </c>
      <c r="K23" s="226">
        <f t="shared" si="1"/>
        <v>-141</v>
      </c>
      <c r="M23" s="203">
        <v>6</v>
      </c>
      <c r="N23" s="210" t="s">
        <v>394</v>
      </c>
      <c r="O23" s="217">
        <v>648</v>
      </c>
      <c r="P23" s="221">
        <v>828</v>
      </c>
      <c r="Q23" s="226">
        <f t="shared" si="2"/>
        <v>-180</v>
      </c>
    </row>
    <row r="24" spans="1:17" ht="14.65" customHeight="1">
      <c r="A24" s="203">
        <v>9</v>
      </c>
      <c r="B24" s="210" t="s">
        <v>160</v>
      </c>
      <c r="C24" s="217">
        <v>641</v>
      </c>
      <c r="D24" s="221">
        <v>933</v>
      </c>
      <c r="E24" s="226">
        <f t="shared" si="0"/>
        <v>-292</v>
      </c>
      <c r="F24" s="229"/>
      <c r="G24" s="203">
        <v>2</v>
      </c>
      <c r="H24" s="210" t="s">
        <v>255</v>
      </c>
      <c r="I24" s="217">
        <v>1786</v>
      </c>
      <c r="J24" s="221">
        <v>1899</v>
      </c>
      <c r="K24" s="226">
        <f t="shared" si="1"/>
        <v>-113</v>
      </c>
      <c r="M24" s="203">
        <v>2</v>
      </c>
      <c r="N24" s="210" t="s">
        <v>255</v>
      </c>
      <c r="O24" s="217">
        <v>1193</v>
      </c>
      <c r="P24" s="221">
        <v>1351</v>
      </c>
      <c r="Q24" s="226">
        <f t="shared" si="2"/>
        <v>-158</v>
      </c>
    </row>
    <row r="25" spans="1:17" ht="14.65" customHeight="1">
      <c r="A25" s="203">
        <v>2</v>
      </c>
      <c r="B25" s="210" t="s">
        <v>255</v>
      </c>
      <c r="C25" s="217">
        <v>2979</v>
      </c>
      <c r="D25" s="221">
        <v>3250</v>
      </c>
      <c r="E25" s="226">
        <f t="shared" si="0"/>
        <v>-271</v>
      </c>
      <c r="F25" s="229"/>
      <c r="G25" s="203">
        <v>10</v>
      </c>
      <c r="H25" s="210" t="s">
        <v>144</v>
      </c>
      <c r="I25" s="217">
        <v>297</v>
      </c>
      <c r="J25" s="221">
        <v>405</v>
      </c>
      <c r="K25" s="226">
        <f t="shared" si="1"/>
        <v>-108</v>
      </c>
      <c r="M25" s="203">
        <v>9</v>
      </c>
      <c r="N25" s="210" t="s">
        <v>160</v>
      </c>
      <c r="O25" s="217">
        <v>216</v>
      </c>
      <c r="P25" s="221">
        <v>323</v>
      </c>
      <c r="Q25" s="226">
        <f t="shared" si="2"/>
        <v>-107</v>
      </c>
    </row>
    <row r="26" spans="1:17" ht="14.65" customHeight="1">
      <c r="A26" s="203">
        <v>26</v>
      </c>
      <c r="B26" s="210" t="s">
        <v>11</v>
      </c>
      <c r="C26" s="217">
        <v>190</v>
      </c>
      <c r="D26" s="221">
        <v>347</v>
      </c>
      <c r="E26" s="226">
        <f t="shared" si="0"/>
        <v>-157</v>
      </c>
      <c r="F26" s="229"/>
      <c r="G26" s="203">
        <v>16</v>
      </c>
      <c r="H26" s="210" t="s">
        <v>148</v>
      </c>
      <c r="I26" s="217">
        <v>67</v>
      </c>
      <c r="J26" s="221">
        <v>146</v>
      </c>
      <c r="K26" s="226">
        <f t="shared" si="1"/>
        <v>-79</v>
      </c>
      <c r="M26" s="203">
        <v>26</v>
      </c>
      <c r="N26" s="210" t="s">
        <v>11</v>
      </c>
      <c r="O26" s="217">
        <v>79</v>
      </c>
      <c r="P26" s="221">
        <v>173</v>
      </c>
      <c r="Q26" s="226">
        <f t="shared" si="2"/>
        <v>-94</v>
      </c>
    </row>
    <row r="27" spans="1:17" ht="14.65" customHeight="1">
      <c r="A27" s="203">
        <v>40</v>
      </c>
      <c r="B27" s="210" t="s">
        <v>186</v>
      </c>
      <c r="C27" s="217">
        <v>190</v>
      </c>
      <c r="D27" s="221">
        <v>309</v>
      </c>
      <c r="E27" s="226">
        <f t="shared" si="0"/>
        <v>-119</v>
      </c>
      <c r="F27" s="229"/>
      <c r="G27" s="203">
        <v>40</v>
      </c>
      <c r="H27" s="210" t="s">
        <v>186</v>
      </c>
      <c r="I27" s="217">
        <v>118</v>
      </c>
      <c r="J27" s="221">
        <v>197</v>
      </c>
      <c r="K27" s="226">
        <f t="shared" si="1"/>
        <v>-79</v>
      </c>
      <c r="M27" s="203">
        <v>19</v>
      </c>
      <c r="N27" s="210" t="s">
        <v>167</v>
      </c>
      <c r="O27" s="217">
        <v>40</v>
      </c>
      <c r="P27" s="221">
        <v>114</v>
      </c>
      <c r="Q27" s="226">
        <f t="shared" si="2"/>
        <v>-74</v>
      </c>
    </row>
    <row r="28" spans="1:17" ht="14.65" customHeight="1">
      <c r="A28" s="203">
        <v>16</v>
      </c>
      <c r="B28" s="210" t="s">
        <v>148</v>
      </c>
      <c r="C28" s="217">
        <v>113</v>
      </c>
      <c r="D28" s="221">
        <v>219</v>
      </c>
      <c r="E28" s="226">
        <f t="shared" si="0"/>
        <v>-106</v>
      </c>
      <c r="F28" s="229"/>
      <c r="G28" s="203">
        <v>26</v>
      </c>
      <c r="H28" s="210" t="s">
        <v>11</v>
      </c>
      <c r="I28" s="217">
        <v>111</v>
      </c>
      <c r="J28" s="221">
        <v>174</v>
      </c>
      <c r="K28" s="226">
        <f t="shared" si="1"/>
        <v>-63</v>
      </c>
      <c r="M28" s="203">
        <v>28</v>
      </c>
      <c r="N28" s="210" t="s">
        <v>4</v>
      </c>
      <c r="O28" s="217">
        <v>114</v>
      </c>
      <c r="P28" s="221">
        <v>184</v>
      </c>
      <c r="Q28" s="226">
        <f t="shared" si="2"/>
        <v>-70</v>
      </c>
    </row>
    <row r="29" spans="1:17" ht="14.65" customHeight="1">
      <c r="A29" s="203">
        <v>22</v>
      </c>
      <c r="B29" s="210" t="s">
        <v>171</v>
      </c>
      <c r="C29" s="217">
        <v>509</v>
      </c>
      <c r="D29" s="221">
        <v>607</v>
      </c>
      <c r="E29" s="226">
        <f t="shared" si="0"/>
        <v>-98</v>
      </c>
      <c r="F29" s="229"/>
      <c r="G29" s="203">
        <v>34</v>
      </c>
      <c r="H29" s="210" t="s">
        <v>182</v>
      </c>
      <c r="I29" s="217">
        <v>50</v>
      </c>
      <c r="J29" s="221">
        <v>111</v>
      </c>
      <c r="K29" s="226">
        <f t="shared" si="1"/>
        <v>-61</v>
      </c>
      <c r="M29" s="203">
        <v>22</v>
      </c>
      <c r="N29" s="210" t="s">
        <v>171</v>
      </c>
      <c r="O29" s="217">
        <v>161</v>
      </c>
      <c r="P29" s="221">
        <v>223</v>
      </c>
      <c r="Q29" s="226">
        <f t="shared" si="2"/>
        <v>-62</v>
      </c>
    </row>
    <row r="30" spans="1:17" ht="14.65" customHeight="1">
      <c r="A30" s="203">
        <v>34</v>
      </c>
      <c r="B30" s="210" t="s">
        <v>182</v>
      </c>
      <c r="C30" s="217">
        <v>95</v>
      </c>
      <c r="D30" s="221">
        <v>193</v>
      </c>
      <c r="E30" s="226">
        <f t="shared" si="0"/>
        <v>-98</v>
      </c>
      <c r="F30" s="229"/>
      <c r="G30" s="203">
        <v>25</v>
      </c>
      <c r="H30" s="210" t="s">
        <v>175</v>
      </c>
      <c r="I30" s="217">
        <v>36</v>
      </c>
      <c r="J30" s="221">
        <v>91</v>
      </c>
      <c r="K30" s="226">
        <f t="shared" si="1"/>
        <v>-55</v>
      </c>
      <c r="M30" s="203">
        <v>20</v>
      </c>
      <c r="N30" s="210" t="s">
        <v>169</v>
      </c>
      <c r="O30" s="217">
        <v>103</v>
      </c>
      <c r="P30" s="221">
        <v>152</v>
      </c>
      <c r="Q30" s="226">
        <f t="shared" si="2"/>
        <v>-49</v>
      </c>
    </row>
    <row r="31" spans="1:17" ht="14.65" customHeight="1">
      <c r="A31" s="203">
        <v>19</v>
      </c>
      <c r="B31" s="210" t="s">
        <v>167</v>
      </c>
      <c r="C31" s="217">
        <v>136</v>
      </c>
      <c r="D31" s="221">
        <v>230</v>
      </c>
      <c r="E31" s="226">
        <f t="shared" si="0"/>
        <v>-94</v>
      </c>
      <c r="F31" s="229"/>
      <c r="G31" s="203">
        <v>24</v>
      </c>
      <c r="H31" s="210" t="s">
        <v>174</v>
      </c>
      <c r="I31" s="217">
        <v>78</v>
      </c>
      <c r="J31" s="221">
        <v>121</v>
      </c>
      <c r="K31" s="226">
        <f t="shared" si="1"/>
        <v>-43</v>
      </c>
      <c r="M31" s="203">
        <v>47</v>
      </c>
      <c r="N31" s="210" t="s">
        <v>193</v>
      </c>
      <c r="O31" s="217">
        <v>39</v>
      </c>
      <c r="P31" s="221">
        <v>88</v>
      </c>
      <c r="Q31" s="226">
        <f t="shared" si="2"/>
        <v>-49</v>
      </c>
    </row>
    <row r="32" spans="1:17" ht="14.65" customHeight="1">
      <c r="A32" s="203">
        <v>20</v>
      </c>
      <c r="B32" s="210" t="s">
        <v>169</v>
      </c>
      <c r="C32" s="217">
        <v>275</v>
      </c>
      <c r="D32" s="221">
        <v>366</v>
      </c>
      <c r="E32" s="226">
        <f t="shared" si="0"/>
        <v>-91</v>
      </c>
      <c r="F32" s="229"/>
      <c r="G32" s="203">
        <v>20</v>
      </c>
      <c r="H32" s="210" t="s">
        <v>169</v>
      </c>
      <c r="I32" s="217">
        <v>172</v>
      </c>
      <c r="J32" s="221">
        <v>214</v>
      </c>
      <c r="K32" s="226">
        <f t="shared" si="1"/>
        <v>-42</v>
      </c>
      <c r="M32" s="203">
        <v>17</v>
      </c>
      <c r="N32" s="210" t="s">
        <v>165</v>
      </c>
      <c r="O32" s="217">
        <v>56</v>
      </c>
      <c r="P32" s="221">
        <v>96</v>
      </c>
      <c r="Q32" s="226">
        <f t="shared" si="2"/>
        <v>-40</v>
      </c>
    </row>
    <row r="33" spans="1:17" ht="14.65" customHeight="1">
      <c r="A33" s="203">
        <v>28</v>
      </c>
      <c r="B33" s="210" t="s">
        <v>4</v>
      </c>
      <c r="C33" s="217">
        <v>299</v>
      </c>
      <c r="D33" s="221">
        <v>389</v>
      </c>
      <c r="E33" s="226">
        <f t="shared" si="0"/>
        <v>-90</v>
      </c>
      <c r="F33" s="229"/>
      <c r="G33" s="203">
        <v>47</v>
      </c>
      <c r="H33" s="210" t="s">
        <v>193</v>
      </c>
      <c r="I33" s="217">
        <v>41</v>
      </c>
      <c r="J33" s="221">
        <v>79</v>
      </c>
      <c r="K33" s="226">
        <f t="shared" si="1"/>
        <v>-38</v>
      </c>
      <c r="M33" s="203">
        <v>40</v>
      </c>
      <c r="N33" s="210" t="s">
        <v>186</v>
      </c>
      <c r="O33" s="217">
        <v>72</v>
      </c>
      <c r="P33" s="221">
        <v>112</v>
      </c>
      <c r="Q33" s="226">
        <f t="shared" si="2"/>
        <v>-40</v>
      </c>
    </row>
    <row r="34" spans="1:17" ht="14.65" customHeight="1">
      <c r="A34" s="203">
        <v>25</v>
      </c>
      <c r="B34" s="210" t="s">
        <v>175</v>
      </c>
      <c r="C34" s="217">
        <v>57</v>
      </c>
      <c r="D34" s="221">
        <v>146</v>
      </c>
      <c r="E34" s="226">
        <f t="shared" si="0"/>
        <v>-89</v>
      </c>
      <c r="F34" s="229"/>
      <c r="G34" s="203">
        <v>22</v>
      </c>
      <c r="H34" s="210" t="s">
        <v>171</v>
      </c>
      <c r="I34" s="217">
        <v>348</v>
      </c>
      <c r="J34" s="221">
        <v>384</v>
      </c>
      <c r="K34" s="226">
        <f t="shared" si="1"/>
        <v>-36</v>
      </c>
      <c r="M34" s="203">
        <v>34</v>
      </c>
      <c r="N34" s="210" t="s">
        <v>182</v>
      </c>
      <c r="O34" s="217">
        <v>45</v>
      </c>
      <c r="P34" s="221">
        <v>82</v>
      </c>
      <c r="Q34" s="226">
        <f t="shared" si="2"/>
        <v>-37</v>
      </c>
    </row>
    <row r="35" spans="1:17" ht="14.65" customHeight="1">
      <c r="A35" s="203">
        <v>47</v>
      </c>
      <c r="B35" s="210" t="s">
        <v>193</v>
      </c>
      <c r="C35" s="217">
        <v>80</v>
      </c>
      <c r="D35" s="221">
        <v>167</v>
      </c>
      <c r="E35" s="226">
        <f t="shared" si="0"/>
        <v>-87</v>
      </c>
      <c r="F35" s="229"/>
      <c r="G35" s="203">
        <v>17</v>
      </c>
      <c r="H35" s="210" t="s">
        <v>165</v>
      </c>
      <c r="I35" s="217">
        <v>94</v>
      </c>
      <c r="J35" s="221">
        <v>122</v>
      </c>
      <c r="K35" s="226">
        <f t="shared" si="1"/>
        <v>-28</v>
      </c>
      <c r="M35" s="203">
        <v>25</v>
      </c>
      <c r="N35" s="210" t="s">
        <v>175</v>
      </c>
      <c r="O35" s="217">
        <v>21</v>
      </c>
      <c r="P35" s="221">
        <v>55</v>
      </c>
      <c r="Q35" s="226">
        <f t="shared" si="2"/>
        <v>-34</v>
      </c>
    </row>
    <row r="36" spans="1:17" ht="14.65" customHeight="1">
      <c r="A36" s="203">
        <v>24</v>
      </c>
      <c r="B36" s="210" t="s">
        <v>174</v>
      </c>
      <c r="C36" s="217">
        <v>105</v>
      </c>
      <c r="D36" s="221">
        <v>176</v>
      </c>
      <c r="E36" s="226">
        <f t="shared" si="0"/>
        <v>-71</v>
      </c>
      <c r="F36" s="229"/>
      <c r="G36" s="203">
        <v>18</v>
      </c>
      <c r="H36" s="210" t="s">
        <v>166</v>
      </c>
      <c r="I36" s="217">
        <v>42</v>
      </c>
      <c r="J36" s="221">
        <v>67</v>
      </c>
      <c r="K36" s="226">
        <f t="shared" si="1"/>
        <v>-25</v>
      </c>
      <c r="M36" s="203">
        <v>24</v>
      </c>
      <c r="N36" s="210" t="s">
        <v>174</v>
      </c>
      <c r="O36" s="217">
        <v>27</v>
      </c>
      <c r="P36" s="221">
        <v>55</v>
      </c>
      <c r="Q36" s="226">
        <f t="shared" si="2"/>
        <v>-28</v>
      </c>
    </row>
    <row r="37" spans="1:17" ht="14.65" customHeight="1">
      <c r="A37" s="203">
        <v>17</v>
      </c>
      <c r="B37" s="210" t="s">
        <v>165</v>
      </c>
      <c r="C37" s="217">
        <v>150</v>
      </c>
      <c r="D37" s="221">
        <v>218</v>
      </c>
      <c r="E37" s="226">
        <f t="shared" si="0"/>
        <v>-68</v>
      </c>
      <c r="F37" s="229"/>
      <c r="G37" s="203">
        <v>21</v>
      </c>
      <c r="H37" s="210" t="s">
        <v>170</v>
      </c>
      <c r="I37" s="217">
        <v>90</v>
      </c>
      <c r="J37" s="221">
        <v>113</v>
      </c>
      <c r="K37" s="226">
        <f t="shared" si="1"/>
        <v>-23</v>
      </c>
      <c r="M37" s="203">
        <v>16</v>
      </c>
      <c r="N37" s="210" t="s">
        <v>148</v>
      </c>
      <c r="O37" s="217">
        <v>46</v>
      </c>
      <c r="P37" s="221">
        <v>73</v>
      </c>
      <c r="Q37" s="226">
        <f t="shared" si="2"/>
        <v>-27</v>
      </c>
    </row>
    <row r="38" spans="1:17" ht="14.65" customHeight="1">
      <c r="A38" s="203">
        <v>18</v>
      </c>
      <c r="B38" s="210" t="s">
        <v>166</v>
      </c>
      <c r="C38" s="217">
        <v>59</v>
      </c>
      <c r="D38" s="221">
        <v>101</v>
      </c>
      <c r="E38" s="226">
        <f t="shared" si="0"/>
        <v>-42</v>
      </c>
      <c r="F38" s="229"/>
      <c r="G38" s="203">
        <v>19</v>
      </c>
      <c r="H38" s="210" t="s">
        <v>167</v>
      </c>
      <c r="I38" s="217">
        <v>96</v>
      </c>
      <c r="J38" s="221">
        <v>116</v>
      </c>
      <c r="K38" s="226">
        <f t="shared" si="1"/>
        <v>-20</v>
      </c>
      <c r="M38" s="203">
        <v>35</v>
      </c>
      <c r="N38" s="210" t="s">
        <v>113</v>
      </c>
      <c r="O38" s="217">
        <v>19</v>
      </c>
      <c r="P38" s="221">
        <v>37</v>
      </c>
      <c r="Q38" s="226">
        <f t="shared" si="2"/>
        <v>-18</v>
      </c>
    </row>
    <row r="39" spans="1:17" ht="14.65" customHeight="1">
      <c r="A39" s="203">
        <v>32</v>
      </c>
      <c r="B39" s="210" t="s">
        <v>181</v>
      </c>
      <c r="C39" s="217">
        <v>22</v>
      </c>
      <c r="D39" s="221">
        <v>57</v>
      </c>
      <c r="E39" s="226">
        <f t="shared" si="0"/>
        <v>-35</v>
      </c>
      <c r="F39" s="229"/>
      <c r="G39" s="203">
        <v>28</v>
      </c>
      <c r="H39" s="210" t="s">
        <v>4</v>
      </c>
      <c r="I39" s="217">
        <v>185</v>
      </c>
      <c r="J39" s="221">
        <v>205</v>
      </c>
      <c r="K39" s="226">
        <f t="shared" si="1"/>
        <v>-20</v>
      </c>
      <c r="M39" s="203">
        <v>18</v>
      </c>
      <c r="N39" s="210" t="s">
        <v>166</v>
      </c>
      <c r="O39" s="217">
        <v>17</v>
      </c>
      <c r="P39" s="221">
        <v>34</v>
      </c>
      <c r="Q39" s="226">
        <f t="shared" si="2"/>
        <v>-17</v>
      </c>
    </row>
    <row r="40" spans="1:17" ht="14.65" customHeight="1">
      <c r="A40" s="203">
        <v>35</v>
      </c>
      <c r="B40" s="210" t="s">
        <v>113</v>
      </c>
      <c r="C40" s="217">
        <v>52</v>
      </c>
      <c r="D40" s="221">
        <v>87</v>
      </c>
      <c r="E40" s="226">
        <f t="shared" si="0"/>
        <v>-35</v>
      </c>
      <c r="F40" s="229"/>
      <c r="G40" s="203">
        <v>33</v>
      </c>
      <c r="H40" s="210" t="s">
        <v>29</v>
      </c>
      <c r="I40" s="217">
        <v>88</v>
      </c>
      <c r="J40" s="221">
        <v>107</v>
      </c>
      <c r="K40" s="226">
        <f t="shared" si="1"/>
        <v>-19</v>
      </c>
      <c r="M40" s="203">
        <v>32</v>
      </c>
      <c r="N40" s="210" t="s">
        <v>181</v>
      </c>
      <c r="O40" s="217">
        <v>6</v>
      </c>
      <c r="P40" s="221">
        <v>23</v>
      </c>
      <c r="Q40" s="226">
        <f t="shared" si="2"/>
        <v>-17</v>
      </c>
    </row>
    <row r="41" spans="1:17" ht="14.65" customHeight="1">
      <c r="A41" s="203">
        <v>29</v>
      </c>
      <c r="B41" s="210" t="s">
        <v>177</v>
      </c>
      <c r="C41" s="217">
        <v>72</v>
      </c>
      <c r="D41" s="221">
        <v>103</v>
      </c>
      <c r="E41" s="226">
        <f t="shared" si="0"/>
        <v>-31</v>
      </c>
      <c r="F41" s="229"/>
      <c r="G41" s="203">
        <v>32</v>
      </c>
      <c r="H41" s="210" t="s">
        <v>181</v>
      </c>
      <c r="I41" s="217">
        <v>16</v>
      </c>
      <c r="J41" s="221">
        <v>34</v>
      </c>
      <c r="K41" s="226">
        <f t="shared" si="1"/>
        <v>-18</v>
      </c>
      <c r="M41" s="203">
        <v>37</v>
      </c>
      <c r="N41" s="210" t="s">
        <v>28</v>
      </c>
      <c r="O41" s="217">
        <v>14</v>
      </c>
      <c r="P41" s="221">
        <v>31</v>
      </c>
      <c r="Q41" s="226">
        <f t="shared" si="2"/>
        <v>-17</v>
      </c>
    </row>
    <row r="42" spans="1:17" ht="14.65" customHeight="1">
      <c r="A42" s="203">
        <v>21</v>
      </c>
      <c r="B42" s="210" t="s">
        <v>170</v>
      </c>
      <c r="C42" s="217">
        <v>152</v>
      </c>
      <c r="D42" s="221">
        <v>182</v>
      </c>
      <c r="E42" s="226">
        <f t="shared" si="0"/>
        <v>-30</v>
      </c>
      <c r="F42" s="229"/>
      <c r="G42" s="203">
        <v>35</v>
      </c>
      <c r="H42" s="210" t="s">
        <v>113</v>
      </c>
      <c r="I42" s="217">
        <v>33</v>
      </c>
      <c r="J42" s="221">
        <v>50</v>
      </c>
      <c r="K42" s="226">
        <f t="shared" si="1"/>
        <v>-17</v>
      </c>
      <c r="M42" s="203">
        <v>29</v>
      </c>
      <c r="N42" s="210" t="s">
        <v>177</v>
      </c>
      <c r="O42" s="217">
        <v>31</v>
      </c>
      <c r="P42" s="221">
        <v>47</v>
      </c>
      <c r="Q42" s="226">
        <f t="shared" si="2"/>
        <v>-16</v>
      </c>
    </row>
    <row r="43" spans="1:17" ht="14.65" customHeight="1">
      <c r="A43" s="203">
        <v>33</v>
      </c>
      <c r="B43" s="210" t="s">
        <v>29</v>
      </c>
      <c r="C43" s="217">
        <v>134</v>
      </c>
      <c r="D43" s="221">
        <v>161</v>
      </c>
      <c r="E43" s="226">
        <f t="shared" si="0"/>
        <v>-27</v>
      </c>
      <c r="F43" s="229"/>
      <c r="G43" s="203">
        <v>42</v>
      </c>
      <c r="H43" s="210" t="s">
        <v>31</v>
      </c>
      <c r="I43" s="217">
        <v>34</v>
      </c>
      <c r="J43" s="221">
        <v>51</v>
      </c>
      <c r="K43" s="226">
        <f t="shared" si="1"/>
        <v>-17</v>
      </c>
      <c r="M43" s="203">
        <v>39</v>
      </c>
      <c r="N43" s="210" t="s">
        <v>108</v>
      </c>
      <c r="O43" s="217">
        <v>9</v>
      </c>
      <c r="P43" s="221">
        <v>25</v>
      </c>
      <c r="Q43" s="226">
        <f t="shared" si="2"/>
        <v>-16</v>
      </c>
    </row>
    <row r="44" spans="1:17" ht="14.65" customHeight="1">
      <c r="A44" s="203">
        <v>42</v>
      </c>
      <c r="B44" s="210" t="s">
        <v>31</v>
      </c>
      <c r="C44" s="217">
        <v>50</v>
      </c>
      <c r="D44" s="221">
        <v>76</v>
      </c>
      <c r="E44" s="226">
        <f t="shared" si="0"/>
        <v>-26</v>
      </c>
      <c r="F44" s="229"/>
      <c r="G44" s="203">
        <v>29</v>
      </c>
      <c r="H44" s="210" t="s">
        <v>177</v>
      </c>
      <c r="I44" s="217">
        <v>41</v>
      </c>
      <c r="J44" s="221">
        <v>56</v>
      </c>
      <c r="K44" s="226">
        <f t="shared" si="1"/>
        <v>-15</v>
      </c>
      <c r="M44" s="203">
        <v>42</v>
      </c>
      <c r="N44" s="210" t="s">
        <v>31</v>
      </c>
      <c r="O44" s="217">
        <v>16</v>
      </c>
      <c r="P44" s="221">
        <v>25</v>
      </c>
      <c r="Q44" s="226">
        <f t="shared" si="2"/>
        <v>-9</v>
      </c>
    </row>
    <row r="45" spans="1:17" ht="14.65" customHeight="1">
      <c r="A45" s="203">
        <v>37</v>
      </c>
      <c r="B45" s="210" t="s">
        <v>28</v>
      </c>
      <c r="C45" s="217">
        <v>36</v>
      </c>
      <c r="D45" s="221">
        <v>59</v>
      </c>
      <c r="E45" s="226">
        <f t="shared" si="0"/>
        <v>-23</v>
      </c>
      <c r="F45" s="229"/>
      <c r="G45" s="203">
        <v>37</v>
      </c>
      <c r="H45" s="210" t="s">
        <v>28</v>
      </c>
      <c r="I45" s="217">
        <v>22</v>
      </c>
      <c r="J45" s="221">
        <v>28</v>
      </c>
      <c r="K45" s="226">
        <f t="shared" si="1"/>
        <v>-6</v>
      </c>
      <c r="M45" s="203">
        <v>33</v>
      </c>
      <c r="N45" s="210" t="s">
        <v>29</v>
      </c>
      <c r="O45" s="217">
        <v>46</v>
      </c>
      <c r="P45" s="221">
        <v>54</v>
      </c>
      <c r="Q45" s="226">
        <f t="shared" si="2"/>
        <v>-8</v>
      </c>
    </row>
    <row r="46" spans="1:17" ht="14.65" customHeight="1">
      <c r="A46" s="203">
        <v>39</v>
      </c>
      <c r="B46" s="210" t="s">
        <v>108</v>
      </c>
      <c r="C46" s="217">
        <v>23</v>
      </c>
      <c r="D46" s="221">
        <v>45</v>
      </c>
      <c r="E46" s="226">
        <f t="shared" si="0"/>
        <v>-22</v>
      </c>
      <c r="F46" s="229"/>
      <c r="G46" s="203">
        <v>39</v>
      </c>
      <c r="H46" s="210" t="s">
        <v>108</v>
      </c>
      <c r="I46" s="217">
        <v>14</v>
      </c>
      <c r="J46" s="221">
        <v>20</v>
      </c>
      <c r="K46" s="226">
        <f t="shared" si="1"/>
        <v>-6</v>
      </c>
      <c r="M46" s="203">
        <v>21</v>
      </c>
      <c r="N46" s="210" t="s">
        <v>170</v>
      </c>
      <c r="O46" s="217">
        <v>62</v>
      </c>
      <c r="P46" s="221">
        <v>69</v>
      </c>
      <c r="Q46" s="226">
        <f t="shared" si="2"/>
        <v>-7</v>
      </c>
    </row>
    <row r="47" spans="1:17" ht="14.65" customHeight="1">
      <c r="A47" s="203">
        <v>31</v>
      </c>
      <c r="B47" s="210" t="s">
        <v>179</v>
      </c>
      <c r="C47" s="217">
        <v>22</v>
      </c>
      <c r="D47" s="221">
        <v>30</v>
      </c>
      <c r="E47" s="226">
        <f t="shared" si="0"/>
        <v>-8</v>
      </c>
      <c r="F47" s="229"/>
      <c r="G47" s="203">
        <v>46</v>
      </c>
      <c r="H47" s="210" t="s">
        <v>191</v>
      </c>
      <c r="I47" s="217">
        <v>38</v>
      </c>
      <c r="J47" s="221">
        <v>44</v>
      </c>
      <c r="K47" s="226">
        <f t="shared" si="1"/>
        <v>-6</v>
      </c>
      <c r="M47" s="203">
        <v>31</v>
      </c>
      <c r="N47" s="210" t="s">
        <v>179</v>
      </c>
      <c r="O47" s="217">
        <v>11</v>
      </c>
      <c r="P47" s="221">
        <v>14</v>
      </c>
      <c r="Q47" s="226">
        <f t="shared" si="2"/>
        <v>-3</v>
      </c>
    </row>
    <row r="48" spans="1:17" ht="14.65" customHeight="1">
      <c r="A48" s="203">
        <v>44</v>
      </c>
      <c r="B48" s="210" t="s">
        <v>189</v>
      </c>
      <c r="C48" s="217">
        <v>36</v>
      </c>
      <c r="D48" s="221">
        <v>44</v>
      </c>
      <c r="E48" s="226">
        <f t="shared" si="0"/>
        <v>-8</v>
      </c>
      <c r="F48" s="229"/>
      <c r="G48" s="203">
        <v>31</v>
      </c>
      <c r="H48" s="210" t="s">
        <v>179</v>
      </c>
      <c r="I48" s="217">
        <v>11</v>
      </c>
      <c r="J48" s="221">
        <v>16</v>
      </c>
      <c r="K48" s="226">
        <f t="shared" si="1"/>
        <v>-5</v>
      </c>
      <c r="M48" s="203">
        <v>44</v>
      </c>
      <c r="N48" s="210" t="s">
        <v>189</v>
      </c>
      <c r="O48" s="217">
        <v>15</v>
      </c>
      <c r="P48" s="221">
        <v>18</v>
      </c>
      <c r="Q48" s="226">
        <f t="shared" si="2"/>
        <v>-3</v>
      </c>
    </row>
    <row r="49" spans="1:17" ht="14.65" customHeight="1">
      <c r="A49" s="204">
        <v>46</v>
      </c>
      <c r="B49" s="211" t="s">
        <v>191</v>
      </c>
      <c r="C49" s="218">
        <v>73</v>
      </c>
      <c r="D49" s="222">
        <v>80</v>
      </c>
      <c r="E49" s="227">
        <f t="shared" si="0"/>
        <v>-7</v>
      </c>
      <c r="F49" s="229"/>
      <c r="G49" s="203">
        <v>44</v>
      </c>
      <c r="H49" s="210" t="s">
        <v>189</v>
      </c>
      <c r="I49" s="217">
        <v>21</v>
      </c>
      <c r="J49" s="221">
        <v>26</v>
      </c>
      <c r="K49" s="226">
        <f t="shared" si="1"/>
        <v>-5</v>
      </c>
      <c r="M49" s="204">
        <v>46</v>
      </c>
      <c r="N49" s="211" t="s">
        <v>191</v>
      </c>
      <c r="O49" s="218">
        <v>35</v>
      </c>
      <c r="P49" s="222">
        <v>36</v>
      </c>
      <c r="Q49" s="227">
        <f t="shared" si="2"/>
        <v>-1</v>
      </c>
    </row>
    <row r="50" spans="1:17" ht="14.65" customHeight="1">
      <c r="A50" s="203">
        <v>38</v>
      </c>
      <c r="B50" s="210" t="s">
        <v>184</v>
      </c>
      <c r="C50" s="217">
        <v>53</v>
      </c>
      <c r="D50" s="221">
        <v>50</v>
      </c>
      <c r="E50" s="226">
        <f t="shared" si="0"/>
        <v>3</v>
      </c>
      <c r="F50" s="229"/>
      <c r="G50" s="203">
        <v>38</v>
      </c>
      <c r="H50" s="210" t="s">
        <v>184</v>
      </c>
      <c r="I50" s="217">
        <v>36</v>
      </c>
      <c r="J50" s="221">
        <v>38</v>
      </c>
      <c r="K50" s="226">
        <f t="shared" si="1"/>
        <v>-2</v>
      </c>
      <c r="M50" s="203">
        <v>30</v>
      </c>
      <c r="N50" s="210" t="s">
        <v>178</v>
      </c>
      <c r="O50" s="217">
        <v>19</v>
      </c>
      <c r="P50" s="221">
        <v>14</v>
      </c>
      <c r="Q50" s="226">
        <f t="shared" si="2"/>
        <v>5</v>
      </c>
    </row>
    <row r="51" spans="1:17" ht="14.65" customHeight="1">
      <c r="A51" s="203">
        <v>45</v>
      </c>
      <c r="B51" s="210" t="s">
        <v>190</v>
      </c>
      <c r="C51" s="217">
        <v>48</v>
      </c>
      <c r="D51" s="221">
        <v>45</v>
      </c>
      <c r="E51" s="226">
        <f t="shared" si="0"/>
        <v>3</v>
      </c>
      <c r="F51" s="229"/>
      <c r="G51" s="204">
        <v>45</v>
      </c>
      <c r="H51" s="211" t="s">
        <v>190</v>
      </c>
      <c r="I51" s="218">
        <v>27</v>
      </c>
      <c r="J51" s="222">
        <v>29</v>
      </c>
      <c r="K51" s="227">
        <f t="shared" si="1"/>
        <v>-2</v>
      </c>
      <c r="M51" s="203">
        <v>38</v>
      </c>
      <c r="N51" s="210" t="s">
        <v>184</v>
      </c>
      <c r="O51" s="217">
        <v>17</v>
      </c>
      <c r="P51" s="221">
        <v>12</v>
      </c>
      <c r="Q51" s="226">
        <f t="shared" si="2"/>
        <v>5</v>
      </c>
    </row>
    <row r="52" spans="1:17" ht="14.65" customHeight="1">
      <c r="A52" s="203">
        <v>36</v>
      </c>
      <c r="B52" s="210" t="s">
        <v>183</v>
      </c>
      <c r="C52" s="217">
        <v>34</v>
      </c>
      <c r="D52" s="221">
        <v>24</v>
      </c>
      <c r="E52" s="226">
        <f t="shared" si="0"/>
        <v>10</v>
      </c>
      <c r="F52" s="229"/>
      <c r="G52" s="203">
        <v>43</v>
      </c>
      <c r="H52" s="210" t="s">
        <v>188</v>
      </c>
      <c r="I52" s="217">
        <v>34</v>
      </c>
      <c r="J52" s="221">
        <v>33</v>
      </c>
      <c r="K52" s="226">
        <f t="shared" si="1"/>
        <v>1</v>
      </c>
      <c r="M52" s="203">
        <v>45</v>
      </c>
      <c r="N52" s="210" t="s">
        <v>190</v>
      </c>
      <c r="O52" s="217">
        <v>21</v>
      </c>
      <c r="P52" s="221">
        <v>16</v>
      </c>
      <c r="Q52" s="226">
        <f t="shared" si="2"/>
        <v>5</v>
      </c>
    </row>
    <row r="53" spans="1:17" ht="14.65" customHeight="1">
      <c r="A53" s="203">
        <v>43</v>
      </c>
      <c r="B53" s="210" t="s">
        <v>188</v>
      </c>
      <c r="C53" s="217">
        <v>63</v>
      </c>
      <c r="D53" s="221">
        <v>50</v>
      </c>
      <c r="E53" s="226">
        <f t="shared" si="0"/>
        <v>13</v>
      </c>
      <c r="F53" s="229"/>
      <c r="G53" s="203">
        <v>36</v>
      </c>
      <c r="H53" s="210" t="s">
        <v>183</v>
      </c>
      <c r="I53" s="217">
        <v>21</v>
      </c>
      <c r="J53" s="221">
        <v>17</v>
      </c>
      <c r="K53" s="226">
        <f t="shared" si="1"/>
        <v>4</v>
      </c>
      <c r="M53" s="203">
        <v>36</v>
      </c>
      <c r="N53" s="210" t="s">
        <v>183</v>
      </c>
      <c r="O53" s="217">
        <v>13</v>
      </c>
      <c r="P53" s="221">
        <v>7</v>
      </c>
      <c r="Q53" s="226">
        <f t="shared" si="2"/>
        <v>6</v>
      </c>
    </row>
    <row r="54" spans="1:17" ht="14.65" customHeight="1">
      <c r="A54" s="203">
        <v>41</v>
      </c>
      <c r="B54" s="210" t="s">
        <v>103</v>
      </c>
      <c r="C54" s="217">
        <v>45</v>
      </c>
      <c r="D54" s="221">
        <v>30</v>
      </c>
      <c r="E54" s="226">
        <f t="shared" si="0"/>
        <v>15</v>
      </c>
      <c r="F54" s="229"/>
      <c r="G54" s="203">
        <v>41</v>
      </c>
      <c r="H54" s="210" t="s">
        <v>103</v>
      </c>
      <c r="I54" s="217">
        <v>20</v>
      </c>
      <c r="J54" s="221">
        <v>16</v>
      </c>
      <c r="K54" s="226">
        <f t="shared" si="1"/>
        <v>4</v>
      </c>
      <c r="M54" s="203">
        <v>41</v>
      </c>
      <c r="N54" s="210" t="s">
        <v>103</v>
      </c>
      <c r="O54" s="217">
        <v>25</v>
      </c>
      <c r="P54" s="221">
        <v>14</v>
      </c>
      <c r="Q54" s="226">
        <f t="shared" si="2"/>
        <v>11</v>
      </c>
    </row>
    <row r="55" spans="1:17" ht="14.65" customHeight="1">
      <c r="A55" s="203">
        <v>30</v>
      </c>
      <c r="B55" s="210" t="s">
        <v>178</v>
      </c>
      <c r="C55" s="217">
        <v>54</v>
      </c>
      <c r="D55" s="221">
        <v>29</v>
      </c>
      <c r="E55" s="226">
        <f t="shared" si="0"/>
        <v>25</v>
      </c>
      <c r="F55" s="229"/>
      <c r="G55" s="203">
        <v>30</v>
      </c>
      <c r="H55" s="210" t="s">
        <v>178</v>
      </c>
      <c r="I55" s="217">
        <v>35</v>
      </c>
      <c r="J55" s="221">
        <v>15</v>
      </c>
      <c r="K55" s="226">
        <f t="shared" si="1"/>
        <v>20</v>
      </c>
      <c r="M55" s="203">
        <v>43</v>
      </c>
      <c r="N55" s="210" t="s">
        <v>188</v>
      </c>
      <c r="O55" s="217">
        <v>29</v>
      </c>
      <c r="P55" s="221">
        <v>17</v>
      </c>
      <c r="Q55" s="226">
        <f t="shared" si="2"/>
        <v>12</v>
      </c>
    </row>
    <row r="56" spans="1:17" ht="14.65" customHeight="1">
      <c r="A56" s="205"/>
      <c r="B56" s="212"/>
      <c r="C56" s="219"/>
      <c r="D56" s="219"/>
      <c r="E56" s="228"/>
      <c r="G56" s="212"/>
      <c r="H56" s="212"/>
      <c r="I56" s="219"/>
      <c r="J56" s="219"/>
      <c r="K56" s="228"/>
      <c r="M56" s="212"/>
      <c r="N56" s="212"/>
      <c r="O56" s="219"/>
      <c r="P56" s="219"/>
      <c r="Q56" s="228"/>
    </row>
    <row r="57" spans="1:17" ht="14.65" customHeight="1">
      <c r="A57" s="206" t="s">
        <v>407</v>
      </c>
      <c r="J57" s="230"/>
      <c r="K57" s="230"/>
    </row>
    <row r="58" spans="1:17" ht="14.65" customHeight="1">
      <c r="A58" s="206" t="s">
        <v>48</v>
      </c>
      <c r="J58" s="199"/>
      <c r="K58" s="199"/>
    </row>
    <row r="59" spans="1:17" ht="14.65" customHeight="1">
      <c r="A59" s="206" t="s">
        <v>354</v>
      </c>
    </row>
    <row r="60" spans="1:17">
      <c r="A60" s="206"/>
    </row>
    <row r="61" spans="1:17">
      <c r="A61" s="206"/>
    </row>
    <row r="62" spans="1:17">
      <c r="A62" s="206"/>
    </row>
    <row r="63" spans="1:17">
      <c r="A63" s="206"/>
    </row>
    <row r="64" spans="1:17">
      <c r="A64" s="206"/>
    </row>
    <row r="65" spans="1:1">
      <c r="A65" s="206"/>
    </row>
    <row r="66" spans="1:1">
      <c r="A66" s="206"/>
    </row>
    <row r="67" spans="1:1">
      <c r="A67" s="206"/>
    </row>
    <row r="68" spans="1:1">
      <c r="A68" s="206"/>
    </row>
    <row r="69" spans="1:1">
      <c r="A69" s="206"/>
    </row>
    <row r="70" spans="1:1">
      <c r="A70" s="206"/>
    </row>
    <row r="71" spans="1:1">
      <c r="A71" s="206"/>
    </row>
    <row r="72" spans="1:1">
      <c r="A72" s="206"/>
    </row>
    <row r="73" spans="1:1">
      <c r="A73" s="206"/>
    </row>
    <row r="74" spans="1:1">
      <c r="A74" s="206"/>
    </row>
    <row r="75" spans="1:1">
      <c r="A75" s="206"/>
    </row>
    <row r="76" spans="1:1">
      <c r="A76" s="206"/>
    </row>
    <row r="77" spans="1:1">
      <c r="A77" s="206"/>
    </row>
    <row r="78" spans="1:1">
      <c r="A78" s="206"/>
    </row>
    <row r="79" spans="1:1">
      <c r="A79" s="206"/>
    </row>
    <row r="80" spans="1:1">
      <c r="A80" s="206"/>
    </row>
    <row r="81" spans="1:1">
      <c r="A81" s="206"/>
    </row>
    <row r="82" spans="1:1">
      <c r="A82" s="206"/>
    </row>
    <row r="83" spans="1:1">
      <c r="A83" s="206"/>
    </row>
    <row r="84" spans="1:1">
      <c r="A84" s="206"/>
    </row>
    <row r="85" spans="1:1">
      <c r="A85" s="206"/>
    </row>
    <row r="86" spans="1:1">
      <c r="A86" s="206"/>
    </row>
    <row r="87" spans="1:1">
      <c r="A87" s="206"/>
    </row>
    <row r="88" spans="1:1">
      <c r="A88" s="206"/>
    </row>
    <row r="89" spans="1:1">
      <c r="A89" s="206"/>
    </row>
    <row r="90" spans="1:1">
      <c r="A90" s="206"/>
    </row>
    <row r="91" spans="1:1">
      <c r="A91" s="206"/>
    </row>
    <row r="92" spans="1:1">
      <c r="A92" s="206"/>
    </row>
    <row r="93" spans="1:1">
      <c r="A93" s="206"/>
    </row>
    <row r="94" spans="1:1">
      <c r="A94" s="206"/>
    </row>
    <row r="95" spans="1:1">
      <c r="A95" s="206"/>
    </row>
    <row r="96" spans="1:1">
      <c r="A96" s="206"/>
    </row>
    <row r="97" spans="1:1">
      <c r="A97" s="206"/>
    </row>
    <row r="98" spans="1:1">
      <c r="A98" s="206"/>
    </row>
    <row r="99" spans="1:1">
      <c r="A99" s="206"/>
    </row>
    <row r="100" spans="1:1">
      <c r="A100" s="206"/>
    </row>
    <row r="101" spans="1:1">
      <c r="A101" s="206"/>
    </row>
    <row r="102" spans="1:1">
      <c r="A102" s="206"/>
    </row>
    <row r="103" spans="1:1">
      <c r="A103" s="206"/>
    </row>
    <row r="104" spans="1:1">
      <c r="A104" s="206"/>
    </row>
    <row r="105" spans="1:1">
      <c r="A105" s="206"/>
    </row>
    <row r="106" spans="1:1">
      <c r="A106" s="206"/>
    </row>
    <row r="107" spans="1:1">
      <c r="A107" s="206"/>
    </row>
    <row r="108" spans="1:1">
      <c r="A108" s="206"/>
    </row>
    <row r="109" spans="1:1">
      <c r="A109" s="206"/>
    </row>
    <row r="110" spans="1:1">
      <c r="A110" s="206"/>
    </row>
    <row r="111" spans="1:1">
      <c r="A111" s="206"/>
    </row>
    <row r="112" spans="1:1">
      <c r="A112" s="206"/>
    </row>
    <row r="113" spans="1:1">
      <c r="A113" s="206"/>
    </row>
    <row r="114" spans="1:1">
      <c r="A114" s="206"/>
    </row>
    <row r="115" spans="1:1">
      <c r="A115" s="206"/>
    </row>
    <row r="116" spans="1:1">
      <c r="A116" s="206"/>
    </row>
    <row r="117" spans="1:1">
      <c r="A117" s="206"/>
    </row>
    <row r="118" spans="1:1">
      <c r="A118" s="206"/>
    </row>
    <row r="119" spans="1:1">
      <c r="A119" s="206"/>
    </row>
    <row r="120" spans="1:1">
      <c r="A120" s="206"/>
    </row>
    <row r="121" spans="1:1">
      <c r="A121" s="206"/>
    </row>
    <row r="122" spans="1:1">
      <c r="A122" s="206"/>
    </row>
    <row r="123" spans="1:1">
      <c r="A123" s="206"/>
    </row>
    <row r="124" spans="1:1">
      <c r="A124" s="206"/>
    </row>
    <row r="125" spans="1:1">
      <c r="A125" s="206"/>
    </row>
    <row r="126" spans="1:1">
      <c r="A126" s="206"/>
    </row>
    <row r="127" spans="1:1">
      <c r="A127" s="206"/>
    </row>
    <row r="128" spans="1:1">
      <c r="A128" s="206"/>
    </row>
    <row r="129" spans="1:1">
      <c r="A129" s="206"/>
    </row>
    <row r="130" spans="1:1">
      <c r="A130" s="206"/>
    </row>
    <row r="131" spans="1:1">
      <c r="A131" s="206"/>
    </row>
    <row r="132" spans="1:1">
      <c r="A132" s="206"/>
    </row>
    <row r="133" spans="1:1">
      <c r="A133" s="206"/>
    </row>
    <row r="134" spans="1:1">
      <c r="A134" s="206"/>
    </row>
    <row r="135" spans="1:1">
      <c r="A135" s="206"/>
    </row>
    <row r="136" spans="1:1">
      <c r="A136" s="206"/>
    </row>
    <row r="137" spans="1:1">
      <c r="A137" s="206"/>
    </row>
    <row r="138" spans="1:1">
      <c r="A138" s="206"/>
    </row>
    <row r="139" spans="1:1">
      <c r="A139" s="206"/>
    </row>
    <row r="140" spans="1:1">
      <c r="A140" s="206"/>
    </row>
    <row r="141" spans="1:1">
      <c r="A141" s="206"/>
    </row>
  </sheetData>
  <sortState ref="M9:Q55">
    <sortCondition ref="Q9:Q55"/>
  </sortState>
  <mergeCells count="15">
    <mergeCell ref="C3:E3"/>
    <mergeCell ref="I3:K3"/>
    <mergeCell ref="O3:Q3"/>
    <mergeCell ref="A3:B7"/>
    <mergeCell ref="G3:H7"/>
    <mergeCell ref="M3:N7"/>
    <mergeCell ref="C4:C7"/>
    <mergeCell ref="D4:D7"/>
    <mergeCell ref="E4:E7"/>
    <mergeCell ref="I4:I7"/>
    <mergeCell ref="J4:J7"/>
    <mergeCell ref="K4:K7"/>
    <mergeCell ref="O4:O7"/>
    <mergeCell ref="P4:P7"/>
    <mergeCell ref="Q4:Q7"/>
  </mergeCells>
  <phoneticPr fontId="8"/>
  <hyperlinks>
    <hyperlink ref="S3" location="目次!A33"/>
  </hyperlinks>
  <printOptions horizontalCentered="1"/>
  <pageMargins left="0.19685039370078741" right="0.19685039370078741" top="0.39370078740157483" bottom="0.39370078740157483" header="0.19685039370078741" footer="0.19685039370078741"/>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O37"/>
  <sheetViews>
    <sheetView showGridLines="0" zoomScaleSheetLayoutView="100" workbookViewId="0"/>
  </sheetViews>
  <sheetFormatPr defaultRowHeight="13.5"/>
  <cols>
    <col min="1" max="1" width="1.625" style="6" customWidth="1"/>
    <col min="2" max="2" width="11.125" style="6" customWidth="1"/>
    <col min="3" max="3" width="9.75" style="231" customWidth="1"/>
    <col min="4" max="5" width="8.125" style="231" customWidth="1"/>
    <col min="6" max="9" width="7.375" style="231" customWidth="1"/>
    <col min="10" max="10" width="6.625" style="231" customWidth="1"/>
    <col min="11" max="11" width="7.375" style="231" customWidth="1"/>
    <col min="12" max="13" width="7.375" style="6" customWidth="1"/>
    <col min="14" max="16384" width="9" style="6" customWidth="1"/>
  </cols>
  <sheetData>
    <row r="1" spans="1:15" ht="15.75" customHeight="1">
      <c r="A1" s="42" t="s">
        <v>302</v>
      </c>
    </row>
    <row r="2" spans="1:15" ht="15.75" customHeight="1"/>
    <row r="3" spans="1:15" ht="15.75" customHeight="1">
      <c r="A3" s="232" t="s">
        <v>303</v>
      </c>
      <c r="B3" s="235"/>
      <c r="C3" s="238" t="s">
        <v>334</v>
      </c>
      <c r="D3" s="245"/>
      <c r="E3" s="245"/>
      <c r="F3" s="245"/>
      <c r="G3" s="245"/>
      <c r="H3" s="245"/>
      <c r="I3" s="245"/>
      <c r="J3" s="245"/>
      <c r="K3" s="245"/>
      <c r="L3" s="245"/>
      <c r="M3" s="245"/>
      <c r="O3" s="43" t="s">
        <v>118</v>
      </c>
    </row>
    <row r="4" spans="1:15" ht="15.75" customHeight="1">
      <c r="A4" s="233"/>
      <c r="B4" s="236"/>
      <c r="C4" s="239" t="s">
        <v>69</v>
      </c>
      <c r="D4" s="246" t="s">
        <v>132</v>
      </c>
      <c r="E4" s="239" t="s">
        <v>316</v>
      </c>
      <c r="F4" s="164"/>
      <c r="G4" s="164"/>
      <c r="H4" s="164"/>
      <c r="I4" s="164"/>
      <c r="J4" s="164"/>
      <c r="K4" s="255" t="s">
        <v>44</v>
      </c>
      <c r="L4" s="12"/>
      <c r="M4" s="12"/>
    </row>
    <row r="5" spans="1:15" ht="15.75" customHeight="1">
      <c r="A5" s="233"/>
      <c r="B5" s="236"/>
      <c r="C5" s="240"/>
      <c r="D5" s="246"/>
      <c r="E5" s="240"/>
      <c r="F5" s="248" t="s">
        <v>168</v>
      </c>
      <c r="G5" s="251" t="s">
        <v>141</v>
      </c>
      <c r="H5" s="254"/>
      <c r="I5" s="257"/>
      <c r="J5" s="258"/>
      <c r="K5" s="256"/>
      <c r="L5" s="92" t="s">
        <v>140</v>
      </c>
      <c r="M5" s="84" t="s">
        <v>231</v>
      </c>
    </row>
    <row r="6" spans="1:15" ht="15.75" customHeight="1">
      <c r="A6" s="233"/>
      <c r="B6" s="236"/>
      <c r="C6" s="240"/>
      <c r="D6" s="246"/>
      <c r="E6" s="240"/>
      <c r="F6" s="249"/>
      <c r="G6" s="252"/>
      <c r="H6" s="255" t="s">
        <v>237</v>
      </c>
      <c r="I6" s="248" t="s">
        <v>143</v>
      </c>
      <c r="J6" s="242" t="s">
        <v>145</v>
      </c>
      <c r="K6" s="256"/>
      <c r="L6" s="79"/>
      <c r="M6" s="79"/>
    </row>
    <row r="7" spans="1:15" ht="15.75" customHeight="1">
      <c r="A7" s="233"/>
      <c r="B7" s="236"/>
      <c r="C7" s="240"/>
      <c r="D7" s="246"/>
      <c r="E7" s="240"/>
      <c r="F7" s="249"/>
      <c r="G7" s="252"/>
      <c r="H7" s="256"/>
      <c r="I7" s="249"/>
      <c r="J7" s="246"/>
      <c r="K7" s="256"/>
      <c r="L7" s="79"/>
      <c r="M7" s="79"/>
    </row>
    <row r="8" spans="1:15" ht="15.75" customHeight="1">
      <c r="A8" s="234"/>
      <c r="B8" s="237"/>
      <c r="C8" s="241"/>
      <c r="D8" s="247"/>
      <c r="E8" s="241"/>
      <c r="F8" s="250"/>
      <c r="G8" s="253"/>
      <c r="H8" s="253"/>
      <c r="I8" s="250"/>
      <c r="J8" s="247"/>
      <c r="K8" s="259"/>
      <c r="L8" s="80"/>
      <c r="M8" s="80"/>
    </row>
    <row r="9" spans="1:15" s="6" customFormat="1" ht="15.75" customHeight="1">
      <c r="A9" s="108"/>
      <c r="B9" s="100"/>
      <c r="C9" s="242"/>
      <c r="D9" s="242"/>
      <c r="E9" s="242"/>
      <c r="F9" s="242"/>
      <c r="G9" s="242"/>
      <c r="H9" s="242"/>
      <c r="I9" s="248"/>
      <c r="J9" s="248"/>
      <c r="K9" s="260"/>
      <c r="L9" s="263"/>
      <c r="M9" s="39"/>
    </row>
    <row r="10" spans="1:15" s="6" customFormat="1" ht="15.75" customHeight="1">
      <c r="B10" s="59" t="s">
        <v>305</v>
      </c>
      <c r="C10" s="243">
        <v>307672</v>
      </c>
      <c r="D10" s="243">
        <v>241632</v>
      </c>
      <c r="E10" s="243">
        <v>66040</v>
      </c>
      <c r="F10" s="243">
        <v>37252</v>
      </c>
      <c r="G10" s="243">
        <v>28788</v>
      </c>
      <c r="H10" s="243">
        <v>10474</v>
      </c>
      <c r="I10" s="243">
        <v>17673</v>
      </c>
      <c r="J10" s="243">
        <v>641</v>
      </c>
      <c r="K10" s="261">
        <v>31787</v>
      </c>
      <c r="L10" s="71">
        <v>6227</v>
      </c>
      <c r="M10" s="25">
        <v>25560</v>
      </c>
    </row>
    <row r="11" spans="1:15" ht="15.75" customHeight="1">
      <c r="B11" s="59" t="s">
        <v>253</v>
      </c>
      <c r="C11" s="243">
        <v>49968</v>
      </c>
      <c r="D11" s="243">
        <v>42434</v>
      </c>
      <c r="E11" s="243">
        <v>7534</v>
      </c>
      <c r="F11" s="243">
        <v>4360</v>
      </c>
      <c r="G11" s="243">
        <v>3174</v>
      </c>
      <c r="H11" s="243">
        <v>1697</v>
      </c>
      <c r="I11" s="243">
        <v>1357</v>
      </c>
      <c r="J11" s="243">
        <v>120</v>
      </c>
      <c r="K11" s="261">
        <v>4532</v>
      </c>
      <c r="L11" s="187">
        <v>1942</v>
      </c>
      <c r="M11" s="187">
        <v>2590</v>
      </c>
    </row>
    <row r="12" spans="1:15" ht="15.75" customHeight="1">
      <c r="B12" s="59" t="s">
        <v>308</v>
      </c>
      <c r="C12" s="243">
        <v>85555</v>
      </c>
      <c r="D12" s="243">
        <v>74451</v>
      </c>
      <c r="E12" s="243">
        <v>11104</v>
      </c>
      <c r="F12" s="243">
        <v>6567</v>
      </c>
      <c r="G12" s="243">
        <v>4537</v>
      </c>
      <c r="H12" s="243">
        <v>2387</v>
      </c>
      <c r="I12" s="243">
        <v>1927</v>
      </c>
      <c r="J12" s="243">
        <v>223</v>
      </c>
      <c r="K12" s="261">
        <v>6898</v>
      </c>
      <c r="L12" s="71">
        <v>2614</v>
      </c>
      <c r="M12" s="25">
        <v>4284</v>
      </c>
    </row>
    <row r="13" spans="1:15" ht="15.75" customHeight="1">
      <c r="B13" s="59" t="s">
        <v>38</v>
      </c>
      <c r="C13" s="243">
        <v>69237</v>
      </c>
      <c r="D13" s="243">
        <v>58222</v>
      </c>
      <c r="E13" s="243">
        <v>11015</v>
      </c>
      <c r="F13" s="243">
        <v>6754</v>
      </c>
      <c r="G13" s="243">
        <v>4261</v>
      </c>
      <c r="H13" s="243">
        <v>1847</v>
      </c>
      <c r="I13" s="243">
        <v>2213</v>
      </c>
      <c r="J13" s="243">
        <v>201</v>
      </c>
      <c r="K13" s="261">
        <v>5579</v>
      </c>
      <c r="L13" s="71">
        <v>1937</v>
      </c>
      <c r="M13" s="25">
        <v>3642</v>
      </c>
    </row>
    <row r="14" spans="1:15" ht="15.75" customHeight="1">
      <c r="B14" s="59" t="s">
        <v>235</v>
      </c>
      <c r="C14" s="243">
        <v>25154</v>
      </c>
      <c r="D14" s="243">
        <v>22478</v>
      </c>
      <c r="E14" s="243">
        <v>2676</v>
      </c>
      <c r="F14" s="243">
        <v>1654</v>
      </c>
      <c r="G14" s="243">
        <v>1022</v>
      </c>
      <c r="H14" s="243">
        <v>542</v>
      </c>
      <c r="I14" s="243">
        <v>466</v>
      </c>
      <c r="J14" s="243">
        <v>14</v>
      </c>
      <c r="K14" s="261">
        <v>2475</v>
      </c>
      <c r="L14" s="71">
        <v>1456</v>
      </c>
      <c r="M14" s="25">
        <v>1019</v>
      </c>
    </row>
    <row r="15" spans="1:15" ht="15.75" customHeight="1">
      <c r="B15" s="59" t="s">
        <v>311</v>
      </c>
      <c r="C15" s="243">
        <v>42091</v>
      </c>
      <c r="D15" s="243">
        <v>37269</v>
      </c>
      <c r="E15" s="243">
        <v>4822</v>
      </c>
      <c r="F15" s="243">
        <v>2779</v>
      </c>
      <c r="G15" s="243">
        <v>2043</v>
      </c>
      <c r="H15" s="243">
        <v>1137</v>
      </c>
      <c r="I15" s="243">
        <v>851</v>
      </c>
      <c r="J15" s="243">
        <v>55</v>
      </c>
      <c r="K15" s="261">
        <v>3740</v>
      </c>
      <c r="L15" s="71">
        <v>1554</v>
      </c>
      <c r="M15" s="25">
        <v>2186</v>
      </c>
    </row>
    <row r="16" spans="1:15" ht="15.75" customHeight="1">
      <c r="B16" s="59" t="s">
        <v>312</v>
      </c>
      <c r="C16" s="243">
        <v>29088</v>
      </c>
      <c r="D16" s="243">
        <v>25192</v>
      </c>
      <c r="E16" s="243">
        <v>3896</v>
      </c>
      <c r="F16" s="243">
        <v>2460</v>
      </c>
      <c r="G16" s="243">
        <v>1436</v>
      </c>
      <c r="H16" s="243">
        <v>564</v>
      </c>
      <c r="I16" s="243">
        <v>836</v>
      </c>
      <c r="J16" s="243">
        <v>36</v>
      </c>
      <c r="K16" s="261">
        <v>2469</v>
      </c>
      <c r="L16" s="71">
        <v>897</v>
      </c>
      <c r="M16" s="25">
        <v>1572</v>
      </c>
    </row>
    <row r="17" spans="2:13" ht="15.75" customHeight="1">
      <c r="B17" s="59" t="s">
        <v>313</v>
      </c>
      <c r="C17" s="243">
        <v>74707</v>
      </c>
      <c r="D17" s="243">
        <v>64119</v>
      </c>
      <c r="E17" s="243">
        <v>10588</v>
      </c>
      <c r="F17" s="243">
        <v>6089</v>
      </c>
      <c r="G17" s="243">
        <v>4499</v>
      </c>
      <c r="H17" s="243">
        <v>2151</v>
      </c>
      <c r="I17" s="243">
        <v>2191</v>
      </c>
      <c r="J17" s="243">
        <v>157</v>
      </c>
      <c r="K17" s="261">
        <v>5905</v>
      </c>
      <c r="L17" s="71">
        <v>2204</v>
      </c>
      <c r="M17" s="25">
        <v>3701</v>
      </c>
    </row>
    <row r="18" spans="2:13" ht="15.75" customHeight="1">
      <c r="B18" s="59" t="s">
        <v>314</v>
      </c>
      <c r="C18" s="243">
        <v>31720</v>
      </c>
      <c r="D18" s="243">
        <v>27011</v>
      </c>
      <c r="E18" s="243">
        <v>4709</v>
      </c>
      <c r="F18" s="243">
        <v>2031</v>
      </c>
      <c r="G18" s="243">
        <v>2678</v>
      </c>
      <c r="H18" s="243">
        <v>2073</v>
      </c>
      <c r="I18" s="243">
        <v>552</v>
      </c>
      <c r="J18" s="243">
        <v>53</v>
      </c>
      <c r="K18" s="261">
        <v>2890</v>
      </c>
      <c r="L18" s="71">
        <v>1543</v>
      </c>
      <c r="M18" s="25">
        <v>1347</v>
      </c>
    </row>
    <row r="19" spans="2:13" ht="15.75" customHeight="1">
      <c r="B19" s="59" t="s">
        <v>317</v>
      </c>
      <c r="C19" s="243">
        <v>77657</v>
      </c>
      <c r="D19" s="243">
        <v>67139</v>
      </c>
      <c r="E19" s="243">
        <v>10518</v>
      </c>
      <c r="F19" s="243">
        <v>6105</v>
      </c>
      <c r="G19" s="243">
        <v>4413</v>
      </c>
      <c r="H19" s="243">
        <v>2722</v>
      </c>
      <c r="I19" s="243">
        <v>1585</v>
      </c>
      <c r="J19" s="243">
        <v>106</v>
      </c>
      <c r="K19" s="261">
        <v>6018</v>
      </c>
      <c r="L19" s="71">
        <v>2666</v>
      </c>
      <c r="M19" s="25">
        <v>3352</v>
      </c>
    </row>
    <row r="20" spans="2:13" ht="15.75" customHeight="1">
      <c r="B20" s="59" t="s">
        <v>319</v>
      </c>
      <c r="C20" s="243">
        <v>30198</v>
      </c>
      <c r="D20" s="243">
        <v>26180</v>
      </c>
      <c r="E20" s="243">
        <v>4018</v>
      </c>
      <c r="F20" s="243">
        <v>2367</v>
      </c>
      <c r="G20" s="243">
        <v>1651</v>
      </c>
      <c r="H20" s="243">
        <v>858</v>
      </c>
      <c r="I20" s="243">
        <v>727</v>
      </c>
      <c r="J20" s="243">
        <v>66</v>
      </c>
      <c r="K20" s="261">
        <v>2309</v>
      </c>
      <c r="L20" s="71">
        <v>1147</v>
      </c>
      <c r="M20" s="25">
        <v>1162</v>
      </c>
    </row>
    <row r="21" spans="2:13" ht="15.75" customHeight="1">
      <c r="B21" s="59" t="s">
        <v>320</v>
      </c>
      <c r="C21" s="243">
        <v>23435</v>
      </c>
      <c r="D21" s="243">
        <v>20714</v>
      </c>
      <c r="E21" s="243">
        <v>2721</v>
      </c>
      <c r="F21" s="243">
        <v>1522</v>
      </c>
      <c r="G21" s="243">
        <v>1199</v>
      </c>
      <c r="H21" s="243">
        <v>501</v>
      </c>
      <c r="I21" s="243">
        <v>626</v>
      </c>
      <c r="J21" s="243">
        <v>72</v>
      </c>
      <c r="K21" s="261">
        <v>1995</v>
      </c>
      <c r="L21" s="71">
        <v>840</v>
      </c>
      <c r="M21" s="25">
        <v>1155</v>
      </c>
    </row>
    <row r="22" spans="2:13" ht="15.75" customHeight="1">
      <c r="B22" s="59" t="s">
        <v>322</v>
      </c>
      <c r="C22" s="243">
        <v>24610</v>
      </c>
      <c r="D22" s="243">
        <v>21809</v>
      </c>
      <c r="E22" s="243">
        <v>2801</v>
      </c>
      <c r="F22" s="243">
        <v>1701</v>
      </c>
      <c r="G22" s="243">
        <v>1100</v>
      </c>
      <c r="H22" s="243">
        <v>562</v>
      </c>
      <c r="I22" s="243">
        <v>491</v>
      </c>
      <c r="J22" s="243">
        <v>47</v>
      </c>
      <c r="K22" s="261">
        <v>2144</v>
      </c>
      <c r="L22" s="71">
        <v>1046</v>
      </c>
      <c r="M22" s="25">
        <v>1098</v>
      </c>
    </row>
    <row r="23" spans="2:13" ht="15.75" customHeight="1">
      <c r="B23" s="59" t="s">
        <v>310</v>
      </c>
      <c r="C23" s="243">
        <v>4780</v>
      </c>
      <c r="D23" s="243">
        <v>4161</v>
      </c>
      <c r="E23" s="243">
        <v>619</v>
      </c>
      <c r="F23" s="243">
        <v>269</v>
      </c>
      <c r="G23" s="243">
        <v>350</v>
      </c>
      <c r="H23" s="243">
        <v>159</v>
      </c>
      <c r="I23" s="243">
        <v>157</v>
      </c>
      <c r="J23" s="243">
        <v>34</v>
      </c>
      <c r="K23" s="261">
        <v>472</v>
      </c>
      <c r="L23" s="71">
        <v>248</v>
      </c>
      <c r="M23" s="25">
        <v>224</v>
      </c>
    </row>
    <row r="24" spans="2:13" ht="15.75" customHeight="1">
      <c r="B24" s="59" t="s">
        <v>239</v>
      </c>
      <c r="C24" s="243">
        <v>2063</v>
      </c>
      <c r="D24" s="243">
        <v>1814</v>
      </c>
      <c r="E24" s="243">
        <v>249</v>
      </c>
      <c r="F24" s="243">
        <v>127</v>
      </c>
      <c r="G24" s="243">
        <v>122</v>
      </c>
      <c r="H24" s="243">
        <v>68</v>
      </c>
      <c r="I24" s="243">
        <v>51</v>
      </c>
      <c r="J24" s="243">
        <v>3</v>
      </c>
      <c r="K24" s="261">
        <v>186</v>
      </c>
      <c r="L24" s="71">
        <v>118</v>
      </c>
      <c r="M24" s="25">
        <v>68</v>
      </c>
    </row>
    <row r="25" spans="2:13" ht="15.75" customHeight="1">
      <c r="B25" s="59" t="s">
        <v>323</v>
      </c>
      <c r="C25" s="243">
        <v>2896</v>
      </c>
      <c r="D25" s="243">
        <v>2637</v>
      </c>
      <c r="E25" s="243">
        <v>259</v>
      </c>
      <c r="F25" s="243">
        <v>124</v>
      </c>
      <c r="G25" s="243">
        <v>135</v>
      </c>
      <c r="H25" s="243">
        <v>70</v>
      </c>
      <c r="I25" s="243">
        <v>47</v>
      </c>
      <c r="J25" s="243">
        <v>18</v>
      </c>
      <c r="K25" s="261">
        <v>294</v>
      </c>
      <c r="L25" s="71">
        <v>186</v>
      </c>
      <c r="M25" s="25">
        <v>108</v>
      </c>
    </row>
    <row r="26" spans="2:13" ht="15.75" customHeight="1">
      <c r="B26" s="59" t="s">
        <v>324</v>
      </c>
      <c r="C26" s="243">
        <v>15254</v>
      </c>
      <c r="D26" s="243">
        <v>13625</v>
      </c>
      <c r="E26" s="243">
        <v>1629</v>
      </c>
      <c r="F26" s="243">
        <v>944</v>
      </c>
      <c r="G26" s="243">
        <v>685</v>
      </c>
      <c r="H26" s="243">
        <v>459</v>
      </c>
      <c r="I26" s="243">
        <v>188</v>
      </c>
      <c r="J26" s="243">
        <v>38</v>
      </c>
      <c r="K26" s="261">
        <v>1182</v>
      </c>
      <c r="L26" s="71">
        <v>671</v>
      </c>
      <c r="M26" s="25">
        <v>511</v>
      </c>
    </row>
    <row r="27" spans="2:13" ht="15.75" customHeight="1">
      <c r="B27" s="59" t="s">
        <v>326</v>
      </c>
      <c r="C27" s="243">
        <v>6577</v>
      </c>
      <c r="D27" s="243">
        <v>5970</v>
      </c>
      <c r="E27" s="243">
        <v>607</v>
      </c>
      <c r="F27" s="243">
        <v>335</v>
      </c>
      <c r="G27" s="243">
        <v>272</v>
      </c>
      <c r="H27" s="243">
        <v>120</v>
      </c>
      <c r="I27" s="243">
        <v>111</v>
      </c>
      <c r="J27" s="243">
        <v>41</v>
      </c>
      <c r="K27" s="261">
        <v>571</v>
      </c>
      <c r="L27" s="71">
        <v>300</v>
      </c>
      <c r="M27" s="25">
        <v>271</v>
      </c>
    </row>
    <row r="28" spans="2:13" ht="15.75" customHeight="1">
      <c r="B28" s="59" t="s">
        <v>281</v>
      </c>
      <c r="C28" s="243">
        <v>8538</v>
      </c>
      <c r="D28" s="243">
        <v>7638</v>
      </c>
      <c r="E28" s="243">
        <v>900</v>
      </c>
      <c r="F28" s="243">
        <v>443</v>
      </c>
      <c r="G28" s="243">
        <v>457</v>
      </c>
      <c r="H28" s="243">
        <v>328</v>
      </c>
      <c r="I28" s="243">
        <v>113</v>
      </c>
      <c r="J28" s="243">
        <v>16</v>
      </c>
      <c r="K28" s="261">
        <v>810</v>
      </c>
      <c r="L28" s="71">
        <v>545</v>
      </c>
      <c r="M28" s="25">
        <v>265</v>
      </c>
    </row>
    <row r="29" spans="2:13" ht="15.75" customHeight="1">
      <c r="B29" s="59" t="s">
        <v>327</v>
      </c>
      <c r="C29" s="243">
        <v>5583</v>
      </c>
      <c r="D29" s="243">
        <v>4872</v>
      </c>
      <c r="E29" s="243">
        <v>711</v>
      </c>
      <c r="F29" s="243">
        <v>360</v>
      </c>
      <c r="G29" s="243">
        <v>351</v>
      </c>
      <c r="H29" s="243">
        <v>288</v>
      </c>
      <c r="I29" s="243">
        <v>62</v>
      </c>
      <c r="J29" s="243">
        <v>1</v>
      </c>
      <c r="K29" s="261">
        <v>515</v>
      </c>
      <c r="L29" s="71">
        <v>343</v>
      </c>
      <c r="M29" s="25">
        <v>172</v>
      </c>
    </row>
    <row r="30" spans="2:13" ht="15.75" customHeight="1">
      <c r="B30" s="59" t="s">
        <v>331</v>
      </c>
      <c r="C30" s="243">
        <v>4566</v>
      </c>
      <c r="D30" s="243">
        <v>4105</v>
      </c>
      <c r="E30" s="243">
        <v>461</v>
      </c>
      <c r="F30" s="243">
        <v>213</v>
      </c>
      <c r="G30" s="243">
        <v>248</v>
      </c>
      <c r="H30" s="243">
        <v>195</v>
      </c>
      <c r="I30" s="243">
        <v>46</v>
      </c>
      <c r="J30" s="243">
        <v>7</v>
      </c>
      <c r="K30" s="261">
        <v>369</v>
      </c>
      <c r="L30" s="71">
        <v>247</v>
      </c>
      <c r="M30" s="25">
        <v>122</v>
      </c>
    </row>
    <row r="31" spans="2:13" ht="15.75" customHeight="1">
      <c r="B31" s="59" t="s">
        <v>201</v>
      </c>
      <c r="C31" s="243">
        <v>3011</v>
      </c>
      <c r="D31" s="243">
        <v>2495</v>
      </c>
      <c r="E31" s="243">
        <v>516</v>
      </c>
      <c r="F31" s="243">
        <v>90</v>
      </c>
      <c r="G31" s="243">
        <v>426</v>
      </c>
      <c r="H31" s="243">
        <v>172</v>
      </c>
      <c r="I31" s="243">
        <v>235</v>
      </c>
      <c r="J31" s="243">
        <v>19</v>
      </c>
      <c r="K31" s="261">
        <v>390</v>
      </c>
      <c r="L31" s="71">
        <v>135</v>
      </c>
      <c r="M31" s="25">
        <v>255</v>
      </c>
    </row>
    <row r="32" spans="2:13" ht="15.75" customHeight="1">
      <c r="B32" s="59" t="s">
        <v>332</v>
      </c>
      <c r="C32" s="243">
        <v>18613</v>
      </c>
      <c r="D32" s="243">
        <v>16980</v>
      </c>
      <c r="E32" s="243">
        <v>1633</v>
      </c>
      <c r="F32" s="243">
        <v>767</v>
      </c>
      <c r="G32" s="243">
        <v>866</v>
      </c>
      <c r="H32" s="243">
        <v>639</v>
      </c>
      <c r="I32" s="243">
        <v>206</v>
      </c>
      <c r="J32" s="243">
        <v>21</v>
      </c>
      <c r="K32" s="261">
        <v>1404</v>
      </c>
      <c r="L32" s="71">
        <v>790</v>
      </c>
      <c r="M32" s="25">
        <v>614</v>
      </c>
    </row>
    <row r="33" spans="1:13" ht="15.75" customHeight="1">
      <c r="B33" s="59" t="s">
        <v>146</v>
      </c>
      <c r="C33" s="243">
        <v>13825</v>
      </c>
      <c r="D33" s="243">
        <v>12719</v>
      </c>
      <c r="E33" s="243">
        <v>1106</v>
      </c>
      <c r="F33" s="243">
        <v>582</v>
      </c>
      <c r="G33" s="243">
        <v>524</v>
      </c>
      <c r="H33" s="243">
        <v>264</v>
      </c>
      <c r="I33" s="243">
        <v>193</v>
      </c>
      <c r="J33" s="243">
        <v>67</v>
      </c>
      <c r="K33" s="261">
        <v>1100</v>
      </c>
      <c r="L33" s="71">
        <v>560</v>
      </c>
      <c r="M33" s="25">
        <v>540</v>
      </c>
    </row>
    <row r="34" spans="1:13" s="6" customFormat="1" ht="15.75" customHeight="1">
      <c r="B34" s="59" t="s">
        <v>333</v>
      </c>
      <c r="C34" s="243">
        <v>2704</v>
      </c>
      <c r="D34" s="243">
        <v>2216</v>
      </c>
      <c r="E34" s="243">
        <v>488</v>
      </c>
      <c r="F34" s="243">
        <v>83</v>
      </c>
      <c r="G34" s="243">
        <v>405</v>
      </c>
      <c r="H34" s="243">
        <v>74</v>
      </c>
      <c r="I34" s="243">
        <v>275</v>
      </c>
      <c r="J34" s="243">
        <v>56</v>
      </c>
      <c r="K34" s="261">
        <v>203</v>
      </c>
      <c r="L34" s="71">
        <v>135</v>
      </c>
      <c r="M34" s="25">
        <v>68</v>
      </c>
    </row>
    <row r="35" spans="1:13" ht="15.75" customHeight="1">
      <c r="A35" s="13"/>
      <c r="B35" s="101"/>
      <c r="C35" s="244"/>
      <c r="D35" s="244"/>
      <c r="E35" s="244"/>
      <c r="F35" s="244"/>
      <c r="G35" s="244"/>
      <c r="H35" s="244"/>
      <c r="I35" s="244"/>
      <c r="J35" s="244"/>
      <c r="K35" s="262"/>
      <c r="L35" s="186"/>
      <c r="M35" s="40"/>
    </row>
    <row r="36" spans="1:13" s="6" customFormat="1" ht="15.75" customHeight="1">
      <c r="A36" s="6" t="s">
        <v>306</v>
      </c>
      <c r="B36" s="121"/>
      <c r="C36" s="164"/>
      <c r="D36" s="164"/>
      <c r="E36" s="164"/>
      <c r="F36" s="164"/>
      <c r="G36" s="164"/>
      <c r="H36" s="164"/>
      <c r="I36" s="164"/>
      <c r="J36" s="164"/>
      <c r="K36" s="164"/>
    </row>
    <row r="37" spans="1:13" s="6" customFormat="1" ht="15.75" customHeight="1">
      <c r="B37" s="121"/>
      <c r="C37" s="164"/>
      <c r="D37" s="164"/>
      <c r="E37" s="164"/>
      <c r="F37" s="164"/>
      <c r="G37" s="164"/>
      <c r="H37" s="164"/>
      <c r="I37" s="164"/>
      <c r="J37" s="164"/>
      <c r="K37" s="164"/>
    </row>
  </sheetData>
  <mergeCells count="13">
    <mergeCell ref="C3:M3"/>
    <mergeCell ref="A3:B8"/>
    <mergeCell ref="C4:C8"/>
    <mergeCell ref="D4:D8"/>
    <mergeCell ref="E4:E8"/>
    <mergeCell ref="K4:K8"/>
    <mergeCell ref="F5:F8"/>
    <mergeCell ref="G5:G8"/>
    <mergeCell ref="L5:L8"/>
    <mergeCell ref="M5:M8"/>
    <mergeCell ref="H6:H8"/>
    <mergeCell ref="I6:I8"/>
    <mergeCell ref="J6:J8"/>
  </mergeCells>
  <phoneticPr fontId="8"/>
  <conditionalFormatting sqref="C3 L9:M1048574 N1:XFA1048574 L1:M2 L4:M5 G4:K1048574 F4:F5 F9:F35 C4:E35 C1:K2 A1:B35 B36:F1048574 A38:A1048574">
    <cfRule type="cellIs" dxfId="13" priority="6" operator="equal">
      <formula>0</formula>
    </cfRule>
  </conditionalFormatting>
  <conditionalFormatting sqref="A36">
    <cfRule type="cellIs" dxfId="12" priority="2" operator="equal">
      <formula>0</formula>
    </cfRule>
  </conditionalFormatting>
  <conditionalFormatting sqref="A37">
    <cfRule type="cellIs" dxfId="11" priority="1" operator="equal">
      <formula>0</formula>
    </cfRule>
  </conditionalFormatting>
  <hyperlinks>
    <hyperlink ref="O3" location="目次!A35"/>
  </hyperlinks>
  <printOptions horizontalCentered="1"/>
  <pageMargins left="0.31496062992125984" right="0.31496062992125984" top="0.39370078740157483" bottom="0.39370078740157483" header="0.19685039370078741" footer="0.19685039370078741"/>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L36"/>
  <sheetViews>
    <sheetView showGridLines="0" zoomScaleSheetLayoutView="100" workbookViewId="0">
      <selection activeCell="A37" sqref="A37"/>
    </sheetView>
  </sheetViews>
  <sheetFormatPr defaultRowHeight="13.5"/>
  <cols>
    <col min="1" max="1" width="2.625" style="6" customWidth="1"/>
    <col min="2" max="2" width="11.625" style="6" bestFit="1" customWidth="1"/>
    <col min="3" max="10" width="8.125" style="264" customWidth="1"/>
    <col min="11" max="16384" width="9" style="6" customWidth="1"/>
  </cols>
  <sheetData>
    <row r="1" spans="1:12" ht="15.75" customHeight="1">
      <c r="A1" s="42" t="s">
        <v>355</v>
      </c>
    </row>
    <row r="2" spans="1:12" ht="15.75" customHeight="1"/>
    <row r="3" spans="1:12" ht="15.75" customHeight="1">
      <c r="A3" s="232" t="s">
        <v>303</v>
      </c>
      <c r="B3" s="235"/>
      <c r="C3" s="265" t="s">
        <v>353</v>
      </c>
      <c r="D3" s="269"/>
      <c r="E3" s="269"/>
      <c r="F3" s="269"/>
      <c r="G3" s="269"/>
      <c r="H3" s="269"/>
      <c r="I3" s="269"/>
      <c r="J3" s="269"/>
      <c r="L3" s="146" t="s">
        <v>118</v>
      </c>
    </row>
    <row r="4" spans="1:12" ht="15.75" customHeight="1">
      <c r="A4" s="233"/>
      <c r="B4" s="236"/>
      <c r="C4" s="239" t="s">
        <v>80</v>
      </c>
      <c r="D4" s="246" t="s">
        <v>132</v>
      </c>
      <c r="E4" s="239" t="s">
        <v>316</v>
      </c>
      <c r="F4" s="164"/>
      <c r="G4" s="164"/>
      <c r="H4" s="164"/>
      <c r="I4" s="164"/>
      <c r="J4" s="164"/>
    </row>
    <row r="5" spans="1:12" ht="15.75" customHeight="1">
      <c r="A5" s="233"/>
      <c r="B5" s="236"/>
      <c r="C5" s="240"/>
      <c r="D5" s="246"/>
      <c r="E5" s="240"/>
      <c r="F5" s="248" t="s">
        <v>318</v>
      </c>
      <c r="G5" s="251" t="s">
        <v>141</v>
      </c>
      <c r="H5" s="254"/>
      <c r="I5" s="257"/>
      <c r="J5" s="257"/>
    </row>
    <row r="6" spans="1:12" ht="15.75" customHeight="1">
      <c r="A6" s="233"/>
      <c r="B6" s="236"/>
      <c r="C6" s="240"/>
      <c r="D6" s="246"/>
      <c r="E6" s="240"/>
      <c r="F6" s="249"/>
      <c r="G6" s="252"/>
      <c r="H6" s="255" t="s">
        <v>237</v>
      </c>
      <c r="I6" s="248" t="s">
        <v>143</v>
      </c>
      <c r="J6" s="251" t="s">
        <v>145</v>
      </c>
    </row>
    <row r="7" spans="1:12" ht="15.75" customHeight="1">
      <c r="A7" s="233"/>
      <c r="B7" s="236"/>
      <c r="C7" s="240"/>
      <c r="D7" s="246"/>
      <c r="E7" s="240"/>
      <c r="F7" s="249"/>
      <c r="G7" s="252"/>
      <c r="H7" s="256"/>
      <c r="I7" s="249"/>
      <c r="J7" s="252"/>
    </row>
    <row r="8" spans="1:12" ht="15.75" customHeight="1">
      <c r="A8" s="234"/>
      <c r="B8" s="237"/>
      <c r="C8" s="241"/>
      <c r="D8" s="247"/>
      <c r="E8" s="241"/>
      <c r="F8" s="250"/>
      <c r="G8" s="253"/>
      <c r="H8" s="253"/>
      <c r="I8" s="250"/>
      <c r="J8" s="253"/>
    </row>
    <row r="9" spans="1:12" s="6" customFormat="1" ht="15.75" customHeight="1">
      <c r="A9" s="108"/>
      <c r="B9" s="100"/>
      <c r="C9" s="266"/>
      <c r="D9" s="270"/>
      <c r="E9" s="270"/>
      <c r="F9" s="270"/>
      <c r="G9" s="270"/>
      <c r="H9" s="270"/>
      <c r="I9" s="270"/>
      <c r="J9" s="266"/>
    </row>
    <row r="10" spans="1:12" s="6" customFormat="1" ht="15.75" customHeight="1">
      <c r="B10" s="59" t="s">
        <v>305</v>
      </c>
      <c r="C10" s="267">
        <v>100</v>
      </c>
      <c r="D10" s="271">
        <v>78.535583348501007</v>
      </c>
      <c r="E10" s="271">
        <v>21.464416651499</v>
      </c>
      <c r="F10" s="271">
        <v>12.107699108141137</v>
      </c>
      <c r="G10" s="271">
        <v>9.3567175433578615</v>
      </c>
      <c r="H10" s="271">
        <v>3.4042746821290208</v>
      </c>
      <c r="I10" s="271">
        <v>5.7441041108713176</v>
      </c>
      <c r="J10" s="267">
        <v>0.20833875035752361</v>
      </c>
    </row>
    <row r="11" spans="1:12" ht="15.75" customHeight="1">
      <c r="B11" s="59" t="s">
        <v>253</v>
      </c>
      <c r="C11" s="267">
        <v>100</v>
      </c>
      <c r="D11" s="271">
        <v>84.92235030419468</v>
      </c>
      <c r="E11" s="271">
        <v>15.077649695805315</v>
      </c>
      <c r="F11" s="271">
        <v>8.725584373999359</v>
      </c>
      <c r="G11" s="271">
        <v>6.3520653218059557</v>
      </c>
      <c r="H11" s="271">
        <v>3.3961735510726863</v>
      </c>
      <c r="I11" s="271">
        <v>2.7157380723663147</v>
      </c>
      <c r="J11" s="267">
        <v>0.24015369836695488</v>
      </c>
    </row>
    <row r="12" spans="1:12" ht="15.75" customHeight="1">
      <c r="B12" s="59" t="s">
        <v>308</v>
      </c>
      <c r="C12" s="267">
        <v>100</v>
      </c>
      <c r="D12" s="271">
        <v>87.021214423470283</v>
      </c>
      <c r="E12" s="271">
        <v>12.978785576529717</v>
      </c>
      <c r="F12" s="271">
        <v>7.6757641283384954</v>
      </c>
      <c r="G12" s="271">
        <v>5.3030214481912221</v>
      </c>
      <c r="H12" s="271">
        <v>2.7900181170007596</v>
      </c>
      <c r="I12" s="271">
        <v>2.25235228800187</v>
      </c>
      <c r="J12" s="267">
        <v>0.26065104318859211</v>
      </c>
    </row>
    <row r="13" spans="1:12" ht="15.75" customHeight="1">
      <c r="B13" s="59" t="s">
        <v>38</v>
      </c>
      <c r="C13" s="267">
        <v>100</v>
      </c>
      <c r="D13" s="271">
        <v>84.090876265580533</v>
      </c>
      <c r="E13" s="271">
        <v>15.909123734419458</v>
      </c>
      <c r="F13" s="271">
        <v>9.7548998367924664</v>
      </c>
      <c r="G13" s="271">
        <v>6.1542238976269914</v>
      </c>
      <c r="H13" s="271">
        <v>2.6676488004968442</v>
      </c>
      <c r="I13" s="271">
        <v>3.1962678914453257</v>
      </c>
      <c r="J13" s="267">
        <v>0.29030720568482171</v>
      </c>
    </row>
    <row r="14" spans="1:12" ht="15.75" customHeight="1">
      <c r="B14" s="59" t="s">
        <v>235</v>
      </c>
      <c r="C14" s="267">
        <v>100</v>
      </c>
      <c r="D14" s="271">
        <v>89.361532956984973</v>
      </c>
      <c r="E14" s="271">
        <v>10.638467043015028</v>
      </c>
      <c r="F14" s="271">
        <v>6.5754949511012173</v>
      </c>
      <c r="G14" s="271">
        <v>4.062972091913811</v>
      </c>
      <c r="H14" s="271">
        <v>2.1547268824043888</v>
      </c>
      <c r="I14" s="271">
        <v>1.852588057565397</v>
      </c>
      <c r="J14" s="267">
        <v>5.5657151944024805e-002</v>
      </c>
    </row>
    <row r="15" spans="1:12" ht="15.75" customHeight="1">
      <c r="B15" s="59" t="s">
        <v>311</v>
      </c>
      <c r="C15" s="267">
        <v>100</v>
      </c>
      <c r="D15" s="271">
        <v>88.543869235703596</v>
      </c>
      <c r="E15" s="271">
        <v>11.456130764296406</v>
      </c>
      <c r="F15" s="271">
        <v>6.6023615499750541</v>
      </c>
      <c r="G15" s="271">
        <v>4.8537692143213507</v>
      </c>
      <c r="H15" s="271">
        <v>2.7012900620085052</v>
      </c>
      <c r="I15" s="271">
        <v>2.0218098880995936</v>
      </c>
      <c r="J15" s="267">
        <v>0.13066926421325226</v>
      </c>
    </row>
    <row r="16" spans="1:12" ht="15.75" customHeight="1">
      <c r="B16" s="59" t="s">
        <v>312</v>
      </c>
      <c r="C16" s="267">
        <v>100</v>
      </c>
      <c r="D16" s="271">
        <v>86.606160616061615</v>
      </c>
      <c r="E16" s="271">
        <v>13.393839383938394</v>
      </c>
      <c r="F16" s="271">
        <v>8.4570957095709574</v>
      </c>
      <c r="G16" s="271">
        <v>4.9367436743674364</v>
      </c>
      <c r="H16" s="271">
        <v>1.9389438943894388</v>
      </c>
      <c r="I16" s="271">
        <v>2.874037403740374</v>
      </c>
      <c r="J16" s="267">
        <v>0.12376237623762376</v>
      </c>
    </row>
    <row r="17" spans="2:10" ht="15.75" customHeight="1">
      <c r="B17" s="59" t="s">
        <v>313</v>
      </c>
      <c r="C17" s="267">
        <v>100</v>
      </c>
      <c r="D17" s="271">
        <v>85.82729864671316</v>
      </c>
      <c r="E17" s="271">
        <v>14.17270135328684</v>
      </c>
      <c r="F17" s="271">
        <v>8.1505079845262163</v>
      </c>
      <c r="G17" s="271">
        <v>6.0221933687606244</v>
      </c>
      <c r="H17" s="271">
        <v>2.8792482632149596</v>
      </c>
      <c r="I17" s="271">
        <v>2.9327907692719557</v>
      </c>
      <c r="J17" s="267">
        <v>0.2101543362737093</v>
      </c>
    </row>
    <row r="18" spans="2:10" ht="15.75" customHeight="1">
      <c r="B18" s="59" t="s">
        <v>314</v>
      </c>
      <c r="C18" s="267">
        <v>100</v>
      </c>
      <c r="D18" s="271">
        <v>85.15447667087011</v>
      </c>
      <c r="E18" s="271">
        <v>14.845523329129886</v>
      </c>
      <c r="F18" s="271">
        <v>6.4029003783102141</v>
      </c>
      <c r="G18" s="271">
        <v>8.442622950819672</v>
      </c>
      <c r="H18" s="271">
        <v>6.5353089533417394</v>
      </c>
      <c r="I18" s="271">
        <v>1.7402269861286255</v>
      </c>
      <c r="J18" s="267">
        <v>0.16708701134930645</v>
      </c>
    </row>
    <row r="19" spans="2:10" ht="15.75" customHeight="1">
      <c r="B19" s="59" t="s">
        <v>317</v>
      </c>
      <c r="C19" s="267">
        <v>100</v>
      </c>
      <c r="D19" s="271">
        <v>86.455824973923797</v>
      </c>
      <c r="E19" s="271">
        <v>13.544175026076207</v>
      </c>
      <c r="F19" s="271">
        <v>7.8614934906061267</v>
      </c>
      <c r="G19" s="271">
        <v>5.6826815354700795</v>
      </c>
      <c r="H19" s="271">
        <v>3.505157294255508</v>
      </c>
      <c r="I19" s="271">
        <v>2.0410265655381998</v>
      </c>
      <c r="J19" s="267">
        <v>0.13649767567637175</v>
      </c>
    </row>
    <row r="20" spans="2:10" ht="15.75" customHeight="1">
      <c r="B20" s="59" t="s">
        <v>319</v>
      </c>
      <c r="C20" s="267">
        <v>100</v>
      </c>
      <c r="D20" s="271">
        <v>86.694483078349563</v>
      </c>
      <c r="E20" s="271">
        <v>13.30551692165044</v>
      </c>
      <c r="F20" s="271">
        <v>7.8382674349294659</v>
      </c>
      <c r="G20" s="271">
        <v>5.4672494867209753</v>
      </c>
      <c r="H20" s="271">
        <v>2.8412477647526324</v>
      </c>
      <c r="I20" s="271">
        <v>2.4074442016027553</v>
      </c>
      <c r="J20" s="267">
        <v>0.21855752036558712</v>
      </c>
    </row>
    <row r="21" spans="2:10" ht="15.75" customHeight="1">
      <c r="B21" s="59" t="s">
        <v>320</v>
      </c>
      <c r="C21" s="267">
        <v>100</v>
      </c>
      <c r="D21" s="271">
        <v>88.389161510561138</v>
      </c>
      <c r="E21" s="271">
        <v>11.610838489438875</v>
      </c>
      <c r="F21" s="271">
        <v>6.4945594196714325</v>
      </c>
      <c r="G21" s="271">
        <v>5.1162790697674421</v>
      </c>
      <c r="H21" s="271">
        <v>2.1378280349903989</v>
      </c>
      <c r="I21" s="271">
        <v>2.6712182632814168</v>
      </c>
      <c r="J21" s="267">
        <v>0.30723277149562617</v>
      </c>
    </row>
    <row r="22" spans="2:10" ht="15.75" customHeight="1">
      <c r="B22" s="59" t="s">
        <v>322</v>
      </c>
      <c r="C22" s="267">
        <v>100</v>
      </c>
      <c r="D22" s="271">
        <v>88.618447785453071</v>
      </c>
      <c r="E22" s="271">
        <v>11.381552214546932</v>
      </c>
      <c r="F22" s="271">
        <v>6.9118244616009754</v>
      </c>
      <c r="G22" s="271">
        <v>4.4697277529459569</v>
      </c>
      <c r="H22" s="271">
        <v>2.2836245428687523</v>
      </c>
      <c r="I22" s="271">
        <v>1.9951239333604227</v>
      </c>
      <c r="J22" s="267">
        <v>0.1909792767167818</v>
      </c>
    </row>
    <row r="23" spans="2:10" ht="15.75" customHeight="1">
      <c r="B23" s="59" t="s">
        <v>310</v>
      </c>
      <c r="C23" s="267">
        <v>100</v>
      </c>
      <c r="D23" s="271">
        <v>87.05020920502092</v>
      </c>
      <c r="E23" s="271">
        <v>12.94979079497908</v>
      </c>
      <c r="F23" s="271">
        <v>5.6276150627615058</v>
      </c>
      <c r="G23" s="271">
        <v>7.3221757322175733</v>
      </c>
      <c r="H23" s="271">
        <v>3.3263598326359833</v>
      </c>
      <c r="I23" s="271">
        <v>3.2845188284518829</v>
      </c>
      <c r="J23" s="267">
        <v>0.71129707112970708</v>
      </c>
    </row>
    <row r="24" spans="2:10" ht="15.75" customHeight="1">
      <c r="B24" s="59" t="s">
        <v>239</v>
      </c>
      <c r="C24" s="267">
        <v>100</v>
      </c>
      <c r="D24" s="271">
        <v>87.930198739699478</v>
      </c>
      <c r="E24" s="271">
        <v>12.069801260300533</v>
      </c>
      <c r="F24" s="271">
        <v>6.1560833737275811</v>
      </c>
      <c r="G24" s="271">
        <v>5.9137178865729521</v>
      </c>
      <c r="H24" s="271">
        <v>3.296170625302957</v>
      </c>
      <c r="I24" s="271">
        <v>2.4721279689772175</v>
      </c>
      <c r="J24" s="267">
        <v>0.1454192922927775</v>
      </c>
    </row>
    <row r="25" spans="2:10" ht="15.75" customHeight="1">
      <c r="B25" s="59" t="s">
        <v>323</v>
      </c>
      <c r="C25" s="267">
        <v>100</v>
      </c>
      <c r="D25" s="271">
        <v>91.056629834254139</v>
      </c>
      <c r="E25" s="271">
        <v>8.943370165745856</v>
      </c>
      <c r="F25" s="271">
        <v>4.2817679558011053</v>
      </c>
      <c r="G25" s="271">
        <v>4.6616022099447516</v>
      </c>
      <c r="H25" s="271">
        <v>2.4171270718232045</v>
      </c>
      <c r="I25" s="271">
        <v>1.6229281767955801</v>
      </c>
      <c r="J25" s="267">
        <v>0.62154696132596687</v>
      </c>
    </row>
    <row r="26" spans="2:10" ht="15.75" customHeight="1">
      <c r="B26" s="59" t="s">
        <v>324</v>
      </c>
      <c r="C26" s="267">
        <v>100</v>
      </c>
      <c r="D26" s="271">
        <v>89.32083387963813</v>
      </c>
      <c r="E26" s="271">
        <v>10.679166120361874</v>
      </c>
      <c r="F26" s="271">
        <v>6.1885407106332764</v>
      </c>
      <c r="G26" s="271">
        <v>4.4906254097285956</v>
      </c>
      <c r="H26" s="271">
        <v>3.0090468073947814</v>
      </c>
      <c r="I26" s="271">
        <v>1.232463616100695</v>
      </c>
      <c r="J26" s="267">
        <v>0.2491149862331192</v>
      </c>
    </row>
    <row r="27" spans="2:10" ht="15.75" customHeight="1">
      <c r="B27" s="59" t="s">
        <v>326</v>
      </c>
      <c r="C27" s="267">
        <v>100</v>
      </c>
      <c r="D27" s="271">
        <v>90.770868176980386</v>
      </c>
      <c r="E27" s="271">
        <v>9.229131823019614</v>
      </c>
      <c r="F27" s="271">
        <v>5.0935076782727684</v>
      </c>
      <c r="G27" s="271">
        <v>4.1356241447468456</v>
      </c>
      <c r="H27" s="271">
        <v>1.8245400638589024</v>
      </c>
      <c r="I27" s="271">
        <v>1.6876995590694845</v>
      </c>
      <c r="J27" s="267">
        <v>0.62338452181845827</v>
      </c>
    </row>
    <row r="28" spans="2:10" ht="15.75" customHeight="1">
      <c r="B28" s="59" t="s">
        <v>281</v>
      </c>
      <c r="C28" s="267">
        <v>100</v>
      </c>
      <c r="D28" s="271">
        <v>89.458889669711866</v>
      </c>
      <c r="E28" s="271">
        <v>10.541110330288124</v>
      </c>
      <c r="F28" s="271">
        <v>5.1885687514640431</v>
      </c>
      <c r="G28" s="271">
        <v>5.3525415788240807</v>
      </c>
      <c r="H28" s="271">
        <v>3.8416490981494493</v>
      </c>
      <c r="I28" s="271">
        <v>1.3234949636917313</v>
      </c>
      <c r="J28" s="267">
        <v>0.18739751698289997</v>
      </c>
    </row>
    <row r="29" spans="2:10" ht="15.75" customHeight="1">
      <c r="B29" s="59" t="s">
        <v>327</v>
      </c>
      <c r="C29" s="267">
        <v>100</v>
      </c>
      <c r="D29" s="271">
        <v>87.264911337990327</v>
      </c>
      <c r="E29" s="271">
        <v>12.735088662009671</v>
      </c>
      <c r="F29" s="271">
        <v>6.4481461579795809</v>
      </c>
      <c r="G29" s="271">
        <v>6.2869425040300904</v>
      </c>
      <c r="H29" s="271">
        <v>5.1585169263836645</v>
      </c>
      <c r="I29" s="271">
        <v>1.1105140605409278</v>
      </c>
      <c r="J29" s="267">
        <v>1.7911517105498834e-002</v>
      </c>
    </row>
    <row r="30" spans="2:10" ht="15.75" customHeight="1">
      <c r="B30" s="59" t="s">
        <v>331</v>
      </c>
      <c r="C30" s="267">
        <v>100</v>
      </c>
      <c r="D30" s="271">
        <v>89.903635567236094</v>
      </c>
      <c r="E30" s="271">
        <v>10.096364432763908</v>
      </c>
      <c r="F30" s="271">
        <v>4.6649145860709593</v>
      </c>
      <c r="G30" s="271">
        <v>5.4314498466929475</v>
      </c>
      <c r="H30" s="271">
        <v>4.2706964520367938</v>
      </c>
      <c r="I30" s="271">
        <v>1.0074463425317566</v>
      </c>
      <c r="J30" s="267">
        <v>0.15330705212439774</v>
      </c>
    </row>
    <row r="31" spans="2:10" ht="15.75" customHeight="1">
      <c r="B31" s="59" t="s">
        <v>201</v>
      </c>
      <c r="C31" s="267">
        <v>100</v>
      </c>
      <c r="D31" s="271">
        <v>82.862836267020924</v>
      </c>
      <c r="E31" s="271">
        <v>17.137163732979076</v>
      </c>
      <c r="F31" s="271">
        <v>2.9890401859847224</v>
      </c>
      <c r="G31" s="271">
        <v>14.148123546994354</v>
      </c>
      <c r="H31" s="271">
        <v>5.7123879109930256</v>
      </c>
      <c r="I31" s="271">
        <v>7.8047160411823313</v>
      </c>
      <c r="J31" s="267">
        <v>0.63101959481899705</v>
      </c>
    </row>
    <row r="32" spans="2:10" ht="15.75" customHeight="1">
      <c r="B32" s="59" t="s">
        <v>332</v>
      </c>
      <c r="C32" s="267">
        <v>100</v>
      </c>
      <c r="D32" s="271">
        <v>91.226562080266476</v>
      </c>
      <c r="E32" s="271">
        <v>8.7734379197335191</v>
      </c>
      <c r="F32" s="271">
        <v>4.1207758018589153</v>
      </c>
      <c r="G32" s="271">
        <v>4.6526621178746037</v>
      </c>
      <c r="H32" s="271">
        <v>3.4330844033739858</v>
      </c>
      <c r="I32" s="271">
        <v>1.1067533444366842</v>
      </c>
      <c r="J32" s="267">
        <v>0.11282437006393381</v>
      </c>
    </row>
    <row r="33" spans="1:10" ht="15.75" customHeight="1">
      <c r="B33" s="59" t="s">
        <v>146</v>
      </c>
      <c r="C33" s="267">
        <v>100</v>
      </c>
      <c r="D33" s="271">
        <v>92</v>
      </c>
      <c r="E33" s="271">
        <v>8</v>
      </c>
      <c r="F33" s="271">
        <v>4.2097649186256785</v>
      </c>
      <c r="G33" s="271">
        <v>3.790235081374322</v>
      </c>
      <c r="H33" s="271">
        <v>1.9095840867992768</v>
      </c>
      <c r="I33" s="271">
        <v>1.3960216998191681</v>
      </c>
      <c r="J33" s="267">
        <v>0.48462929475587707</v>
      </c>
    </row>
    <row r="34" spans="1:10" s="6" customFormat="1" ht="15.75" customHeight="1">
      <c r="B34" s="59" t="s">
        <v>333</v>
      </c>
      <c r="C34" s="267">
        <v>100</v>
      </c>
      <c r="D34" s="271">
        <v>81.952662721893489</v>
      </c>
      <c r="E34" s="271">
        <v>18.047337278106511</v>
      </c>
      <c r="F34" s="271">
        <v>3.0695266272189348</v>
      </c>
      <c r="G34" s="271">
        <v>14.977810650887575</v>
      </c>
      <c r="H34" s="271">
        <v>2.7366863905325447</v>
      </c>
      <c r="I34" s="271">
        <v>10.170118343195266</v>
      </c>
      <c r="J34" s="267">
        <v>2.0710059171597637</v>
      </c>
    </row>
    <row r="35" spans="1:10" ht="15.75" customHeight="1">
      <c r="A35" s="13"/>
      <c r="B35" s="101"/>
      <c r="C35" s="268"/>
      <c r="D35" s="272"/>
      <c r="E35" s="272"/>
      <c r="F35" s="272"/>
      <c r="G35" s="272"/>
      <c r="H35" s="272"/>
      <c r="I35" s="272"/>
      <c r="J35" s="268"/>
    </row>
    <row r="36" spans="1:10" ht="15.75" customHeight="1">
      <c r="A36" s="6" t="s">
        <v>208</v>
      </c>
    </row>
  </sheetData>
  <mergeCells count="9">
    <mergeCell ref="A3:B8"/>
    <mergeCell ref="C4:C8"/>
    <mergeCell ref="D4:D8"/>
    <mergeCell ref="E4:E8"/>
    <mergeCell ref="F5:F8"/>
    <mergeCell ref="G5:G8"/>
    <mergeCell ref="H6:H8"/>
    <mergeCell ref="I6:I8"/>
    <mergeCell ref="J6:J8"/>
  </mergeCells>
  <phoneticPr fontId="8"/>
  <conditionalFormatting sqref="B36:F38 A39:F1048574 G1:XFB1048574 F4:F5 C4:E8 A9:F35 A1:F3">
    <cfRule type="cellIs" dxfId="10" priority="6" operator="equal">
      <formula>0</formula>
    </cfRule>
  </conditionalFormatting>
  <conditionalFormatting sqref="A4:B8">
    <cfRule type="cellIs" dxfId="9" priority="5" operator="equal">
      <formula>0</formula>
    </cfRule>
  </conditionalFormatting>
  <conditionalFormatting sqref="A36">
    <cfRule type="cellIs" dxfId="8" priority="3" operator="equal">
      <formula>0</formula>
    </cfRule>
  </conditionalFormatting>
  <conditionalFormatting sqref="A37">
    <cfRule type="cellIs" dxfId="7" priority="2" operator="equal">
      <formula>0</formula>
    </cfRule>
  </conditionalFormatting>
  <conditionalFormatting sqref="A38">
    <cfRule type="cellIs" dxfId="6" priority="1" operator="equal">
      <formula>0</formula>
    </cfRule>
  </conditionalFormatting>
  <hyperlinks>
    <hyperlink ref="L3" location="目次!A37"/>
  </hyperlinks>
  <printOptions horizontalCentered="1"/>
  <pageMargins left="0.39370078740157483" right="0.39370078740157483" top="0.39370078740157483" bottom="0.39370078740157483" header="0.19685039370078741" footer="0.19685039370078741"/>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O64"/>
  <sheetViews>
    <sheetView showGridLines="0" workbookViewId="0"/>
  </sheetViews>
  <sheetFormatPr defaultRowHeight="13.5"/>
  <cols>
    <col min="1" max="1" width="3.625" style="6" customWidth="1"/>
    <col min="2" max="3" width="2.625" style="6" customWidth="1"/>
    <col min="4" max="4" width="12.375" style="6" customWidth="1"/>
    <col min="5" max="6" width="10.125" style="7" customWidth="1"/>
    <col min="7" max="7" width="5.625" style="6" customWidth="1"/>
    <col min="8" max="9" width="2.625" style="6" customWidth="1"/>
    <col min="10" max="10" width="12.375" style="6" customWidth="1"/>
    <col min="11" max="11" width="10.125" style="7" customWidth="1"/>
    <col min="12" max="12" width="10.125" style="6" customWidth="1"/>
    <col min="13" max="13" width="3.625" style="6" customWidth="1"/>
    <col min="14" max="16384" width="9" style="6" customWidth="1"/>
  </cols>
  <sheetData>
    <row r="1" spans="1:15" ht="17.25">
      <c r="A1" s="8" t="s">
        <v>71</v>
      </c>
      <c r="B1" s="9"/>
      <c r="C1" s="11"/>
      <c r="D1" s="11"/>
      <c r="E1" s="23"/>
      <c r="F1" s="23"/>
      <c r="G1" s="11"/>
      <c r="H1" s="11"/>
      <c r="I1" s="11"/>
      <c r="J1" s="11"/>
      <c r="K1" s="23"/>
      <c r="L1" s="11"/>
      <c r="M1" s="11"/>
    </row>
    <row r="3" spans="1:15">
      <c r="B3" s="11" t="s">
        <v>7</v>
      </c>
      <c r="C3" s="11"/>
      <c r="D3" s="11"/>
      <c r="E3" s="23"/>
      <c r="F3" s="23"/>
      <c r="H3" s="11" t="s">
        <v>106</v>
      </c>
      <c r="I3" s="11"/>
      <c r="J3" s="11"/>
      <c r="K3" s="23"/>
      <c r="L3" s="11"/>
      <c r="O3" s="41" t="s">
        <v>119</v>
      </c>
    </row>
    <row r="4" spans="1:15">
      <c r="B4" s="10" t="s">
        <v>23</v>
      </c>
      <c r="C4" s="10"/>
      <c r="D4" s="10"/>
      <c r="E4" s="24" t="s">
        <v>105</v>
      </c>
      <c r="F4" s="24" t="s">
        <v>10</v>
      </c>
      <c r="H4" s="10" t="s">
        <v>23</v>
      </c>
      <c r="I4" s="10"/>
      <c r="J4" s="10"/>
      <c r="K4" s="24" t="s">
        <v>105</v>
      </c>
      <c r="L4" s="24" t="s">
        <v>10</v>
      </c>
    </row>
    <row r="5" spans="1:15">
      <c r="B5" s="6" t="s">
        <v>52</v>
      </c>
      <c r="E5" s="25">
        <v>959502</v>
      </c>
      <c r="F5" s="31">
        <f t="shared" ref="F5:F11" si="0">E5/$E$5*100</f>
        <v>100</v>
      </c>
      <c r="H5" s="6" t="s">
        <v>96</v>
      </c>
      <c r="K5" s="25">
        <v>980097</v>
      </c>
      <c r="L5" s="35">
        <f t="shared" ref="L5:L11" si="1">K5/$K$5*100</f>
        <v>100</v>
      </c>
    </row>
    <row r="6" spans="1:15">
      <c r="B6" s="12" t="s">
        <v>53</v>
      </c>
      <c r="C6" s="12"/>
      <c r="D6" s="12"/>
      <c r="E6" s="26">
        <v>807882</v>
      </c>
      <c r="F6" s="31">
        <f t="shared" si="0"/>
        <v>84.198052739858795</v>
      </c>
      <c r="H6" s="12" t="s">
        <v>53</v>
      </c>
      <c r="I6" s="12"/>
      <c r="J6" s="12"/>
      <c r="K6" s="26">
        <v>807882</v>
      </c>
      <c r="L6" s="35">
        <f t="shared" si="1"/>
        <v>82.428780008509364</v>
      </c>
    </row>
    <row r="7" spans="1:15">
      <c r="B7" s="6" t="s">
        <v>55</v>
      </c>
      <c r="E7" s="25">
        <v>116329</v>
      </c>
      <c r="F7" s="32">
        <f t="shared" si="0"/>
        <v>12.123893436386792</v>
      </c>
      <c r="H7" s="6" t="s">
        <v>55</v>
      </c>
      <c r="K7" s="25">
        <v>116329</v>
      </c>
      <c r="L7" s="36">
        <f t="shared" si="1"/>
        <v>11.869131320675402</v>
      </c>
    </row>
    <row r="8" spans="1:15">
      <c r="C8" s="14" t="s">
        <v>100</v>
      </c>
      <c r="D8" s="20"/>
      <c r="E8" s="27">
        <v>85978</v>
      </c>
      <c r="F8" s="33">
        <f t="shared" si="0"/>
        <v>8.9606900246169374</v>
      </c>
      <c r="I8" s="14" t="s">
        <v>100</v>
      </c>
      <c r="J8" s="20"/>
      <c r="K8" s="27">
        <v>85978</v>
      </c>
      <c r="L8" s="37">
        <f t="shared" si="1"/>
        <v>8.7723970178461919</v>
      </c>
    </row>
    <row r="9" spans="1:15">
      <c r="B9" s="13"/>
      <c r="C9" s="15" t="s">
        <v>101</v>
      </c>
      <c r="D9" s="21"/>
      <c r="E9" s="28">
        <v>30351</v>
      </c>
      <c r="F9" s="34">
        <f t="shared" si="0"/>
        <v>3.1632034117698558</v>
      </c>
      <c r="H9" s="13"/>
      <c r="I9" s="15" t="s">
        <v>101</v>
      </c>
      <c r="J9" s="21"/>
      <c r="K9" s="28">
        <v>30351</v>
      </c>
      <c r="L9" s="38">
        <f t="shared" si="1"/>
        <v>3.0967343028292098</v>
      </c>
    </row>
    <row r="10" spans="1:15">
      <c r="B10" s="6" t="s">
        <v>398</v>
      </c>
      <c r="E10" s="25">
        <v>35291</v>
      </c>
      <c r="F10" s="32">
        <f t="shared" si="0"/>
        <v>3.6780538237544063</v>
      </c>
      <c r="H10" s="6" t="s">
        <v>399</v>
      </c>
      <c r="K10" s="25">
        <v>55886</v>
      </c>
      <c r="L10" s="36">
        <f t="shared" si="1"/>
        <v>5.7020886708152352</v>
      </c>
    </row>
    <row r="11" spans="1:15">
      <c r="C11" s="16" t="s">
        <v>60</v>
      </c>
      <c r="D11" s="22"/>
      <c r="E11" s="29">
        <v>33179</v>
      </c>
      <c r="F11" s="33">
        <f t="shared" si="0"/>
        <v>3.4579396395213355</v>
      </c>
      <c r="I11" s="16" t="s">
        <v>46</v>
      </c>
      <c r="J11" s="22"/>
      <c r="K11" s="29">
        <v>55886</v>
      </c>
      <c r="L11" s="37">
        <f t="shared" si="1"/>
        <v>5.7020886708152352</v>
      </c>
    </row>
    <row r="12" spans="1:15">
      <c r="C12" s="17"/>
      <c r="D12" s="14" t="s">
        <v>37</v>
      </c>
      <c r="E12" s="27">
        <v>1605</v>
      </c>
      <c r="F12" s="25"/>
      <c r="I12" s="17"/>
      <c r="J12" s="14" t="s">
        <v>37</v>
      </c>
      <c r="K12" s="27">
        <v>2288</v>
      </c>
      <c r="L12" s="39"/>
    </row>
    <row r="13" spans="1:15">
      <c r="C13" s="17"/>
      <c r="D13" s="14" t="s">
        <v>62</v>
      </c>
      <c r="E13" s="27">
        <v>2979</v>
      </c>
      <c r="F13" s="25"/>
      <c r="I13" s="17"/>
      <c r="J13" s="14" t="s">
        <v>62</v>
      </c>
      <c r="K13" s="27">
        <v>3250</v>
      </c>
      <c r="L13" s="39"/>
    </row>
    <row r="14" spans="1:15">
      <c r="C14" s="17"/>
      <c r="D14" s="14" t="s">
        <v>30</v>
      </c>
      <c r="E14" s="27">
        <v>2999</v>
      </c>
      <c r="F14" s="25"/>
      <c r="I14" s="17"/>
      <c r="J14" s="14" t="s">
        <v>30</v>
      </c>
      <c r="K14" s="27">
        <v>3949</v>
      </c>
      <c r="L14" s="39"/>
    </row>
    <row r="15" spans="1:15">
      <c r="C15" s="17"/>
      <c r="D15" s="14" t="s">
        <v>68</v>
      </c>
      <c r="E15" s="27">
        <v>4820</v>
      </c>
      <c r="F15" s="25"/>
      <c r="I15" s="17"/>
      <c r="J15" s="14" t="s">
        <v>68</v>
      </c>
      <c r="K15" s="27">
        <v>9936</v>
      </c>
      <c r="L15" s="39"/>
    </row>
    <row r="16" spans="1:15">
      <c r="C16" s="17"/>
      <c r="D16" s="14" t="s">
        <v>15</v>
      </c>
      <c r="E16" s="27">
        <v>1618</v>
      </c>
      <c r="F16" s="25"/>
      <c r="I16" s="17"/>
      <c r="J16" s="14" t="s">
        <v>15</v>
      </c>
      <c r="K16" s="27">
        <v>1948</v>
      </c>
      <c r="L16" s="39"/>
    </row>
    <row r="17" spans="3:12">
      <c r="C17" s="17"/>
      <c r="D17" s="14" t="s">
        <v>49</v>
      </c>
      <c r="E17" s="27">
        <v>1199</v>
      </c>
      <c r="F17" s="25"/>
      <c r="I17" s="17"/>
      <c r="J17" s="14" t="s">
        <v>49</v>
      </c>
      <c r="K17" s="27">
        <v>1760</v>
      </c>
      <c r="L17" s="39"/>
    </row>
    <row r="18" spans="3:12">
      <c r="C18" s="17"/>
      <c r="D18" s="14" t="s">
        <v>66</v>
      </c>
      <c r="E18" s="27">
        <v>700</v>
      </c>
      <c r="F18" s="25"/>
      <c r="I18" s="17"/>
      <c r="J18" s="14" t="s">
        <v>66</v>
      </c>
      <c r="K18" s="27">
        <v>1066</v>
      </c>
      <c r="L18" s="39"/>
    </row>
    <row r="19" spans="3:12">
      <c r="C19" s="17"/>
      <c r="D19" s="14" t="s">
        <v>73</v>
      </c>
      <c r="E19" s="27">
        <v>641</v>
      </c>
      <c r="F19" s="25"/>
      <c r="I19" s="17"/>
      <c r="J19" s="14" t="s">
        <v>73</v>
      </c>
      <c r="K19" s="27">
        <v>933</v>
      </c>
      <c r="L19" s="39"/>
    </row>
    <row r="20" spans="3:12">
      <c r="C20" s="17"/>
      <c r="D20" s="14" t="s">
        <v>41</v>
      </c>
      <c r="E20" s="27">
        <v>414</v>
      </c>
      <c r="F20" s="25"/>
      <c r="I20" s="17"/>
      <c r="J20" s="14" t="s">
        <v>41</v>
      </c>
      <c r="K20" s="27">
        <v>733</v>
      </c>
      <c r="L20" s="39"/>
    </row>
    <row r="21" spans="3:12">
      <c r="C21" s="17"/>
      <c r="D21" s="14" t="s">
        <v>2</v>
      </c>
      <c r="E21" s="27">
        <v>1977</v>
      </c>
      <c r="F21" s="25"/>
      <c r="I21" s="17"/>
      <c r="J21" s="14" t="s">
        <v>2</v>
      </c>
      <c r="K21" s="27">
        <v>3877</v>
      </c>
      <c r="L21" s="39"/>
    </row>
    <row r="22" spans="3:12">
      <c r="C22" s="17"/>
      <c r="D22" s="14" t="s">
        <v>74</v>
      </c>
      <c r="E22" s="27">
        <v>1775</v>
      </c>
      <c r="F22" s="25"/>
      <c r="I22" s="17"/>
      <c r="J22" s="14" t="s">
        <v>74</v>
      </c>
      <c r="K22" s="27">
        <v>3451</v>
      </c>
      <c r="L22" s="39"/>
    </row>
    <row r="23" spans="3:12">
      <c r="C23" s="17"/>
      <c r="D23" s="14" t="s">
        <v>39</v>
      </c>
      <c r="E23" s="27">
        <v>4783</v>
      </c>
      <c r="F23" s="25"/>
      <c r="I23" s="17"/>
      <c r="J23" s="14" t="s">
        <v>39</v>
      </c>
      <c r="K23" s="27">
        <v>10078</v>
      </c>
      <c r="L23" s="39"/>
    </row>
    <row r="24" spans="3:12">
      <c r="C24" s="17"/>
      <c r="D24" s="14" t="s">
        <v>54</v>
      </c>
      <c r="E24" s="27">
        <v>2360</v>
      </c>
      <c r="F24" s="25"/>
      <c r="I24" s="17"/>
      <c r="J24" s="14" t="s">
        <v>54</v>
      </c>
      <c r="K24" s="27">
        <v>4651</v>
      </c>
      <c r="L24" s="39"/>
    </row>
    <row r="25" spans="3:12">
      <c r="C25" s="17"/>
      <c r="D25" s="14" t="s">
        <v>76</v>
      </c>
      <c r="E25" s="27">
        <v>1002</v>
      </c>
      <c r="F25" s="25"/>
      <c r="I25" s="17"/>
      <c r="J25" s="14" t="s">
        <v>76</v>
      </c>
      <c r="K25" s="27">
        <v>1489</v>
      </c>
      <c r="L25" s="39"/>
    </row>
    <row r="26" spans="3:12">
      <c r="C26" s="17"/>
      <c r="D26" s="14" t="s">
        <v>67</v>
      </c>
      <c r="E26" s="27">
        <v>113</v>
      </c>
      <c r="F26" s="25"/>
      <c r="I26" s="17"/>
      <c r="J26" s="14" t="s">
        <v>67</v>
      </c>
      <c r="K26" s="27">
        <v>219</v>
      </c>
      <c r="L26" s="39"/>
    </row>
    <row r="27" spans="3:12">
      <c r="C27" s="17"/>
      <c r="D27" s="14" t="s">
        <v>78</v>
      </c>
      <c r="E27" s="27">
        <v>150</v>
      </c>
      <c r="F27" s="25"/>
      <c r="I27" s="17"/>
      <c r="J27" s="14" t="s">
        <v>78</v>
      </c>
      <c r="K27" s="27">
        <v>218</v>
      </c>
      <c r="L27" s="39"/>
    </row>
    <row r="28" spans="3:12">
      <c r="C28" s="17"/>
      <c r="D28" s="14" t="s">
        <v>58</v>
      </c>
      <c r="E28" s="27">
        <v>59</v>
      </c>
      <c r="F28" s="25"/>
      <c r="I28" s="17"/>
      <c r="J28" s="14" t="s">
        <v>58</v>
      </c>
      <c r="K28" s="27">
        <v>101</v>
      </c>
      <c r="L28" s="39"/>
    </row>
    <row r="29" spans="3:12">
      <c r="C29" s="17"/>
      <c r="D29" s="14" t="s">
        <v>72</v>
      </c>
      <c r="E29" s="27">
        <v>136</v>
      </c>
      <c r="F29" s="25"/>
      <c r="I29" s="17"/>
      <c r="J29" s="14" t="s">
        <v>72</v>
      </c>
      <c r="K29" s="27">
        <v>230</v>
      </c>
      <c r="L29" s="39"/>
    </row>
    <row r="30" spans="3:12">
      <c r="C30" s="17"/>
      <c r="D30" s="14" t="s">
        <v>65</v>
      </c>
      <c r="E30" s="27">
        <v>275</v>
      </c>
      <c r="F30" s="25"/>
      <c r="I30" s="17"/>
      <c r="J30" s="14" t="s">
        <v>65</v>
      </c>
      <c r="K30" s="27">
        <v>366</v>
      </c>
      <c r="L30" s="39"/>
    </row>
    <row r="31" spans="3:12">
      <c r="C31" s="17"/>
      <c r="D31" s="14" t="s">
        <v>84</v>
      </c>
      <c r="E31" s="27">
        <v>152</v>
      </c>
      <c r="F31" s="25"/>
      <c r="I31" s="17"/>
      <c r="J31" s="14" t="s">
        <v>84</v>
      </c>
      <c r="K31" s="27">
        <v>182</v>
      </c>
      <c r="L31" s="39"/>
    </row>
    <row r="32" spans="3:12">
      <c r="C32" s="17"/>
      <c r="D32" s="14" t="s">
        <v>87</v>
      </c>
      <c r="E32" s="27">
        <v>509</v>
      </c>
      <c r="F32" s="25"/>
      <c r="I32" s="17"/>
      <c r="J32" s="14" t="s">
        <v>87</v>
      </c>
      <c r="K32" s="27">
        <v>607</v>
      </c>
      <c r="L32" s="39"/>
    </row>
    <row r="33" spans="3:12">
      <c r="C33" s="17"/>
      <c r="D33" s="14" t="s">
        <v>89</v>
      </c>
      <c r="E33" s="27">
        <v>635</v>
      </c>
      <c r="F33" s="25"/>
      <c r="I33" s="17"/>
      <c r="J33" s="14" t="s">
        <v>89</v>
      </c>
      <c r="K33" s="27">
        <v>1070</v>
      </c>
      <c r="L33" s="39"/>
    </row>
    <row r="34" spans="3:12">
      <c r="C34" s="17"/>
      <c r="D34" s="14" t="s">
        <v>14</v>
      </c>
      <c r="E34" s="27">
        <v>105</v>
      </c>
      <c r="F34" s="25"/>
      <c r="I34" s="17"/>
      <c r="J34" s="14" t="s">
        <v>14</v>
      </c>
      <c r="K34" s="27">
        <v>176</v>
      </c>
      <c r="L34" s="39"/>
    </row>
    <row r="35" spans="3:12">
      <c r="C35" s="17"/>
      <c r="D35" s="14" t="s">
        <v>47</v>
      </c>
      <c r="E35" s="27">
        <v>57</v>
      </c>
      <c r="F35" s="25"/>
      <c r="I35" s="17"/>
      <c r="J35" s="14" t="s">
        <v>47</v>
      </c>
      <c r="K35" s="27">
        <v>146</v>
      </c>
      <c r="L35" s="39"/>
    </row>
    <row r="36" spans="3:12">
      <c r="C36" s="17"/>
      <c r="D36" s="14" t="s">
        <v>90</v>
      </c>
      <c r="E36" s="27">
        <v>190</v>
      </c>
      <c r="F36" s="25"/>
      <c r="I36" s="17"/>
      <c r="J36" s="14" t="s">
        <v>90</v>
      </c>
      <c r="K36" s="27">
        <v>347</v>
      </c>
      <c r="L36" s="39"/>
    </row>
    <row r="37" spans="3:12">
      <c r="C37" s="17"/>
      <c r="D37" s="14" t="s">
        <v>19</v>
      </c>
      <c r="E37" s="27">
        <v>445</v>
      </c>
      <c r="F37" s="25"/>
      <c r="I37" s="17"/>
      <c r="J37" s="14" t="s">
        <v>19</v>
      </c>
      <c r="K37" s="27">
        <v>787</v>
      </c>
      <c r="L37" s="39"/>
    </row>
    <row r="38" spans="3:12">
      <c r="C38" s="17"/>
      <c r="D38" s="14" t="s">
        <v>26</v>
      </c>
      <c r="E38" s="27">
        <v>299</v>
      </c>
      <c r="F38" s="25"/>
      <c r="I38" s="17"/>
      <c r="J38" s="14" t="s">
        <v>26</v>
      </c>
      <c r="K38" s="27">
        <v>389</v>
      </c>
      <c r="L38" s="39"/>
    </row>
    <row r="39" spans="3:12">
      <c r="C39" s="17"/>
      <c r="D39" s="14" t="s">
        <v>82</v>
      </c>
      <c r="E39" s="27">
        <v>72</v>
      </c>
      <c r="F39" s="25"/>
      <c r="I39" s="17"/>
      <c r="J39" s="14" t="s">
        <v>82</v>
      </c>
      <c r="K39" s="27">
        <v>103</v>
      </c>
      <c r="L39" s="39"/>
    </row>
    <row r="40" spans="3:12">
      <c r="C40" s="17"/>
      <c r="D40" s="14" t="s">
        <v>91</v>
      </c>
      <c r="E40" s="27">
        <v>54</v>
      </c>
      <c r="F40" s="25"/>
      <c r="I40" s="17"/>
      <c r="J40" s="14" t="s">
        <v>91</v>
      </c>
      <c r="K40" s="27">
        <v>29</v>
      </c>
      <c r="L40" s="39"/>
    </row>
    <row r="41" spans="3:12">
      <c r="C41" s="17"/>
      <c r="D41" s="14" t="s">
        <v>93</v>
      </c>
      <c r="E41" s="27">
        <v>22</v>
      </c>
      <c r="F41" s="25"/>
      <c r="I41" s="17"/>
      <c r="J41" s="14" t="s">
        <v>93</v>
      </c>
      <c r="K41" s="27">
        <v>30</v>
      </c>
      <c r="L41" s="39"/>
    </row>
    <row r="42" spans="3:12">
      <c r="C42" s="17"/>
      <c r="D42" s="14" t="s">
        <v>32</v>
      </c>
      <c r="E42" s="27">
        <v>22</v>
      </c>
      <c r="F42" s="25"/>
      <c r="I42" s="17"/>
      <c r="J42" s="14" t="s">
        <v>32</v>
      </c>
      <c r="K42" s="27">
        <v>57</v>
      </c>
      <c r="L42" s="39"/>
    </row>
    <row r="43" spans="3:12">
      <c r="C43" s="17"/>
      <c r="D43" s="14" t="s">
        <v>12</v>
      </c>
      <c r="E43" s="27">
        <v>134</v>
      </c>
      <c r="F43" s="25"/>
      <c r="I43" s="17"/>
      <c r="J43" s="14" t="s">
        <v>12</v>
      </c>
      <c r="K43" s="27">
        <v>161</v>
      </c>
      <c r="L43" s="39"/>
    </row>
    <row r="44" spans="3:12">
      <c r="C44" s="17"/>
      <c r="D44" s="14" t="s">
        <v>51</v>
      </c>
      <c r="E44" s="27">
        <v>95</v>
      </c>
      <c r="F44" s="25"/>
      <c r="I44" s="17"/>
      <c r="J44" s="14" t="s">
        <v>51</v>
      </c>
      <c r="K44" s="27">
        <v>193</v>
      </c>
      <c r="L44" s="39"/>
    </row>
    <row r="45" spans="3:12">
      <c r="C45" s="17"/>
      <c r="D45" s="14" t="s">
        <v>33</v>
      </c>
      <c r="E45" s="27">
        <v>52</v>
      </c>
      <c r="F45" s="25"/>
      <c r="I45" s="17"/>
      <c r="J45" s="14" t="s">
        <v>33</v>
      </c>
      <c r="K45" s="27">
        <v>87</v>
      </c>
      <c r="L45" s="39"/>
    </row>
    <row r="46" spans="3:12">
      <c r="C46" s="17"/>
      <c r="D46" s="14" t="s">
        <v>92</v>
      </c>
      <c r="E46" s="27">
        <v>34</v>
      </c>
      <c r="F46" s="25"/>
      <c r="I46" s="17"/>
      <c r="J46" s="14" t="s">
        <v>92</v>
      </c>
      <c r="K46" s="27">
        <v>24</v>
      </c>
      <c r="L46" s="39"/>
    </row>
    <row r="47" spans="3:12">
      <c r="C47" s="17"/>
      <c r="D47" s="14" t="s">
        <v>57</v>
      </c>
      <c r="E47" s="27">
        <v>36</v>
      </c>
      <c r="F47" s="25"/>
      <c r="I47" s="17"/>
      <c r="J47" s="14" t="s">
        <v>57</v>
      </c>
      <c r="K47" s="27">
        <v>59</v>
      </c>
      <c r="L47" s="39"/>
    </row>
    <row r="48" spans="3:12">
      <c r="C48" s="17"/>
      <c r="D48" s="14" t="s">
        <v>18</v>
      </c>
      <c r="E48" s="27">
        <v>53</v>
      </c>
      <c r="F48" s="25"/>
      <c r="I48" s="17"/>
      <c r="J48" s="14" t="s">
        <v>18</v>
      </c>
      <c r="K48" s="27">
        <v>50</v>
      </c>
      <c r="L48" s="39"/>
    </row>
    <row r="49" spans="2:12">
      <c r="C49" s="17"/>
      <c r="D49" s="14" t="s">
        <v>88</v>
      </c>
      <c r="E49" s="27">
        <v>23</v>
      </c>
      <c r="F49" s="25"/>
      <c r="I49" s="17"/>
      <c r="J49" s="14" t="s">
        <v>88</v>
      </c>
      <c r="K49" s="27">
        <v>45</v>
      </c>
      <c r="L49" s="39"/>
    </row>
    <row r="50" spans="2:12">
      <c r="C50" s="17"/>
      <c r="D50" s="14" t="s">
        <v>13</v>
      </c>
      <c r="E50" s="27">
        <v>190</v>
      </c>
      <c r="F50" s="25"/>
      <c r="I50" s="17"/>
      <c r="J50" s="14" t="s">
        <v>13</v>
      </c>
      <c r="K50" s="27">
        <v>309</v>
      </c>
      <c r="L50" s="39"/>
    </row>
    <row r="51" spans="2:12">
      <c r="C51" s="17"/>
      <c r="D51" s="14" t="s">
        <v>43</v>
      </c>
      <c r="E51" s="27">
        <v>45</v>
      </c>
      <c r="F51" s="25"/>
      <c r="I51" s="17"/>
      <c r="J51" s="14" t="s">
        <v>43</v>
      </c>
      <c r="K51" s="27">
        <v>30</v>
      </c>
      <c r="L51" s="39"/>
    </row>
    <row r="52" spans="2:12">
      <c r="C52" s="17"/>
      <c r="D52" s="14" t="s">
        <v>63</v>
      </c>
      <c r="E52" s="27">
        <v>50</v>
      </c>
      <c r="F52" s="25"/>
      <c r="I52" s="17"/>
      <c r="J52" s="14" t="s">
        <v>63</v>
      </c>
      <c r="K52" s="27">
        <v>76</v>
      </c>
      <c r="L52" s="39"/>
    </row>
    <row r="53" spans="2:12">
      <c r="C53" s="17"/>
      <c r="D53" s="14" t="s">
        <v>94</v>
      </c>
      <c r="E53" s="27">
        <v>63</v>
      </c>
      <c r="F53" s="25"/>
      <c r="I53" s="17"/>
      <c r="J53" s="14" t="s">
        <v>94</v>
      </c>
      <c r="K53" s="27">
        <v>50</v>
      </c>
      <c r="L53" s="39"/>
    </row>
    <row r="54" spans="2:12">
      <c r="C54" s="17"/>
      <c r="D54" s="14" t="s">
        <v>81</v>
      </c>
      <c r="E54" s="27">
        <v>36</v>
      </c>
      <c r="F54" s="25"/>
      <c r="I54" s="17"/>
      <c r="J54" s="14" t="s">
        <v>81</v>
      </c>
      <c r="K54" s="27">
        <v>44</v>
      </c>
      <c r="L54" s="39"/>
    </row>
    <row r="55" spans="2:12">
      <c r="C55" s="17"/>
      <c r="D55" s="14" t="s">
        <v>95</v>
      </c>
      <c r="E55" s="27">
        <v>48</v>
      </c>
      <c r="F55" s="25"/>
      <c r="I55" s="17"/>
      <c r="J55" s="14" t="s">
        <v>95</v>
      </c>
      <c r="K55" s="27">
        <v>45</v>
      </c>
      <c r="L55" s="39"/>
    </row>
    <row r="56" spans="2:12">
      <c r="C56" s="17"/>
      <c r="D56" s="14" t="s">
        <v>56</v>
      </c>
      <c r="E56" s="27">
        <v>73</v>
      </c>
      <c r="F56" s="25"/>
      <c r="I56" s="17"/>
      <c r="J56" s="14" t="s">
        <v>56</v>
      </c>
      <c r="K56" s="27">
        <v>80</v>
      </c>
      <c r="L56" s="39"/>
    </row>
    <row r="57" spans="2:12">
      <c r="C57" s="18"/>
      <c r="D57" s="14" t="s">
        <v>9</v>
      </c>
      <c r="E57" s="27">
        <v>80</v>
      </c>
      <c r="F57" s="25"/>
      <c r="H57" s="13"/>
      <c r="I57" s="19"/>
      <c r="J57" s="15" t="s">
        <v>9</v>
      </c>
      <c r="K57" s="28">
        <v>167</v>
      </c>
      <c r="L57" s="40"/>
    </row>
    <row r="58" spans="2:12">
      <c r="B58" s="13"/>
      <c r="C58" s="19" t="s">
        <v>61</v>
      </c>
      <c r="D58" s="13"/>
      <c r="E58" s="30">
        <v>2112</v>
      </c>
      <c r="F58" s="34">
        <f>E58/$E$5*100</f>
        <v>0.22011418423307089</v>
      </c>
    </row>
    <row r="60" spans="2:12">
      <c r="B60" s="6" t="s">
        <v>161</v>
      </c>
    </row>
    <row r="61" spans="2:12">
      <c r="B61" s="6" t="s">
        <v>194</v>
      </c>
    </row>
    <row r="62" spans="2:12">
      <c r="B62" s="6" t="s">
        <v>79</v>
      </c>
    </row>
    <row r="63" spans="2:12">
      <c r="B63" s="6" t="s">
        <v>111</v>
      </c>
    </row>
    <row r="64" spans="2:12">
      <c r="B64" s="6" t="s">
        <v>97</v>
      </c>
    </row>
  </sheetData>
  <phoneticPr fontId="8"/>
  <hyperlinks>
    <hyperlink ref="O3" location="目次!A3"/>
  </hyperlinks>
  <printOptions horizontalCentered="1"/>
  <pageMargins left="0.78740157480314965" right="0.78740157480314965" top="0.39370078740157483" bottom="0.39370078740157483" header="0.19685039370078741" footer="0.19685039370078741"/>
  <pageSetup paperSize="9" scale="95"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34"/>
  <sheetViews>
    <sheetView showGridLines="0" workbookViewId="0">
      <selection activeCell="B1" sqref="B1"/>
    </sheetView>
  </sheetViews>
  <sheetFormatPr defaultRowHeight="13.5"/>
  <cols>
    <col min="1" max="1" width="2.625" style="7" customWidth="1"/>
    <col min="2" max="2" width="11.625" style="7" customWidth="1"/>
    <col min="3" max="3" width="10.625" style="7" customWidth="1"/>
    <col min="4" max="9" width="10.625" style="142" customWidth="1"/>
    <col min="10" max="16384" width="9" style="7" customWidth="1"/>
  </cols>
  <sheetData>
    <row r="1" spans="1:11" ht="16.899999999999999" customHeight="1">
      <c r="A1" s="273" t="s">
        <v>365</v>
      </c>
    </row>
    <row r="2" spans="1:11" ht="16.899999999999999" customHeight="1"/>
    <row r="3" spans="1:11" ht="16.899999999999999" customHeight="1">
      <c r="A3" s="274" t="s">
        <v>264</v>
      </c>
      <c r="B3" s="274"/>
      <c r="C3" s="277" t="s">
        <v>27</v>
      </c>
      <c r="D3" s="281"/>
      <c r="E3" s="281"/>
      <c r="F3" s="281"/>
      <c r="G3" s="281"/>
      <c r="H3" s="281"/>
      <c r="I3" s="281"/>
      <c r="K3" s="293" t="s">
        <v>118</v>
      </c>
    </row>
    <row r="4" spans="1:11" ht="16.899999999999999" customHeight="1">
      <c r="A4" s="275"/>
      <c r="B4" s="275"/>
      <c r="C4" s="278" t="s">
        <v>64</v>
      </c>
      <c r="D4" s="282" t="s">
        <v>271</v>
      </c>
      <c r="E4" s="286" t="s">
        <v>272</v>
      </c>
      <c r="F4" s="282" t="s">
        <v>274</v>
      </c>
      <c r="G4" s="282" t="s">
        <v>275</v>
      </c>
      <c r="H4" s="282" t="s">
        <v>276</v>
      </c>
      <c r="I4" s="289" t="s">
        <v>127</v>
      </c>
    </row>
    <row r="5" spans="1:11" ht="16.899999999999999" customHeight="1">
      <c r="A5" s="275"/>
      <c r="B5" s="275"/>
      <c r="C5" s="279"/>
      <c r="D5" s="283"/>
      <c r="E5" s="287"/>
      <c r="F5" s="283"/>
      <c r="G5" s="283"/>
      <c r="H5" s="283"/>
      <c r="I5" s="290"/>
    </row>
    <row r="6" spans="1:11" ht="16.899999999999999" customHeight="1">
      <c r="A6" s="276"/>
      <c r="B6" s="276"/>
      <c r="C6" s="280"/>
      <c r="D6" s="284"/>
      <c r="E6" s="288"/>
      <c r="F6" s="284"/>
      <c r="G6" s="284"/>
      <c r="H6" s="284"/>
      <c r="I6" s="291"/>
    </row>
    <row r="7" spans="1:11" ht="16.899999999999999" customHeight="1">
      <c r="A7" s="63"/>
      <c r="B7" s="63"/>
      <c r="C7" s="25"/>
      <c r="D7" s="149"/>
      <c r="E7" s="149"/>
      <c r="F7" s="149"/>
      <c r="G7" s="149"/>
      <c r="H7" s="149"/>
      <c r="I7" s="150"/>
    </row>
    <row r="8" spans="1:11" ht="16.899999999999999" customHeight="1">
      <c r="A8" s="63" t="s">
        <v>335</v>
      </c>
      <c r="B8" s="63"/>
      <c r="C8" s="150">
        <v>100</v>
      </c>
      <c r="D8" s="149">
        <v>19.77399964161404</v>
      </c>
      <c r="E8" s="149">
        <v>4.3628603543676929</v>
      </c>
      <c r="F8" s="149">
        <v>11.797522792804044</v>
      </c>
      <c r="G8" s="149">
        <v>9.2252890165563457</v>
      </c>
      <c r="H8" s="149">
        <v>13.672967381447554</v>
      </c>
      <c r="I8" s="150">
        <v>41.167360813210323</v>
      </c>
    </row>
    <row r="9" spans="1:11" ht="16.899999999999999" customHeight="1">
      <c r="A9" s="63"/>
      <c r="B9" s="63" t="s">
        <v>115</v>
      </c>
      <c r="C9" s="150">
        <v>100</v>
      </c>
      <c r="D9" s="149">
        <v>11.263309534963176</v>
      </c>
      <c r="E9" s="149">
        <v>5.7831096145650251</v>
      </c>
      <c r="F9" s="149">
        <v>15.896771193992526</v>
      </c>
      <c r="G9" s="149">
        <v>12.041717004857123</v>
      </c>
      <c r="H9" s="149">
        <v>17.509589205143829</v>
      </c>
      <c r="I9" s="150">
        <v>37.505503446478322</v>
      </c>
    </row>
    <row r="10" spans="1:11" ht="16.899999999999999" customHeight="1">
      <c r="A10" s="63"/>
      <c r="B10" s="63" t="s">
        <v>337</v>
      </c>
      <c r="C10" s="150">
        <v>100</v>
      </c>
      <c r="D10" s="149">
        <v>17.244990144546648</v>
      </c>
      <c r="E10" s="149">
        <v>4.5458278580814717</v>
      </c>
      <c r="F10" s="149">
        <v>11.329664914586072</v>
      </c>
      <c r="G10" s="149">
        <v>9.1963699080157681</v>
      </c>
      <c r="H10" s="149">
        <v>13.423948751642575</v>
      </c>
      <c r="I10" s="150">
        <v>44.259198423127465</v>
      </c>
    </row>
    <row r="11" spans="1:11" ht="16.899999999999999" customHeight="1">
      <c r="A11" s="63"/>
      <c r="B11" s="63" t="s">
        <v>338</v>
      </c>
      <c r="C11" s="150">
        <v>100</v>
      </c>
      <c r="D11" s="149">
        <v>26.160237669700663</v>
      </c>
      <c r="E11" s="149">
        <v>3.8005847053392827</v>
      </c>
      <c r="F11" s="149">
        <v>9.722205783138234</v>
      </c>
      <c r="G11" s="149">
        <v>7.9325813438753894</v>
      </c>
      <c r="H11" s="149">
        <v>11.354409554132589</v>
      </c>
      <c r="I11" s="150">
        <v>41.02998094381384</v>
      </c>
    </row>
    <row r="12" spans="1:11" ht="16.899999999999999" customHeight="1">
      <c r="A12" s="63"/>
      <c r="B12" s="63" t="s">
        <v>130</v>
      </c>
      <c r="C12" s="150">
        <v>100</v>
      </c>
      <c r="D12" s="149">
        <v>17.737141477692784</v>
      </c>
      <c r="E12" s="149">
        <v>4.511232818841564</v>
      </c>
      <c r="F12" s="149">
        <v>12.110925029043889</v>
      </c>
      <c r="G12" s="149">
        <v>9.0088866760210617</v>
      </c>
      <c r="H12" s="149">
        <v>13.28625959957151</v>
      </c>
      <c r="I12" s="150">
        <v>43.345554398829186</v>
      </c>
    </row>
    <row r="13" spans="1:11" ht="16.899999999999999" customHeight="1">
      <c r="A13" s="63"/>
      <c r="B13" s="63" t="s">
        <v>339</v>
      </c>
      <c r="C13" s="150">
        <v>100</v>
      </c>
      <c r="D13" s="149">
        <v>20.777507523601436</v>
      </c>
      <c r="E13" s="149">
        <v>2.6631487817949457</v>
      </c>
      <c r="F13" s="149">
        <v>8.4717813414684411</v>
      </c>
      <c r="G13" s="149">
        <v>7.4329059652883709</v>
      </c>
      <c r="H13" s="149">
        <v>12.099600115430597</v>
      </c>
      <c r="I13" s="150">
        <v>48.555056272416209</v>
      </c>
    </row>
    <row r="14" spans="1:11" ht="16.899999999999999" customHeight="1">
      <c r="A14" s="63"/>
      <c r="B14" s="63" t="s">
        <v>340</v>
      </c>
      <c r="C14" s="150">
        <v>100</v>
      </c>
      <c r="D14" s="149">
        <v>26.547376005764377</v>
      </c>
      <c r="E14" s="149">
        <v>3.0887474480605257</v>
      </c>
      <c r="F14" s="149">
        <v>8.8987630599255443</v>
      </c>
      <c r="G14" s="149">
        <v>7.2871382250510388</v>
      </c>
      <c r="H14" s="149">
        <v>10.959529242224091</v>
      </c>
      <c r="I14" s="150">
        <v>43.218446018974419</v>
      </c>
    </row>
    <row r="15" spans="1:11" ht="16.899999999999999" customHeight="1">
      <c r="A15" s="63"/>
      <c r="B15" s="63" t="s">
        <v>59</v>
      </c>
      <c r="C15" s="150">
        <v>100</v>
      </c>
      <c r="D15" s="149">
        <v>22.359558364002499</v>
      </c>
      <c r="E15" s="149">
        <v>3.7046038469550728</v>
      </c>
      <c r="F15" s="149">
        <v>10.134712867162003</v>
      </c>
      <c r="G15" s="149">
        <v>8.7285605166307896</v>
      </c>
      <c r="H15" s="149">
        <v>12.01305464898271</v>
      </c>
      <c r="I15" s="150">
        <v>43.059509756266927</v>
      </c>
    </row>
    <row r="16" spans="1:11" ht="16.899999999999999" customHeight="1">
      <c r="A16" s="63"/>
      <c r="B16" s="63" t="s">
        <v>341</v>
      </c>
      <c r="C16" s="150">
        <v>100</v>
      </c>
      <c r="D16" s="149">
        <v>23.821924603174601</v>
      </c>
      <c r="E16" s="149">
        <v>4.0357694003527333</v>
      </c>
      <c r="F16" s="149">
        <v>10.745976631393297</v>
      </c>
      <c r="G16" s="149">
        <v>8.1542107583774257</v>
      </c>
      <c r="H16" s="149">
        <v>12.665343915343916</v>
      </c>
      <c r="I16" s="150">
        <v>40.576774691358025</v>
      </c>
    </row>
    <row r="17" spans="1:9" ht="16.899999999999999" customHeight="1">
      <c r="A17" s="63"/>
      <c r="B17" s="63" t="s">
        <v>342</v>
      </c>
      <c r="C17" s="150">
        <v>100</v>
      </c>
      <c r="D17" s="149">
        <v>16.893659845689367</v>
      </c>
      <c r="E17" s="149">
        <v>3.9617577993961763</v>
      </c>
      <c r="F17" s="149">
        <v>11.512915129151292</v>
      </c>
      <c r="G17" s="149">
        <v>9.7551157329755114</v>
      </c>
      <c r="H17" s="149">
        <v>15.253270714525327</v>
      </c>
      <c r="I17" s="150">
        <v>42.623280778262327</v>
      </c>
    </row>
    <row r="18" spans="1:9" ht="16.899999999999999" customHeight="1">
      <c r="A18" s="63"/>
      <c r="B18" s="63" t="s">
        <v>137</v>
      </c>
      <c r="C18" s="150">
        <v>100</v>
      </c>
      <c r="D18" s="149">
        <v>27.176689728579028</v>
      </c>
      <c r="E18" s="149">
        <v>3.809207025013305</v>
      </c>
      <c r="F18" s="149">
        <v>10.143693453964875</v>
      </c>
      <c r="G18" s="149">
        <v>7.9723257051623193</v>
      </c>
      <c r="H18" s="149">
        <v>11.438265034592868</v>
      </c>
      <c r="I18" s="150">
        <v>39.4598190526876</v>
      </c>
    </row>
    <row r="19" spans="1:9" ht="16.899999999999999" customHeight="1">
      <c r="A19" s="63"/>
      <c r="B19" s="63" t="s">
        <v>343</v>
      </c>
      <c r="C19" s="150">
        <v>100</v>
      </c>
      <c r="D19" s="149">
        <v>20.081706459498374</v>
      </c>
      <c r="E19" s="149">
        <v>3.6064695442520849</v>
      </c>
      <c r="F19" s="149">
        <v>10.447711214546429</v>
      </c>
      <c r="G19" s="149">
        <v>7.8458292870776543</v>
      </c>
      <c r="H19" s="149">
        <v>11.609684224625791</v>
      </c>
      <c r="I19" s="150">
        <v>46.408599269999669</v>
      </c>
    </row>
    <row r="20" spans="1:9" ht="16.899999999999999" customHeight="1">
      <c r="A20" s="63"/>
      <c r="B20" s="63" t="s">
        <v>344</v>
      </c>
      <c r="C20" s="150">
        <v>100</v>
      </c>
      <c r="D20" s="149">
        <v>23.187213029541713</v>
      </c>
      <c r="E20" s="149">
        <v>3.313696612665685</v>
      </c>
      <c r="F20" s="149">
        <v>8.9101620029455084</v>
      </c>
      <c r="G20" s="149">
        <v>7.1471887724161824</v>
      </c>
      <c r="H20" s="149">
        <v>13.324092523607382</v>
      </c>
      <c r="I20" s="150">
        <v>44.117647058823529</v>
      </c>
    </row>
    <row r="21" spans="1:9" ht="16.899999999999999" customHeight="1">
      <c r="A21" s="63"/>
      <c r="B21" s="63" t="s">
        <v>345</v>
      </c>
      <c r="C21" s="150">
        <v>100</v>
      </c>
      <c r="D21" s="149">
        <v>27.192369362331949</v>
      </c>
      <c r="E21" s="149">
        <v>3.3589606545245241</v>
      </c>
      <c r="F21" s="149">
        <v>8.6995847551700027</v>
      </c>
      <c r="G21" s="149">
        <v>7.2318381778563507</v>
      </c>
      <c r="H21" s="149">
        <v>11.01426633227809</v>
      </c>
      <c r="I21" s="150">
        <v>42.502980717839087</v>
      </c>
    </row>
    <row r="22" spans="1:9" ht="16.899999999999999" customHeight="1">
      <c r="A22" s="63"/>
      <c r="B22" s="63" t="s">
        <v>346</v>
      </c>
      <c r="C22" s="150">
        <v>100</v>
      </c>
      <c r="D22" s="149">
        <v>16.46367072658547</v>
      </c>
      <c r="E22" s="149">
        <v>4.0529189416211677</v>
      </c>
      <c r="F22" s="149">
        <v>9.5128097438051249</v>
      </c>
      <c r="G22" s="149">
        <v>8.0848383032339353</v>
      </c>
      <c r="H22" s="149">
        <v>14.132717345653086</v>
      </c>
      <c r="I22" s="150">
        <v>47.753044939101216</v>
      </c>
    </row>
    <row r="23" spans="1:9" ht="16.899999999999999" customHeight="1">
      <c r="A23" s="63"/>
      <c r="B23" s="63" t="s">
        <v>347</v>
      </c>
      <c r="C23" s="150">
        <v>100</v>
      </c>
      <c r="D23" s="149">
        <v>21.509064184223419</v>
      </c>
      <c r="E23" s="149">
        <v>3.9196472317491424</v>
      </c>
      <c r="F23" s="149">
        <v>8.6232239098481145</v>
      </c>
      <c r="G23" s="149">
        <v>7.3493385595296417</v>
      </c>
      <c r="H23" s="149">
        <v>7.2023517883390493</v>
      </c>
      <c r="I23" s="150">
        <v>51.396374326310635</v>
      </c>
    </row>
    <row r="24" spans="1:9" ht="16.899999999999999" customHeight="1">
      <c r="A24" s="63"/>
      <c r="B24" s="63" t="s">
        <v>247</v>
      </c>
      <c r="C24" s="150">
        <v>100</v>
      </c>
      <c r="D24" s="149">
        <v>24.723756906077348</v>
      </c>
      <c r="E24" s="149">
        <v>2.6588397790055249</v>
      </c>
      <c r="F24" s="149">
        <v>7.0441988950276242</v>
      </c>
      <c r="G24" s="149">
        <v>6.2845303867403324</v>
      </c>
      <c r="H24" s="149">
        <v>9.2196132596685079</v>
      </c>
      <c r="I24" s="150">
        <v>50.069060773480665</v>
      </c>
    </row>
    <row r="25" spans="1:9" ht="16.899999999999999" customHeight="1">
      <c r="A25" s="63"/>
      <c r="B25" s="63" t="s">
        <v>348</v>
      </c>
      <c r="C25" s="150">
        <v>100</v>
      </c>
      <c r="D25" s="149">
        <v>26.723908413205539</v>
      </c>
      <c r="E25" s="149">
        <v>3.2681043663471776</v>
      </c>
      <c r="F25" s="149">
        <v>7.8740681576144835</v>
      </c>
      <c r="G25" s="149">
        <v>6.569488817891374</v>
      </c>
      <c r="H25" s="149">
        <v>9.4182641107561231</v>
      </c>
      <c r="I25" s="150">
        <v>46.1461661341853</v>
      </c>
    </row>
    <row r="26" spans="1:9" ht="16.899999999999999" customHeight="1">
      <c r="A26" s="63"/>
      <c r="B26" s="63" t="s">
        <v>349</v>
      </c>
      <c r="C26" s="150">
        <v>100</v>
      </c>
      <c r="D26" s="149">
        <v>27.117870722433462</v>
      </c>
      <c r="E26" s="149">
        <v>2.1901140684410647</v>
      </c>
      <c r="F26" s="149">
        <v>7.3916349809885933</v>
      </c>
      <c r="G26" s="149">
        <v>5.3992395437262353</v>
      </c>
      <c r="H26" s="149">
        <v>9.5057034220532319</v>
      </c>
      <c r="I26" s="150">
        <v>48.395437262357419</v>
      </c>
    </row>
    <row r="27" spans="1:9" ht="16.899999999999999" customHeight="1">
      <c r="A27" s="63"/>
      <c r="B27" s="63" t="s">
        <v>350</v>
      </c>
      <c r="C27" s="150">
        <v>100</v>
      </c>
      <c r="D27" s="149">
        <v>24.632914366263361</v>
      </c>
      <c r="E27" s="149">
        <v>2.5138024198284978</v>
      </c>
      <c r="F27" s="149">
        <v>8.4576530012921403</v>
      </c>
      <c r="G27" s="149">
        <v>6.9540702455068715</v>
      </c>
      <c r="H27" s="149">
        <v>11.359097850346529</v>
      </c>
      <c r="I27" s="150">
        <v>46.082462116762599</v>
      </c>
    </row>
    <row r="28" spans="1:9" ht="16.899999999999999" customHeight="1">
      <c r="A28" s="63"/>
      <c r="B28" s="63" t="s">
        <v>351</v>
      </c>
      <c r="C28" s="150">
        <v>100</v>
      </c>
      <c r="D28" s="149">
        <v>21.193600575229194</v>
      </c>
      <c r="E28" s="149">
        <v>3.7929174905626457</v>
      </c>
      <c r="F28" s="149">
        <v>9.3654502966025532</v>
      </c>
      <c r="G28" s="149">
        <v>7.747618191623225</v>
      </c>
      <c r="H28" s="149">
        <v>10.066510875426928</v>
      </c>
      <c r="I28" s="150">
        <v>47.833902570555452</v>
      </c>
    </row>
    <row r="29" spans="1:9" ht="16.899999999999999" customHeight="1">
      <c r="A29" s="63"/>
      <c r="B29" s="63" t="s">
        <v>250</v>
      </c>
      <c r="C29" s="150">
        <v>100</v>
      </c>
      <c r="D29" s="149">
        <v>26.876245295550145</v>
      </c>
      <c r="E29" s="149">
        <v>2.7230462696479965</v>
      </c>
      <c r="F29" s="149">
        <v>7.8370599955722824</v>
      </c>
      <c r="G29" s="149">
        <v>7.9920301084790788</v>
      </c>
      <c r="H29" s="149">
        <v>11.976975868939562</v>
      </c>
      <c r="I29" s="150">
        <v>42.594642461810942</v>
      </c>
    </row>
    <row r="30" spans="1:9" ht="16.899999999999999" customHeight="1">
      <c r="A30" s="63"/>
      <c r="B30" s="63" t="s">
        <v>315</v>
      </c>
      <c r="C30" s="150">
        <v>100</v>
      </c>
      <c r="D30" s="149">
        <v>17.303822937625753</v>
      </c>
      <c r="E30" s="149">
        <v>5.2984574111334677</v>
      </c>
      <c r="F30" s="149">
        <v>12.977867203219315</v>
      </c>
      <c r="G30" s="149">
        <v>4.2924211938296448</v>
      </c>
      <c r="H30" s="149">
        <v>10.496311200536553</v>
      </c>
      <c r="I30" s="150">
        <v>49.631120053655266</v>
      </c>
    </row>
    <row r="31" spans="1:9" ht="16.899999999999999" customHeight="1">
      <c r="A31" s="63"/>
      <c r="B31" s="63" t="s">
        <v>352</v>
      </c>
      <c r="C31" s="150">
        <v>100</v>
      </c>
      <c r="D31" s="149">
        <v>34.442291128337637</v>
      </c>
      <c r="E31" s="149">
        <v>2.4278639104220496</v>
      </c>
      <c r="F31" s="149">
        <v>7.0736434108527133</v>
      </c>
      <c r="G31" s="149">
        <v>6.0723514211886309</v>
      </c>
      <c r="H31" s="149">
        <v>9.4476744186046506</v>
      </c>
      <c r="I31" s="150">
        <v>40.536175710594314</v>
      </c>
    </row>
    <row r="32" spans="1:9" ht="16.899999999999999" customHeight="1">
      <c r="A32" s="63"/>
      <c r="B32" s="63" t="s">
        <v>5</v>
      </c>
      <c r="C32" s="150">
        <v>100</v>
      </c>
      <c r="D32" s="149">
        <v>33.442170947612823</v>
      </c>
      <c r="E32" s="149">
        <v>2.3871716731969235</v>
      </c>
      <c r="F32" s="149">
        <v>6.2400232186910465</v>
      </c>
      <c r="G32" s="149">
        <v>6.1239297634595857</v>
      </c>
      <c r="H32" s="149">
        <v>9.1568712813815125</v>
      </c>
      <c r="I32" s="150">
        <v>42.649833115658105</v>
      </c>
    </row>
    <row r="33" spans="1:9" ht="16.899999999999999" customHeight="1">
      <c r="A33" s="63"/>
      <c r="B33" s="63" t="s">
        <v>304</v>
      </c>
      <c r="C33" s="150">
        <v>100</v>
      </c>
      <c r="D33" s="149">
        <v>31.659797677032596</v>
      </c>
      <c r="E33" s="149">
        <v>8.8797302360434625</v>
      </c>
      <c r="F33" s="149">
        <v>9.5166729112026971</v>
      </c>
      <c r="G33" s="149">
        <v>5.3203446983889098</v>
      </c>
      <c r="H33" s="149">
        <v>7.8681153990258519</v>
      </c>
      <c r="I33" s="150">
        <v>36.755339078306484</v>
      </c>
    </row>
    <row r="34" spans="1:9" ht="16.899999999999999" customHeight="1">
      <c r="A34" s="135"/>
      <c r="B34" s="135"/>
      <c r="C34" s="30"/>
      <c r="D34" s="285"/>
      <c r="E34" s="285"/>
      <c r="F34" s="285"/>
      <c r="G34" s="285"/>
      <c r="H34" s="285"/>
      <c r="I34" s="292"/>
    </row>
  </sheetData>
  <mergeCells count="9">
    <mergeCell ref="C3:I3"/>
    <mergeCell ref="A3:B6"/>
    <mergeCell ref="C4:C6"/>
    <mergeCell ref="D4:D6"/>
    <mergeCell ref="E4:E6"/>
    <mergeCell ref="F4:F6"/>
    <mergeCell ref="G4:G6"/>
    <mergeCell ref="H4:H6"/>
    <mergeCell ref="I4:I6"/>
  </mergeCells>
  <phoneticPr fontId="8"/>
  <conditionalFormatting sqref="J3:XFD6 A2:XFD2 A7:XFD7 C8:XFD8 A8 C3 A3 A9:XFD1048576 C1:XFD1 A1">
    <cfRule type="cellIs" dxfId="5" priority="3" operator="equal">
      <formula>0</formula>
    </cfRule>
  </conditionalFormatting>
  <conditionalFormatting sqref="E4:I5">
    <cfRule type="cellIs" dxfId="4" priority="2" operator="equal">
      <formula>0</formula>
    </cfRule>
  </conditionalFormatting>
  <conditionalFormatting sqref="D4:D5">
    <cfRule type="cellIs" dxfId="3" priority="1" operator="equal">
      <formula>0</formula>
    </cfRule>
  </conditionalFormatting>
  <hyperlinks>
    <hyperlink ref="K3" location="目次!A39"/>
  </hyperlinks>
  <printOptions horizontalCentered="1"/>
  <pageMargins left="0.39370078740157483" right="0.39370078740157483" top="0.39370078740157483" bottom="0.39370078740157483" header="0.19685039370078741" footer="0.19685039370078741"/>
  <pageSetup paperSize="9"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dimension ref="A1:U30"/>
  <sheetViews>
    <sheetView showGridLines="0" zoomScaleSheetLayoutView="100" workbookViewId="0">
      <selection activeCell="B1" sqref="B1"/>
    </sheetView>
  </sheetViews>
  <sheetFormatPr defaultRowHeight="13.5"/>
  <cols>
    <col min="1" max="1" width="3.625" style="6" customWidth="1"/>
    <col min="2" max="2" width="10.625" style="6" customWidth="1"/>
    <col min="3" max="3" width="7.125" style="6" customWidth="1"/>
    <col min="4" max="4" width="10.625" style="6" customWidth="1"/>
    <col min="5" max="5" width="5.625" style="6" customWidth="1"/>
    <col min="6" max="6" width="10.625" style="6" customWidth="1"/>
    <col min="7" max="7" width="5.625" style="6" customWidth="1"/>
    <col min="8" max="8" width="10.625" style="6" customWidth="1"/>
    <col min="9" max="9" width="5.625" style="6" customWidth="1"/>
    <col min="10" max="10" width="1.625" style="6" customWidth="1"/>
    <col min="11" max="11" width="3.625" style="6" customWidth="1"/>
    <col min="12" max="12" width="10.625" style="6" customWidth="1"/>
    <col min="13" max="13" width="6.625" style="6" customWidth="1"/>
    <col min="14" max="14" width="10.625" style="6" customWidth="1"/>
    <col min="15" max="15" width="5.625" style="6" customWidth="1"/>
    <col min="16" max="16" width="10.625" style="6" customWidth="1"/>
    <col min="17" max="17" width="5.625" style="6" customWidth="1"/>
    <col min="18" max="18" width="10.625" style="6" customWidth="1"/>
    <col min="19" max="19" width="5.625" style="6" customWidth="1"/>
    <col min="20" max="16384" width="9" style="6" customWidth="1"/>
  </cols>
  <sheetData>
    <row r="1" spans="1:21" ht="13.35" customHeight="1">
      <c r="A1" s="42" t="s">
        <v>336</v>
      </c>
    </row>
    <row r="2" spans="1:21" ht="13.35" customHeight="1"/>
    <row r="3" spans="1:21" ht="22.5" customHeight="1">
      <c r="A3" s="62" t="s">
        <v>273</v>
      </c>
      <c r="B3" s="124"/>
      <c r="C3" s="62" t="s">
        <v>404</v>
      </c>
      <c r="D3" s="102" t="s">
        <v>246</v>
      </c>
      <c r="E3" s="83"/>
      <c r="F3" s="83"/>
      <c r="G3" s="83"/>
      <c r="H3" s="83"/>
      <c r="I3" s="83"/>
      <c r="K3" s="62" t="s">
        <v>358</v>
      </c>
      <c r="L3" s="124"/>
      <c r="M3" s="62" t="s">
        <v>366</v>
      </c>
      <c r="N3" s="102" t="s">
        <v>359</v>
      </c>
      <c r="O3" s="83"/>
      <c r="P3" s="83"/>
      <c r="Q3" s="83"/>
      <c r="R3" s="83"/>
      <c r="S3" s="83"/>
      <c r="U3" s="146" t="s">
        <v>118</v>
      </c>
    </row>
    <row r="4" spans="1:21" ht="22.5" customHeight="1">
      <c r="A4" s="119"/>
      <c r="B4" s="125"/>
      <c r="C4" s="46"/>
      <c r="D4" s="24" t="s">
        <v>155</v>
      </c>
      <c r="E4" s="298"/>
      <c r="F4" s="24" t="s">
        <v>102</v>
      </c>
      <c r="G4" s="298"/>
      <c r="H4" s="303" t="s">
        <v>249</v>
      </c>
      <c r="I4" s="303"/>
      <c r="K4" s="119"/>
      <c r="L4" s="125"/>
      <c r="M4" s="46"/>
      <c r="N4" s="310" t="s">
        <v>155</v>
      </c>
      <c r="O4" s="303"/>
      <c r="P4" s="24" t="s">
        <v>102</v>
      </c>
      <c r="Q4" s="298"/>
      <c r="R4" s="303" t="s">
        <v>249</v>
      </c>
      <c r="S4" s="303"/>
    </row>
    <row r="5" spans="1:21" ht="18.600000000000001" customHeight="1">
      <c r="A5" s="47" t="s">
        <v>16</v>
      </c>
      <c r="B5" s="197" t="s">
        <v>337</v>
      </c>
      <c r="C5" s="63">
        <v>1697</v>
      </c>
      <c r="D5" s="25" t="s">
        <v>305</v>
      </c>
      <c r="E5" s="147">
        <f>502/1697*100</f>
        <v>29.581614614024748</v>
      </c>
      <c r="F5" s="25" t="s">
        <v>324</v>
      </c>
      <c r="G5" s="147">
        <f>252/1697*100</f>
        <v>14.849734826163818</v>
      </c>
      <c r="H5" s="7" t="s">
        <v>326</v>
      </c>
      <c r="I5" s="306">
        <f>187/1697*100</f>
        <v>11.019446081319977</v>
      </c>
      <c r="K5" s="47" t="s">
        <v>16</v>
      </c>
      <c r="L5" s="197" t="s">
        <v>337</v>
      </c>
      <c r="M5" s="63">
        <v>1942</v>
      </c>
      <c r="N5" s="25" t="s">
        <v>305</v>
      </c>
      <c r="O5" s="306">
        <f>897/1942*100</f>
        <v>46.189495365602475</v>
      </c>
      <c r="P5" s="25" t="s">
        <v>324</v>
      </c>
      <c r="Q5" s="147">
        <f>237/1942*100</f>
        <v>12.203913491246137</v>
      </c>
      <c r="R5" s="63" t="s">
        <v>38</v>
      </c>
      <c r="S5" s="306">
        <f>155/1942*100</f>
        <v>7.9814624098867153</v>
      </c>
    </row>
    <row r="6" spans="1:21" ht="18.600000000000001" customHeight="1">
      <c r="A6" s="47"/>
      <c r="B6" s="294" t="s">
        <v>130</v>
      </c>
      <c r="C6" s="295">
        <v>1847</v>
      </c>
      <c r="D6" s="27" t="s">
        <v>305</v>
      </c>
      <c r="E6" s="299">
        <f>595/1847*100</f>
        <v>32.214401732539258</v>
      </c>
      <c r="F6" s="27" t="s">
        <v>312</v>
      </c>
      <c r="G6" s="299">
        <f>279/1847*100</f>
        <v>15.105576610720087</v>
      </c>
      <c r="H6" s="295" t="s">
        <v>319</v>
      </c>
      <c r="I6" s="307">
        <f>273/1847*100</f>
        <v>14.780725500812128</v>
      </c>
      <c r="K6" s="47"/>
      <c r="L6" s="294" t="s">
        <v>130</v>
      </c>
      <c r="M6" s="295">
        <v>1937</v>
      </c>
      <c r="N6" s="27" t="s">
        <v>305</v>
      </c>
      <c r="O6" s="307">
        <f>962/1937*100</f>
        <v>49.664429530201346</v>
      </c>
      <c r="P6" s="27" t="s">
        <v>319</v>
      </c>
      <c r="Q6" s="299">
        <f>218/1937*100</f>
        <v>11.254517294785751</v>
      </c>
      <c r="R6" s="295" t="s">
        <v>253</v>
      </c>
      <c r="S6" s="307">
        <f>169/1937*100</f>
        <v>8.724832214765101</v>
      </c>
    </row>
    <row r="7" spans="1:21" ht="18.600000000000001" customHeight="1">
      <c r="A7" s="47"/>
      <c r="B7" s="294" t="s">
        <v>59</v>
      </c>
      <c r="C7" s="295">
        <v>564</v>
      </c>
      <c r="D7" s="27" t="s">
        <v>305</v>
      </c>
      <c r="E7" s="299">
        <f>154/564*100</f>
        <v>27.304964539007091</v>
      </c>
      <c r="F7" s="27" t="s">
        <v>38</v>
      </c>
      <c r="G7" s="299">
        <f>116/564*100</f>
        <v>20.567375886524822</v>
      </c>
      <c r="H7" s="295" t="s">
        <v>310</v>
      </c>
      <c r="I7" s="307">
        <f>93/564*100</f>
        <v>16.48936170212766</v>
      </c>
      <c r="K7" s="47"/>
      <c r="L7" s="294" t="s">
        <v>59</v>
      </c>
      <c r="M7" s="295">
        <v>897</v>
      </c>
      <c r="N7" s="27" t="s">
        <v>305</v>
      </c>
      <c r="O7" s="307">
        <f>287/897*100</f>
        <v>31.995540691192865</v>
      </c>
      <c r="P7" s="27" t="s">
        <v>38</v>
      </c>
      <c r="Q7" s="299">
        <f>279/897*100</f>
        <v>31.103678929765888</v>
      </c>
      <c r="R7" s="295" t="s">
        <v>310</v>
      </c>
      <c r="S7" s="307">
        <f>83/897*100</f>
        <v>9.2530657748049059</v>
      </c>
    </row>
    <row r="8" spans="1:21" ht="18.600000000000001" customHeight="1">
      <c r="A8" s="47"/>
      <c r="B8" s="294" t="s">
        <v>343</v>
      </c>
      <c r="C8" s="295">
        <v>858</v>
      </c>
      <c r="D8" s="27" t="s">
        <v>305</v>
      </c>
      <c r="E8" s="299">
        <f>300/858*100</f>
        <v>34.965034965034967</v>
      </c>
      <c r="F8" s="27" t="s">
        <v>38</v>
      </c>
      <c r="G8" s="299">
        <f>218/858*100</f>
        <v>25.407925407925408</v>
      </c>
      <c r="H8" s="295" t="s">
        <v>253</v>
      </c>
      <c r="I8" s="307">
        <f>100/858*100</f>
        <v>11.655011655011654</v>
      </c>
      <c r="K8" s="47"/>
      <c r="L8" s="294" t="s">
        <v>343</v>
      </c>
      <c r="M8" s="295">
        <v>1147</v>
      </c>
      <c r="N8" s="27" t="s">
        <v>305</v>
      </c>
      <c r="O8" s="307">
        <f>447/1147*100</f>
        <v>38.971229293809941</v>
      </c>
      <c r="P8" s="27" t="s">
        <v>38</v>
      </c>
      <c r="Q8" s="299">
        <f>273/1147*100</f>
        <v>23.801220575414124</v>
      </c>
      <c r="R8" s="295" t="s">
        <v>253</v>
      </c>
      <c r="S8" s="307">
        <f>111/1147*100</f>
        <v>9.67741935483871</v>
      </c>
    </row>
    <row r="9" spans="1:21" ht="18.600000000000001" customHeight="1">
      <c r="A9" s="47"/>
      <c r="B9" s="294" t="s">
        <v>346</v>
      </c>
      <c r="C9" s="295">
        <v>159</v>
      </c>
      <c r="D9" s="27" t="s">
        <v>312</v>
      </c>
      <c r="E9" s="299">
        <f>83/159*100</f>
        <v>52.20125786163522</v>
      </c>
      <c r="F9" s="27" t="s">
        <v>38</v>
      </c>
      <c r="G9" s="299">
        <f>47/159*100</f>
        <v>29.559748427672954</v>
      </c>
      <c r="H9" s="295" t="s">
        <v>305</v>
      </c>
      <c r="I9" s="307">
        <f>11/159*100</f>
        <v>6.9182389937106921</v>
      </c>
      <c r="K9" s="47"/>
      <c r="L9" s="294" t="s">
        <v>346</v>
      </c>
      <c r="M9" s="295">
        <v>248</v>
      </c>
      <c r="N9" s="27" t="s">
        <v>312</v>
      </c>
      <c r="O9" s="307">
        <f>93/248*100</f>
        <v>37.5</v>
      </c>
      <c r="P9" s="27" t="s">
        <v>38</v>
      </c>
      <c r="Q9" s="299">
        <f>88/248*100</f>
        <v>35.483870967741936</v>
      </c>
      <c r="R9" s="295" t="s">
        <v>305</v>
      </c>
      <c r="S9" s="307">
        <f>36/248*100</f>
        <v>14.516129032258066</v>
      </c>
    </row>
    <row r="10" spans="1:21" ht="27">
      <c r="A10" s="47"/>
      <c r="B10" s="294" t="s">
        <v>347</v>
      </c>
      <c r="C10" s="295">
        <v>68</v>
      </c>
      <c r="D10" s="27" t="s">
        <v>319</v>
      </c>
      <c r="E10" s="299">
        <f>46/68*100</f>
        <v>67.64705882352942</v>
      </c>
      <c r="F10" s="302" t="s">
        <v>357</v>
      </c>
      <c r="G10" s="299">
        <f>6/68*100</f>
        <v>8.8235294117647065</v>
      </c>
      <c r="H10" s="295" t="s">
        <v>305</v>
      </c>
      <c r="I10" s="307">
        <f>4/68*100</f>
        <v>5.8823529411764701</v>
      </c>
      <c r="K10" s="47"/>
      <c r="L10" s="294" t="s">
        <v>347</v>
      </c>
      <c r="M10" s="295">
        <v>118</v>
      </c>
      <c r="N10" s="27" t="s">
        <v>305</v>
      </c>
      <c r="O10" s="307">
        <f>36/118*100</f>
        <v>30.508474576271187</v>
      </c>
      <c r="P10" s="27" t="s">
        <v>319</v>
      </c>
      <c r="Q10" s="299">
        <f>32/118*100</f>
        <v>27.118644067796609</v>
      </c>
      <c r="R10" s="295" t="s">
        <v>38</v>
      </c>
      <c r="S10" s="307">
        <f>12/118*100</f>
        <v>10.16949152542373</v>
      </c>
    </row>
    <row r="11" spans="1:21" ht="18" customHeight="1">
      <c r="A11" s="47"/>
      <c r="B11" s="294" t="s">
        <v>247</v>
      </c>
      <c r="C11" s="295">
        <v>70</v>
      </c>
      <c r="D11" s="27" t="s">
        <v>253</v>
      </c>
      <c r="E11" s="299">
        <f>29/70*100</f>
        <v>41.428571428571431</v>
      </c>
      <c r="F11" s="27" t="s">
        <v>305</v>
      </c>
      <c r="G11" s="299">
        <f>18/70*100</f>
        <v>25.714285714285712</v>
      </c>
      <c r="H11" s="304" t="s">
        <v>235</v>
      </c>
      <c r="I11" s="307">
        <f>4/70*100</f>
        <v>5.7142857142857144</v>
      </c>
      <c r="K11" s="47"/>
      <c r="L11" s="294" t="s">
        <v>247</v>
      </c>
      <c r="M11" s="295">
        <v>186</v>
      </c>
      <c r="N11" s="27" t="s">
        <v>253</v>
      </c>
      <c r="O11" s="307">
        <f>92/186*100</f>
        <v>49.462365591397848</v>
      </c>
      <c r="P11" s="27" t="s">
        <v>305</v>
      </c>
      <c r="Q11" s="299">
        <f>21/186*100</f>
        <v>11.29032258064516</v>
      </c>
      <c r="R11" s="295" t="s">
        <v>319</v>
      </c>
      <c r="S11" s="307">
        <f>20/186*100</f>
        <v>10.75268817204301</v>
      </c>
    </row>
    <row r="12" spans="1:21" ht="18.600000000000001" customHeight="1">
      <c r="A12" s="47"/>
      <c r="B12" s="294" t="s">
        <v>348</v>
      </c>
      <c r="C12" s="295">
        <v>459</v>
      </c>
      <c r="D12" s="27" t="s">
        <v>253</v>
      </c>
      <c r="E12" s="299">
        <f>237/459*100</f>
        <v>51.633986928104584</v>
      </c>
      <c r="F12" s="27" t="s">
        <v>305</v>
      </c>
      <c r="G12" s="299">
        <f>78/459*100</f>
        <v>16.993464052287582</v>
      </c>
      <c r="H12" s="295" t="s">
        <v>326</v>
      </c>
      <c r="I12" s="307">
        <f>18/459*100</f>
        <v>3.9215686274509802</v>
      </c>
      <c r="K12" s="47"/>
      <c r="L12" s="294" t="s">
        <v>348</v>
      </c>
      <c r="M12" s="295">
        <v>671</v>
      </c>
      <c r="N12" s="27" t="s">
        <v>253</v>
      </c>
      <c r="O12" s="307">
        <f>252/671*100</f>
        <v>37.555886736214603</v>
      </c>
      <c r="P12" s="27" t="s">
        <v>305</v>
      </c>
      <c r="Q12" s="299">
        <f>193/671*100</f>
        <v>28.763040238450078</v>
      </c>
      <c r="R12" s="295" t="s">
        <v>314</v>
      </c>
      <c r="S12" s="307">
        <f>55/671*100</f>
        <v>8.1967213114754092</v>
      </c>
    </row>
    <row r="13" spans="1:21" ht="27">
      <c r="A13" s="48"/>
      <c r="B13" s="186" t="s">
        <v>349</v>
      </c>
      <c r="C13" s="135">
        <v>120</v>
      </c>
      <c r="D13" s="30" t="s">
        <v>253</v>
      </c>
      <c r="E13" s="300">
        <f>76/120*100</f>
        <v>63.333333333333329</v>
      </c>
      <c r="F13" s="30" t="s">
        <v>305</v>
      </c>
      <c r="G13" s="300">
        <f>26/120*100</f>
        <v>21.666666666666668</v>
      </c>
      <c r="H13" s="305" t="s">
        <v>259</v>
      </c>
      <c r="I13" s="308">
        <f>5/120*100</f>
        <v>4.1666666666666661</v>
      </c>
      <c r="K13" s="48"/>
      <c r="L13" s="186" t="s">
        <v>349</v>
      </c>
      <c r="M13" s="135">
        <v>300</v>
      </c>
      <c r="N13" s="30" t="s">
        <v>253</v>
      </c>
      <c r="O13" s="308">
        <f>187/300*100</f>
        <v>62.333333333333329</v>
      </c>
      <c r="P13" s="30" t="s">
        <v>305</v>
      </c>
      <c r="Q13" s="300">
        <f>61/300*100</f>
        <v>20.333333333333332</v>
      </c>
      <c r="R13" s="135" t="s">
        <v>324</v>
      </c>
      <c r="S13" s="308">
        <f>18/300*100</f>
        <v>6</v>
      </c>
    </row>
    <row r="14" spans="1:21" ht="18.600000000000001" customHeight="1">
      <c r="A14" s="49" t="s">
        <v>6</v>
      </c>
      <c r="B14" s="263" t="s">
        <v>115</v>
      </c>
      <c r="C14" s="63">
        <v>10474</v>
      </c>
      <c r="D14" s="25" t="s">
        <v>313</v>
      </c>
      <c r="E14" s="147">
        <f>1302/10474*100</f>
        <v>12.430780981477946</v>
      </c>
      <c r="F14" s="25" t="s">
        <v>317</v>
      </c>
      <c r="G14" s="147">
        <f>1295/10474*100</f>
        <v>12.363948825663549</v>
      </c>
      <c r="H14" s="7" t="s">
        <v>308</v>
      </c>
      <c r="I14" s="306">
        <f>1128/10474*100</f>
        <v>10.769524536948635</v>
      </c>
      <c r="K14" s="49" t="s">
        <v>6</v>
      </c>
      <c r="L14" s="263" t="s">
        <v>115</v>
      </c>
      <c r="M14" s="296">
        <v>6227</v>
      </c>
      <c r="N14" s="297" t="s">
        <v>314</v>
      </c>
      <c r="O14" s="309">
        <f>991/6227*100</f>
        <v>15.9145656014132</v>
      </c>
      <c r="P14" s="297" t="s">
        <v>313</v>
      </c>
      <c r="Q14" s="301">
        <f>859/6227*100</f>
        <v>13.794764734221937</v>
      </c>
      <c r="R14" s="296" t="s">
        <v>317</v>
      </c>
      <c r="S14" s="309">
        <f>825/6227*100</f>
        <v>13.248755419945399</v>
      </c>
    </row>
    <row r="15" spans="1:21" ht="27" customHeight="1">
      <c r="A15" s="47"/>
      <c r="B15" s="294" t="s">
        <v>339</v>
      </c>
      <c r="C15" s="295">
        <v>542</v>
      </c>
      <c r="D15" s="27" t="s">
        <v>305</v>
      </c>
      <c r="E15" s="299">
        <f>264/542*100</f>
        <v>48.708487084870846</v>
      </c>
      <c r="F15" s="27" t="s">
        <v>314</v>
      </c>
      <c r="G15" s="299">
        <f>123/542*100</f>
        <v>22.693726937269375</v>
      </c>
      <c r="H15" s="304" t="s">
        <v>357</v>
      </c>
      <c r="I15" s="307">
        <f>19/542*100</f>
        <v>3.5055350553505531</v>
      </c>
      <c r="K15" s="47"/>
      <c r="L15" s="294" t="s">
        <v>339</v>
      </c>
      <c r="M15" s="295">
        <v>1456</v>
      </c>
      <c r="N15" s="27" t="s">
        <v>305</v>
      </c>
      <c r="O15" s="307">
        <f>754/1456*100</f>
        <v>51.785714285714292</v>
      </c>
      <c r="P15" s="27" t="s">
        <v>314</v>
      </c>
      <c r="Q15" s="299">
        <f>443/1456*100</f>
        <v>30.425824175824172</v>
      </c>
      <c r="R15" s="295" t="s">
        <v>201</v>
      </c>
      <c r="S15" s="307">
        <f>37/1456*100</f>
        <v>2.5412087912087911</v>
      </c>
    </row>
    <row r="16" spans="1:21" ht="18.600000000000001" customHeight="1">
      <c r="A16" s="47"/>
      <c r="B16" s="294" t="s">
        <v>341</v>
      </c>
      <c r="C16" s="295">
        <v>2151</v>
      </c>
      <c r="D16" s="27" t="s">
        <v>305</v>
      </c>
      <c r="E16" s="299">
        <f>859/2151*100</f>
        <v>39.934913993491399</v>
      </c>
      <c r="F16" s="27" t="s">
        <v>320</v>
      </c>
      <c r="G16" s="299">
        <f>417/2151*100</f>
        <v>19.386331938633194</v>
      </c>
      <c r="H16" s="295" t="s">
        <v>317</v>
      </c>
      <c r="I16" s="307">
        <f>157/2151*100</f>
        <v>7.2989307298930735</v>
      </c>
      <c r="K16" s="47"/>
      <c r="L16" s="294" t="s">
        <v>341</v>
      </c>
      <c r="M16" s="295">
        <v>2204</v>
      </c>
      <c r="N16" s="27" t="s">
        <v>305</v>
      </c>
      <c r="O16" s="307">
        <f>1302/2204*100</f>
        <v>59.074410163339387</v>
      </c>
      <c r="P16" s="27" t="s">
        <v>320</v>
      </c>
      <c r="Q16" s="299">
        <f>251/2204*100</f>
        <v>11.388384754990925</v>
      </c>
      <c r="R16" s="295" t="s">
        <v>308</v>
      </c>
      <c r="S16" s="307">
        <f>151/2204*100</f>
        <v>6.8511796733212336</v>
      </c>
    </row>
    <row r="17" spans="1:19" ht="18.600000000000001" customHeight="1">
      <c r="A17" s="47"/>
      <c r="B17" s="294" t="s">
        <v>342</v>
      </c>
      <c r="C17" s="295">
        <v>2073</v>
      </c>
      <c r="D17" s="27" t="s">
        <v>305</v>
      </c>
      <c r="E17" s="299">
        <f>991/2073*100</f>
        <v>47.805113362276892</v>
      </c>
      <c r="F17" s="27" t="s">
        <v>235</v>
      </c>
      <c r="G17" s="299">
        <f>443/2073*100</f>
        <v>21.369995176073324</v>
      </c>
      <c r="H17" s="295" t="s">
        <v>281</v>
      </c>
      <c r="I17" s="307">
        <f>100/2073*100</f>
        <v>4.8239266763145201</v>
      </c>
      <c r="K17" s="47"/>
      <c r="L17" s="294" t="s">
        <v>342</v>
      </c>
      <c r="M17" s="295">
        <v>1543</v>
      </c>
      <c r="N17" s="27" t="s">
        <v>305</v>
      </c>
      <c r="O17" s="307">
        <f>989/1543*100</f>
        <v>64.095917044718092</v>
      </c>
      <c r="P17" s="27" t="s">
        <v>235</v>
      </c>
      <c r="Q17" s="299">
        <f>123/1543*100</f>
        <v>7.9714841218405708</v>
      </c>
      <c r="R17" s="295" t="s">
        <v>313</v>
      </c>
      <c r="S17" s="307">
        <f>63/1543*100</f>
        <v>4.0829552819183403</v>
      </c>
    </row>
    <row r="18" spans="1:19" ht="18.600000000000001" customHeight="1">
      <c r="A18" s="47"/>
      <c r="B18" s="294" t="s">
        <v>344</v>
      </c>
      <c r="C18" s="295">
        <v>501</v>
      </c>
      <c r="D18" s="27" t="s">
        <v>313</v>
      </c>
      <c r="E18" s="299">
        <f>251/501*100</f>
        <v>50.099800399201598</v>
      </c>
      <c r="F18" s="27" t="s">
        <v>305</v>
      </c>
      <c r="G18" s="299">
        <f>145/501*100</f>
        <v>28.942115768463072</v>
      </c>
      <c r="H18" s="295" t="s">
        <v>317</v>
      </c>
      <c r="I18" s="307">
        <f>23/501*100</f>
        <v>4.5908183632734527</v>
      </c>
      <c r="K18" s="47"/>
      <c r="L18" s="294" t="s">
        <v>344</v>
      </c>
      <c r="M18" s="295">
        <v>840</v>
      </c>
      <c r="N18" s="27" t="s">
        <v>313</v>
      </c>
      <c r="O18" s="307">
        <f>417/840*100</f>
        <v>49.642857142857146</v>
      </c>
      <c r="P18" s="27" t="s">
        <v>305</v>
      </c>
      <c r="Q18" s="299">
        <f>307/840*100</f>
        <v>36.547619047619044</v>
      </c>
      <c r="R18" s="295" t="s">
        <v>308</v>
      </c>
      <c r="S18" s="307">
        <f>24/840*100</f>
        <v>2.8571428571428572</v>
      </c>
    </row>
    <row r="19" spans="1:19" ht="18.600000000000001" customHeight="1">
      <c r="A19" s="47"/>
      <c r="B19" s="294" t="s">
        <v>350</v>
      </c>
      <c r="C19" s="295">
        <v>328</v>
      </c>
      <c r="D19" s="27" t="s">
        <v>305</v>
      </c>
      <c r="E19" s="299">
        <f>103/328*100</f>
        <v>31.402439024390244</v>
      </c>
      <c r="F19" s="27" t="s">
        <v>314</v>
      </c>
      <c r="G19" s="299">
        <f>43/328*100</f>
        <v>13.109756097560975</v>
      </c>
      <c r="H19" s="295" t="s">
        <v>327</v>
      </c>
      <c r="I19" s="307">
        <f>31/328*100</f>
        <v>9.4512195121951219</v>
      </c>
      <c r="K19" s="47"/>
      <c r="L19" s="294" t="s">
        <v>350</v>
      </c>
      <c r="M19" s="295">
        <v>545</v>
      </c>
      <c r="N19" s="27" t="s">
        <v>305</v>
      </c>
      <c r="O19" s="307">
        <f>215/545*100</f>
        <v>39.449541284403672</v>
      </c>
      <c r="P19" s="27" t="s">
        <v>314</v>
      </c>
      <c r="Q19" s="299">
        <f>100/545*100</f>
        <v>18.348623853211009</v>
      </c>
      <c r="R19" s="295" t="s">
        <v>327</v>
      </c>
      <c r="S19" s="307">
        <f>92/545*100</f>
        <v>16.88073394495413</v>
      </c>
    </row>
    <row r="20" spans="1:19" ht="18.600000000000001" customHeight="1">
      <c r="A20" s="47"/>
      <c r="B20" s="294" t="s">
        <v>351</v>
      </c>
      <c r="C20" s="295">
        <v>288</v>
      </c>
      <c r="D20" s="27" t="s">
        <v>281</v>
      </c>
      <c r="E20" s="299">
        <f>92/288*100</f>
        <v>31.944444444444443</v>
      </c>
      <c r="F20" s="27" t="s">
        <v>305</v>
      </c>
      <c r="G20" s="299">
        <f>75/288*100</f>
        <v>26.041666666666668</v>
      </c>
      <c r="H20" s="295" t="s">
        <v>314</v>
      </c>
      <c r="I20" s="307">
        <f>36/288*100</f>
        <v>12.5</v>
      </c>
      <c r="K20" s="47"/>
      <c r="L20" s="294" t="s">
        <v>351</v>
      </c>
      <c r="M20" s="295">
        <v>343</v>
      </c>
      <c r="N20" s="27" t="s">
        <v>305</v>
      </c>
      <c r="O20" s="307">
        <f>140/343*100</f>
        <v>40.816326530612244</v>
      </c>
      <c r="P20" s="27" t="s">
        <v>314</v>
      </c>
      <c r="Q20" s="299">
        <f>84/343*100</f>
        <v>24.489795918367346</v>
      </c>
      <c r="R20" s="295" t="s">
        <v>281</v>
      </c>
      <c r="S20" s="307">
        <f>31/343*100</f>
        <v>9.037900874635568</v>
      </c>
    </row>
    <row r="21" spans="1:19" ht="18.600000000000001" customHeight="1">
      <c r="A21" s="47"/>
      <c r="B21" s="294" t="s">
        <v>250</v>
      </c>
      <c r="C21" s="295">
        <v>195</v>
      </c>
      <c r="D21" s="27" t="s">
        <v>305</v>
      </c>
      <c r="E21" s="299">
        <f>52/195*100</f>
        <v>26.666666666666668</v>
      </c>
      <c r="F21" s="27" t="s">
        <v>314</v>
      </c>
      <c r="G21" s="299">
        <f>51/195*100</f>
        <v>26.153846153846157</v>
      </c>
      <c r="H21" s="295" t="s">
        <v>281</v>
      </c>
      <c r="I21" s="307">
        <f>40/195*100</f>
        <v>20.512820512820511</v>
      </c>
      <c r="K21" s="47"/>
      <c r="L21" s="294" t="s">
        <v>250</v>
      </c>
      <c r="M21" s="295">
        <v>247</v>
      </c>
      <c r="N21" s="27" t="s">
        <v>305</v>
      </c>
      <c r="O21" s="307">
        <f>105/247*100</f>
        <v>42.51012145748988</v>
      </c>
      <c r="P21" s="27" t="s">
        <v>314</v>
      </c>
      <c r="Q21" s="299">
        <f>79/247*100</f>
        <v>31.983805668016196</v>
      </c>
      <c r="R21" s="295" t="s">
        <v>281</v>
      </c>
      <c r="S21" s="307">
        <f>18/247*100</f>
        <v>7.2874493927125501</v>
      </c>
    </row>
    <row r="22" spans="1:19" ht="18.600000000000001" customHeight="1">
      <c r="A22" s="48"/>
      <c r="B22" s="186" t="s">
        <v>315</v>
      </c>
      <c r="C22" s="135">
        <v>172</v>
      </c>
      <c r="D22" s="30" t="s">
        <v>305</v>
      </c>
      <c r="E22" s="300">
        <f>45/172*100</f>
        <v>26.162790697674421</v>
      </c>
      <c r="F22" s="30" t="s">
        <v>235</v>
      </c>
      <c r="G22" s="300">
        <f>37/172*100</f>
        <v>21.511627906976745</v>
      </c>
      <c r="H22" s="135" t="s">
        <v>308</v>
      </c>
      <c r="I22" s="308">
        <f>15/172*100</f>
        <v>8.720930232558139</v>
      </c>
      <c r="K22" s="48"/>
      <c r="L22" s="186" t="s">
        <v>315</v>
      </c>
      <c r="M22" s="135">
        <v>135</v>
      </c>
      <c r="N22" s="30" t="s">
        <v>305</v>
      </c>
      <c r="O22" s="308">
        <f>60/135*100</f>
        <v>44.444444444444443</v>
      </c>
      <c r="P22" s="30" t="s">
        <v>314</v>
      </c>
      <c r="Q22" s="300">
        <f>19/135*100</f>
        <v>14.074074074074074</v>
      </c>
      <c r="R22" s="135" t="s">
        <v>235</v>
      </c>
      <c r="S22" s="308">
        <f>13/135*100</f>
        <v>9.6296296296296298</v>
      </c>
    </row>
    <row r="23" spans="1:19" ht="18.600000000000001" customHeight="1">
      <c r="A23" s="49" t="s">
        <v>356</v>
      </c>
      <c r="B23" s="263" t="s">
        <v>338</v>
      </c>
      <c r="C23" s="296">
        <v>2387</v>
      </c>
      <c r="D23" s="297" t="s">
        <v>305</v>
      </c>
      <c r="E23" s="301">
        <f>650/2387*100</f>
        <v>27.230833682446587</v>
      </c>
      <c r="F23" s="297" t="s">
        <v>311</v>
      </c>
      <c r="G23" s="301">
        <f>526/2387*100</f>
        <v>22.036028487641389</v>
      </c>
      <c r="H23" s="296" t="s">
        <v>317</v>
      </c>
      <c r="I23" s="309">
        <f>331/2387*100</f>
        <v>13.866778382907416</v>
      </c>
      <c r="K23" s="49" t="s">
        <v>356</v>
      </c>
      <c r="L23" s="263" t="s">
        <v>338</v>
      </c>
      <c r="M23" s="296">
        <v>2614</v>
      </c>
      <c r="N23" s="297" t="s">
        <v>305</v>
      </c>
      <c r="O23" s="309">
        <f>1128/2614*100</f>
        <v>43.152257077276204</v>
      </c>
      <c r="P23" s="297" t="s">
        <v>317</v>
      </c>
      <c r="Q23" s="301">
        <f>453/2614*100</f>
        <v>17.329762815608262</v>
      </c>
      <c r="R23" s="296" t="s">
        <v>311</v>
      </c>
      <c r="S23" s="309">
        <f>358/2614*100</f>
        <v>13.695485845447589</v>
      </c>
    </row>
    <row r="24" spans="1:19" ht="18.600000000000001" customHeight="1">
      <c r="A24" s="47"/>
      <c r="B24" s="294" t="s">
        <v>340</v>
      </c>
      <c r="C24" s="295">
        <v>1137</v>
      </c>
      <c r="D24" s="27" t="s">
        <v>308</v>
      </c>
      <c r="E24" s="299">
        <f>358/1137*100</f>
        <v>31.486367634124889</v>
      </c>
      <c r="F24" s="27" t="s">
        <v>305</v>
      </c>
      <c r="G24" s="299">
        <f>254/1137*100</f>
        <v>22.33948988566403</v>
      </c>
      <c r="H24" s="295" t="s">
        <v>146</v>
      </c>
      <c r="I24" s="307">
        <f>186/1137*100</f>
        <v>16.358839050131927</v>
      </c>
      <c r="K24" s="47"/>
      <c r="L24" s="294" t="s">
        <v>340</v>
      </c>
      <c r="M24" s="295">
        <v>1554</v>
      </c>
      <c r="N24" s="27" t="s">
        <v>305</v>
      </c>
      <c r="O24" s="307">
        <f>552/1554*100</f>
        <v>35.521235521235525</v>
      </c>
      <c r="P24" s="27" t="s">
        <v>311</v>
      </c>
      <c r="Q24" s="299">
        <f>526/1554*100</f>
        <v>33.848133848133848</v>
      </c>
      <c r="R24" s="295" t="s">
        <v>146</v>
      </c>
      <c r="S24" s="307">
        <f>127/1554*100</f>
        <v>8.1724581724581711</v>
      </c>
    </row>
    <row r="25" spans="1:19" ht="18.600000000000001" customHeight="1">
      <c r="A25" s="47"/>
      <c r="B25" s="294" t="s">
        <v>137</v>
      </c>
      <c r="C25" s="295">
        <v>2722</v>
      </c>
      <c r="D25" s="27" t="s">
        <v>305</v>
      </c>
      <c r="E25" s="299">
        <f>825/2722*100</f>
        <v>30.308596620132256</v>
      </c>
      <c r="F25" s="27" t="s">
        <v>308</v>
      </c>
      <c r="G25" s="299">
        <f>453/2722*100</f>
        <v>16.642174871418074</v>
      </c>
      <c r="H25" s="295" t="s">
        <v>322</v>
      </c>
      <c r="I25" s="307">
        <f>423/2722*100</f>
        <v>15.540044085231447</v>
      </c>
      <c r="K25" s="47"/>
      <c r="L25" s="294" t="s">
        <v>137</v>
      </c>
      <c r="M25" s="295">
        <v>2666</v>
      </c>
      <c r="N25" s="27" t="s">
        <v>305</v>
      </c>
      <c r="O25" s="307">
        <f>1295/2666*100</f>
        <v>48.574643660915228</v>
      </c>
      <c r="P25" s="27" t="s">
        <v>332</v>
      </c>
      <c r="Q25" s="299">
        <f>335/2666*100</f>
        <v>12.565641410352587</v>
      </c>
      <c r="R25" s="295" t="s">
        <v>308</v>
      </c>
      <c r="S25" s="307">
        <f>331/2666*100</f>
        <v>12.415603900975244</v>
      </c>
    </row>
    <row r="26" spans="1:19" ht="18.600000000000001" customHeight="1">
      <c r="A26" s="47"/>
      <c r="B26" s="294" t="s">
        <v>345</v>
      </c>
      <c r="C26" s="295">
        <v>562</v>
      </c>
      <c r="D26" s="27" t="s">
        <v>317</v>
      </c>
      <c r="E26" s="299">
        <f>182/562*100</f>
        <v>32.384341637010678</v>
      </c>
      <c r="F26" s="27" t="s">
        <v>305</v>
      </c>
      <c r="G26" s="299">
        <f>175/562*100</f>
        <v>31.138790035587188</v>
      </c>
      <c r="H26" s="295" t="s">
        <v>308</v>
      </c>
      <c r="I26" s="307">
        <f>48/562*100</f>
        <v>8.5409252669039155</v>
      </c>
      <c r="K26" s="47"/>
      <c r="L26" s="294" t="s">
        <v>345</v>
      </c>
      <c r="M26" s="295">
        <v>1046</v>
      </c>
      <c r="N26" s="27" t="s">
        <v>317</v>
      </c>
      <c r="O26" s="307">
        <f>423/1046*100</f>
        <v>40.439770554493307</v>
      </c>
      <c r="P26" s="27" t="s">
        <v>305</v>
      </c>
      <c r="Q26" s="299">
        <f>372/1046*100</f>
        <v>35.564053537284899</v>
      </c>
      <c r="R26" s="295" t="s">
        <v>308</v>
      </c>
      <c r="S26" s="307">
        <f>62/1046*100</f>
        <v>5.9273422562141489</v>
      </c>
    </row>
    <row r="27" spans="1:19" ht="18.600000000000001" customHeight="1">
      <c r="A27" s="47"/>
      <c r="B27" s="294" t="s">
        <v>352</v>
      </c>
      <c r="C27" s="295">
        <v>639</v>
      </c>
      <c r="D27" s="27" t="s">
        <v>317</v>
      </c>
      <c r="E27" s="299">
        <f>335/639*100</f>
        <v>52.425665101721442</v>
      </c>
      <c r="F27" s="27" t="s">
        <v>308</v>
      </c>
      <c r="G27" s="299">
        <f>153/639*100</f>
        <v>23.943661971830984</v>
      </c>
      <c r="H27" s="295" t="s">
        <v>305</v>
      </c>
      <c r="I27" s="307">
        <f>60/639*100</f>
        <v>9.3896713615023462</v>
      </c>
      <c r="K27" s="47"/>
      <c r="L27" s="294" t="s">
        <v>352</v>
      </c>
      <c r="M27" s="295">
        <v>790</v>
      </c>
      <c r="N27" s="27" t="s">
        <v>317</v>
      </c>
      <c r="O27" s="307">
        <f>381/790*100</f>
        <v>48.227848101265828</v>
      </c>
      <c r="P27" s="27" t="s">
        <v>305</v>
      </c>
      <c r="Q27" s="299">
        <f>171/790*100</f>
        <v>21.645569620253163</v>
      </c>
      <c r="R27" s="295" t="s">
        <v>308</v>
      </c>
      <c r="S27" s="307">
        <f>126/790*100</f>
        <v>15.949367088607595</v>
      </c>
    </row>
    <row r="28" spans="1:19" ht="18.600000000000001" customHeight="1">
      <c r="A28" s="47"/>
      <c r="B28" s="294" t="s">
        <v>5</v>
      </c>
      <c r="C28" s="295">
        <v>264</v>
      </c>
      <c r="D28" s="27" t="s">
        <v>311</v>
      </c>
      <c r="E28" s="299">
        <f>127/264*100</f>
        <v>48.106060606060609</v>
      </c>
      <c r="F28" s="27" t="s">
        <v>308</v>
      </c>
      <c r="G28" s="299">
        <f>65/264*100</f>
        <v>24.621212121212121</v>
      </c>
      <c r="H28" s="295" t="s">
        <v>305</v>
      </c>
      <c r="I28" s="307">
        <f>30/264*100</f>
        <v>11.363636363636363</v>
      </c>
      <c r="K28" s="47"/>
      <c r="L28" s="294" t="s">
        <v>5</v>
      </c>
      <c r="M28" s="295">
        <v>560</v>
      </c>
      <c r="N28" s="27" t="s">
        <v>311</v>
      </c>
      <c r="O28" s="307">
        <f>186/560*100</f>
        <v>33.214285714285715</v>
      </c>
      <c r="P28" s="27" t="s">
        <v>308</v>
      </c>
      <c r="Q28" s="299">
        <f>175/560*100</f>
        <v>31.25</v>
      </c>
      <c r="R28" s="295" t="s">
        <v>305</v>
      </c>
      <c r="S28" s="307">
        <f>122/560*100</f>
        <v>21.785714285714285</v>
      </c>
    </row>
    <row r="29" spans="1:19" ht="18.600000000000001" customHeight="1">
      <c r="A29" s="48"/>
      <c r="B29" s="186" t="s">
        <v>304</v>
      </c>
      <c r="C29" s="135">
        <v>74</v>
      </c>
      <c r="D29" s="30" t="s">
        <v>308</v>
      </c>
      <c r="E29" s="300">
        <f>36/74*100</f>
        <v>48.648648648648653</v>
      </c>
      <c r="F29" s="30" t="s">
        <v>305</v>
      </c>
      <c r="G29" s="300">
        <f>11/74*100</f>
        <v>14.864864864864865</v>
      </c>
      <c r="H29" s="135" t="s">
        <v>311</v>
      </c>
      <c r="I29" s="308">
        <f>8/74*100</f>
        <v>10.810810810810811</v>
      </c>
      <c r="K29" s="48"/>
      <c r="L29" s="186" t="s">
        <v>304</v>
      </c>
      <c r="M29" s="135">
        <v>135</v>
      </c>
      <c r="N29" s="30" t="s">
        <v>308</v>
      </c>
      <c r="O29" s="308">
        <f>74/135*100</f>
        <v>54.814814814814817</v>
      </c>
      <c r="P29" s="30" t="s">
        <v>305</v>
      </c>
      <c r="Q29" s="300">
        <f>22/135*100</f>
        <v>16.296296296296298</v>
      </c>
      <c r="R29" s="135" t="s">
        <v>311</v>
      </c>
      <c r="S29" s="308">
        <f>20/135*100</f>
        <v>14.814814814814813</v>
      </c>
    </row>
    <row r="30" spans="1:19" ht="18.600000000000001" customHeight="1">
      <c r="A30" s="6" t="s">
        <v>407</v>
      </c>
    </row>
    <row r="31" spans="1:19" ht="17.25" customHeight="1"/>
    <row r="32" spans="1: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70" ht="11.25" customHeight="1"/>
  </sheetData>
  <mergeCells count="18">
    <mergeCell ref="D3:I3"/>
    <mergeCell ref="N3:S3"/>
    <mergeCell ref="D4:E4"/>
    <mergeCell ref="F4:G4"/>
    <mergeCell ref="H4:I4"/>
    <mergeCell ref="N4:O4"/>
    <mergeCell ref="P4:Q4"/>
    <mergeCell ref="R4:S4"/>
    <mergeCell ref="A3:B4"/>
    <mergeCell ref="C3:C4"/>
    <mergeCell ref="K3:L4"/>
    <mergeCell ref="M3:M4"/>
    <mergeCell ref="A5:A13"/>
    <mergeCell ref="K5:K13"/>
    <mergeCell ref="A14:A22"/>
    <mergeCell ref="K14:K22"/>
    <mergeCell ref="A23:A29"/>
    <mergeCell ref="K23:K29"/>
  </mergeCells>
  <phoneticPr fontId="8"/>
  <hyperlinks>
    <hyperlink ref="U3" location="目次!A41"/>
  </hyperlinks>
  <printOptions horizontalCentered="1"/>
  <pageMargins left="0.39370078740157483" right="0.39370078740157483" top="0.39370078740157483" bottom="0.39370078740157483" header="0.19685039370078741" footer="0.19685039370078741"/>
  <pageSetup paperSize="9" fitToWidth="1" fitToHeight="1" orientation="landscape"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dimension ref="A1:Y33"/>
  <sheetViews>
    <sheetView showGridLines="0" workbookViewId="0">
      <selection activeCell="C1" sqref="C1"/>
    </sheetView>
  </sheetViews>
  <sheetFormatPr defaultRowHeight="13.5"/>
  <cols>
    <col min="1" max="1" width="3.625" style="6" customWidth="1"/>
    <col min="2" max="3" width="10.625" style="6" customWidth="1"/>
    <col min="4" max="4" width="6.625" style="6" customWidth="1"/>
    <col min="5" max="22" width="5.625" style="6" customWidth="1"/>
    <col min="23" max="23" width="6.625" style="6" customWidth="1"/>
    <col min="24" max="16384" width="9" style="6" customWidth="1"/>
  </cols>
  <sheetData>
    <row r="1" spans="1:25">
      <c r="A1" s="42" t="s">
        <v>416</v>
      </c>
    </row>
    <row r="2" spans="1:25" ht="12" customHeight="1"/>
    <row r="3" spans="1:25" ht="14.45" customHeight="1">
      <c r="A3" s="62" t="s">
        <v>364</v>
      </c>
      <c r="B3" s="88" t="s">
        <v>268</v>
      </c>
      <c r="C3" s="88" t="s">
        <v>367</v>
      </c>
      <c r="D3" s="311" t="s">
        <v>368</v>
      </c>
      <c r="E3" s="313"/>
      <c r="F3" s="313"/>
      <c r="G3" s="313"/>
      <c r="H3" s="313"/>
      <c r="I3" s="313"/>
      <c r="J3" s="313"/>
      <c r="K3" s="313"/>
      <c r="L3" s="313"/>
      <c r="M3" s="313"/>
      <c r="N3" s="313"/>
      <c r="O3" s="313"/>
      <c r="P3" s="313"/>
      <c r="Q3" s="313"/>
      <c r="R3" s="313"/>
      <c r="S3" s="313"/>
      <c r="T3" s="313"/>
      <c r="U3" s="313"/>
      <c r="V3" s="313"/>
      <c r="W3" s="10"/>
      <c r="Y3" s="146" t="s">
        <v>118</v>
      </c>
    </row>
    <row r="4" spans="1:25" ht="14.45" customHeight="1">
      <c r="A4" s="45"/>
      <c r="B4" s="111"/>
      <c r="C4" s="111"/>
      <c r="D4" s="88" t="s">
        <v>369</v>
      </c>
      <c r="E4" s="314" t="s">
        <v>371</v>
      </c>
      <c r="F4" s="314" t="s">
        <v>205</v>
      </c>
      <c r="G4" s="314" t="s">
        <v>206</v>
      </c>
      <c r="H4" s="314" t="s">
        <v>209</v>
      </c>
      <c r="I4" s="314" t="s">
        <v>210</v>
      </c>
      <c r="J4" s="314" t="s">
        <v>212</v>
      </c>
      <c r="K4" s="314" t="s">
        <v>159</v>
      </c>
      <c r="L4" s="314" t="s">
        <v>215</v>
      </c>
      <c r="M4" s="314" t="s">
        <v>216</v>
      </c>
      <c r="N4" s="314" t="s">
        <v>40</v>
      </c>
      <c r="O4" s="314" t="s">
        <v>217</v>
      </c>
      <c r="P4" s="314" t="s">
        <v>219</v>
      </c>
      <c r="Q4" s="314" t="s">
        <v>42</v>
      </c>
      <c r="R4" s="314" t="s">
        <v>220</v>
      </c>
      <c r="S4" s="314" t="s">
        <v>221</v>
      </c>
      <c r="T4" s="314" t="s">
        <v>152</v>
      </c>
      <c r="U4" s="314" t="s">
        <v>222</v>
      </c>
      <c r="V4" s="314" t="s">
        <v>226</v>
      </c>
      <c r="W4" s="84" t="s">
        <v>218</v>
      </c>
    </row>
    <row r="5" spans="1:25" ht="14.45" customHeight="1">
      <c r="A5" s="45"/>
      <c r="B5" s="111"/>
      <c r="C5" s="111"/>
      <c r="D5" s="111"/>
      <c r="E5" s="315"/>
      <c r="F5" s="315"/>
      <c r="G5" s="315"/>
      <c r="H5" s="315"/>
      <c r="I5" s="315"/>
      <c r="J5" s="315"/>
      <c r="K5" s="315"/>
      <c r="L5" s="315"/>
      <c r="M5" s="315"/>
      <c r="N5" s="315"/>
      <c r="O5" s="315"/>
      <c r="P5" s="315"/>
      <c r="Q5" s="315"/>
      <c r="R5" s="315"/>
      <c r="S5" s="315"/>
      <c r="T5" s="315"/>
      <c r="U5" s="315"/>
      <c r="V5" s="315"/>
      <c r="W5" s="93" t="s">
        <v>372</v>
      </c>
    </row>
    <row r="6" spans="1:25" ht="14.45" customHeight="1">
      <c r="A6" s="46"/>
      <c r="B6" s="112"/>
      <c r="C6" s="112"/>
      <c r="D6" s="112"/>
      <c r="E6" s="316"/>
      <c r="F6" s="316"/>
      <c r="G6" s="316"/>
      <c r="H6" s="316"/>
      <c r="I6" s="316"/>
      <c r="J6" s="316"/>
      <c r="K6" s="316"/>
      <c r="L6" s="316"/>
      <c r="M6" s="316"/>
      <c r="N6" s="316"/>
      <c r="O6" s="316"/>
      <c r="P6" s="316"/>
      <c r="Q6" s="316"/>
      <c r="R6" s="316"/>
      <c r="S6" s="316"/>
      <c r="T6" s="316"/>
      <c r="U6" s="316"/>
      <c r="V6" s="316"/>
      <c r="W6" s="94"/>
    </row>
    <row r="7" spans="1:25" ht="18.95" customHeight="1">
      <c r="A7" s="45">
        <v>1</v>
      </c>
      <c r="B7" s="197" t="s">
        <v>313</v>
      </c>
      <c r="C7" s="197" t="s">
        <v>305</v>
      </c>
      <c r="D7" s="25">
        <v>1302</v>
      </c>
      <c r="E7" s="197">
        <v>40</v>
      </c>
      <c r="F7" s="197">
        <v>60</v>
      </c>
      <c r="G7" s="197">
        <v>25</v>
      </c>
      <c r="H7" s="197">
        <v>76</v>
      </c>
      <c r="I7" s="197">
        <v>231</v>
      </c>
      <c r="J7" s="197">
        <v>176</v>
      </c>
      <c r="K7" s="197">
        <v>171</v>
      </c>
      <c r="L7" s="197">
        <v>126</v>
      </c>
      <c r="M7" s="197">
        <v>103</v>
      </c>
      <c r="N7" s="197">
        <v>59</v>
      </c>
      <c r="O7" s="197">
        <v>56</v>
      </c>
      <c r="P7" s="197">
        <v>48</v>
      </c>
      <c r="Q7" s="197">
        <v>32</v>
      </c>
      <c r="R7" s="197">
        <v>28</v>
      </c>
      <c r="S7" s="197">
        <v>20</v>
      </c>
      <c r="T7" s="197">
        <v>12</v>
      </c>
      <c r="U7" s="197">
        <v>18</v>
      </c>
      <c r="V7" s="197">
        <v>21</v>
      </c>
      <c r="W7" s="261">
        <v>1262</v>
      </c>
    </row>
    <row r="8" spans="1:25" ht="18.95" customHeight="1">
      <c r="A8" s="45">
        <v>2</v>
      </c>
      <c r="B8" s="197" t="s">
        <v>317</v>
      </c>
      <c r="C8" s="197" t="s">
        <v>305</v>
      </c>
      <c r="D8" s="25">
        <v>1295</v>
      </c>
      <c r="E8" s="197">
        <v>50</v>
      </c>
      <c r="F8" s="197">
        <v>66</v>
      </c>
      <c r="G8" s="197">
        <v>27</v>
      </c>
      <c r="H8" s="197">
        <v>81</v>
      </c>
      <c r="I8" s="197">
        <v>189</v>
      </c>
      <c r="J8" s="197">
        <v>149</v>
      </c>
      <c r="K8" s="197">
        <v>180</v>
      </c>
      <c r="L8" s="197">
        <v>134</v>
      </c>
      <c r="M8" s="197">
        <v>95</v>
      </c>
      <c r="N8" s="197">
        <v>76</v>
      </c>
      <c r="O8" s="197">
        <v>46</v>
      </c>
      <c r="P8" s="197">
        <v>39</v>
      </c>
      <c r="Q8" s="197">
        <v>27</v>
      </c>
      <c r="R8" s="197">
        <v>25</v>
      </c>
      <c r="S8" s="197">
        <v>19</v>
      </c>
      <c r="T8" s="197">
        <v>23</v>
      </c>
      <c r="U8" s="197">
        <v>20</v>
      </c>
      <c r="V8" s="197">
        <v>49</v>
      </c>
      <c r="W8" s="261">
        <v>1245</v>
      </c>
    </row>
    <row r="9" spans="1:25" ht="18.95" customHeight="1">
      <c r="A9" s="45">
        <v>3</v>
      </c>
      <c r="B9" s="197" t="s">
        <v>308</v>
      </c>
      <c r="C9" s="197" t="s">
        <v>305</v>
      </c>
      <c r="D9" s="25">
        <v>1128</v>
      </c>
      <c r="E9" s="197">
        <v>34</v>
      </c>
      <c r="F9" s="197">
        <v>54</v>
      </c>
      <c r="G9" s="197">
        <v>24</v>
      </c>
      <c r="H9" s="197">
        <v>100</v>
      </c>
      <c r="I9" s="197">
        <v>244</v>
      </c>
      <c r="J9" s="197">
        <v>106</v>
      </c>
      <c r="K9" s="197">
        <v>121</v>
      </c>
      <c r="L9" s="197">
        <v>101</v>
      </c>
      <c r="M9" s="197">
        <v>66</v>
      </c>
      <c r="N9" s="197">
        <v>73</v>
      </c>
      <c r="O9" s="197">
        <v>44</v>
      </c>
      <c r="P9" s="197">
        <v>42</v>
      </c>
      <c r="Q9" s="197">
        <v>23</v>
      </c>
      <c r="R9" s="197">
        <v>23</v>
      </c>
      <c r="S9" s="197">
        <v>18</v>
      </c>
      <c r="T9" s="197">
        <v>9</v>
      </c>
      <c r="U9" s="197">
        <v>11</v>
      </c>
      <c r="V9" s="197">
        <v>35</v>
      </c>
      <c r="W9" s="261">
        <v>1094</v>
      </c>
    </row>
    <row r="10" spans="1:25" ht="18.95" customHeight="1">
      <c r="A10" s="45">
        <v>4</v>
      </c>
      <c r="B10" s="197" t="s">
        <v>305</v>
      </c>
      <c r="C10" s="197" t="s">
        <v>314</v>
      </c>
      <c r="D10" s="25">
        <v>991</v>
      </c>
      <c r="E10" s="197">
        <v>66</v>
      </c>
      <c r="F10" s="197">
        <v>75</v>
      </c>
      <c r="G10" s="197">
        <v>14</v>
      </c>
      <c r="H10" s="197">
        <v>15</v>
      </c>
      <c r="I10" s="197">
        <v>51</v>
      </c>
      <c r="J10" s="197">
        <v>102</v>
      </c>
      <c r="K10" s="197">
        <v>148</v>
      </c>
      <c r="L10" s="197">
        <v>124</v>
      </c>
      <c r="M10" s="197">
        <v>77</v>
      </c>
      <c r="N10" s="197">
        <v>60</v>
      </c>
      <c r="O10" s="197">
        <v>34</v>
      </c>
      <c r="P10" s="197">
        <v>36</v>
      </c>
      <c r="Q10" s="197">
        <v>22</v>
      </c>
      <c r="R10" s="197">
        <v>19</v>
      </c>
      <c r="S10" s="197">
        <v>27</v>
      </c>
      <c r="T10" s="197">
        <v>20</v>
      </c>
      <c r="U10" s="197">
        <v>30</v>
      </c>
      <c r="V10" s="197">
        <v>71</v>
      </c>
      <c r="W10" s="261">
        <v>925</v>
      </c>
    </row>
    <row r="11" spans="1:25" ht="18.95" customHeight="1">
      <c r="A11" s="45">
        <v>5</v>
      </c>
      <c r="B11" s="197" t="s">
        <v>314</v>
      </c>
      <c r="C11" s="197" t="s">
        <v>305</v>
      </c>
      <c r="D11" s="25">
        <v>989</v>
      </c>
      <c r="E11" s="197">
        <v>25</v>
      </c>
      <c r="F11" s="197">
        <v>39</v>
      </c>
      <c r="G11" s="197">
        <v>15</v>
      </c>
      <c r="H11" s="197">
        <v>40</v>
      </c>
      <c r="I11" s="197">
        <v>144</v>
      </c>
      <c r="J11" s="197">
        <v>164</v>
      </c>
      <c r="K11" s="197">
        <v>131</v>
      </c>
      <c r="L11" s="197">
        <v>100</v>
      </c>
      <c r="M11" s="197">
        <v>87</v>
      </c>
      <c r="N11" s="197">
        <v>45</v>
      </c>
      <c r="O11" s="197">
        <v>34</v>
      </c>
      <c r="P11" s="197">
        <v>33</v>
      </c>
      <c r="Q11" s="197">
        <v>25</v>
      </c>
      <c r="R11" s="197">
        <v>25</v>
      </c>
      <c r="S11" s="197">
        <v>20</v>
      </c>
      <c r="T11" s="197">
        <v>12</v>
      </c>
      <c r="U11" s="197">
        <v>18</v>
      </c>
      <c r="V11" s="197">
        <v>32</v>
      </c>
      <c r="W11" s="261">
        <v>964</v>
      </c>
    </row>
    <row r="12" spans="1:25" ht="18.95" customHeight="1">
      <c r="A12" s="45">
        <v>6</v>
      </c>
      <c r="B12" s="197" t="s">
        <v>38</v>
      </c>
      <c r="C12" s="197" t="s">
        <v>305</v>
      </c>
      <c r="D12" s="25">
        <v>962</v>
      </c>
      <c r="E12" s="197">
        <v>33</v>
      </c>
      <c r="F12" s="197">
        <v>63</v>
      </c>
      <c r="G12" s="197">
        <v>38</v>
      </c>
      <c r="H12" s="197">
        <v>80</v>
      </c>
      <c r="I12" s="197">
        <v>123</v>
      </c>
      <c r="J12" s="197">
        <v>112</v>
      </c>
      <c r="K12" s="197">
        <v>137</v>
      </c>
      <c r="L12" s="197">
        <v>91</v>
      </c>
      <c r="M12" s="197">
        <v>85</v>
      </c>
      <c r="N12" s="197">
        <v>68</v>
      </c>
      <c r="O12" s="197">
        <v>37</v>
      </c>
      <c r="P12" s="197">
        <v>30</v>
      </c>
      <c r="Q12" s="197">
        <v>18</v>
      </c>
      <c r="R12" s="197">
        <v>8</v>
      </c>
      <c r="S12" s="197">
        <v>8</v>
      </c>
      <c r="T12" s="197">
        <v>3</v>
      </c>
      <c r="U12" s="197">
        <v>9</v>
      </c>
      <c r="V12" s="197">
        <v>19</v>
      </c>
      <c r="W12" s="261">
        <v>929</v>
      </c>
    </row>
    <row r="13" spans="1:25" ht="18.95" customHeight="1">
      <c r="A13" s="45">
        <v>7</v>
      </c>
      <c r="B13" s="197" t="s">
        <v>253</v>
      </c>
      <c r="C13" s="197" t="s">
        <v>305</v>
      </c>
      <c r="D13" s="25">
        <v>897</v>
      </c>
      <c r="E13" s="197">
        <v>28</v>
      </c>
      <c r="F13" s="197">
        <v>52</v>
      </c>
      <c r="G13" s="197">
        <v>28</v>
      </c>
      <c r="H13" s="197">
        <v>69</v>
      </c>
      <c r="I13" s="197">
        <v>106</v>
      </c>
      <c r="J13" s="197">
        <v>106</v>
      </c>
      <c r="K13" s="197">
        <v>105</v>
      </c>
      <c r="L13" s="197">
        <v>91</v>
      </c>
      <c r="M13" s="197">
        <v>74</v>
      </c>
      <c r="N13" s="197">
        <v>72</v>
      </c>
      <c r="O13" s="197">
        <v>30</v>
      </c>
      <c r="P13" s="197">
        <v>27</v>
      </c>
      <c r="Q13" s="197">
        <v>25</v>
      </c>
      <c r="R13" s="197">
        <v>13</v>
      </c>
      <c r="S13" s="197">
        <v>13</v>
      </c>
      <c r="T13" s="197">
        <v>8</v>
      </c>
      <c r="U13" s="197">
        <v>14</v>
      </c>
      <c r="V13" s="197">
        <v>36</v>
      </c>
      <c r="W13" s="261">
        <v>869</v>
      </c>
    </row>
    <row r="14" spans="1:25" ht="18.95" customHeight="1">
      <c r="A14" s="45">
        <v>8</v>
      </c>
      <c r="B14" s="197" t="s">
        <v>305</v>
      </c>
      <c r="C14" s="197" t="s">
        <v>313</v>
      </c>
      <c r="D14" s="25">
        <v>859</v>
      </c>
      <c r="E14" s="197">
        <v>45</v>
      </c>
      <c r="F14" s="197">
        <v>32</v>
      </c>
      <c r="G14" s="197">
        <v>12</v>
      </c>
      <c r="H14" s="197">
        <v>18</v>
      </c>
      <c r="I14" s="197">
        <v>100</v>
      </c>
      <c r="J14" s="197">
        <v>147</v>
      </c>
      <c r="K14" s="197">
        <v>124</v>
      </c>
      <c r="L14" s="197">
        <v>101</v>
      </c>
      <c r="M14" s="197">
        <v>52</v>
      </c>
      <c r="N14" s="197">
        <v>55</v>
      </c>
      <c r="O14" s="197">
        <v>30</v>
      </c>
      <c r="P14" s="197">
        <v>37</v>
      </c>
      <c r="Q14" s="197">
        <v>30</v>
      </c>
      <c r="R14" s="197">
        <v>27</v>
      </c>
      <c r="S14" s="197">
        <v>6</v>
      </c>
      <c r="T14" s="197">
        <v>8</v>
      </c>
      <c r="U14" s="197">
        <v>13</v>
      </c>
      <c r="V14" s="197">
        <v>22</v>
      </c>
      <c r="W14" s="261">
        <v>814</v>
      </c>
    </row>
    <row r="15" spans="1:25" ht="18.95" customHeight="1">
      <c r="A15" s="45">
        <v>9</v>
      </c>
      <c r="B15" s="197" t="s">
        <v>305</v>
      </c>
      <c r="C15" s="197" t="s">
        <v>301</v>
      </c>
      <c r="D15" s="25">
        <v>825</v>
      </c>
      <c r="E15" s="197">
        <v>34</v>
      </c>
      <c r="F15" s="197">
        <v>60</v>
      </c>
      <c r="G15" s="197">
        <v>13</v>
      </c>
      <c r="H15" s="197">
        <v>15</v>
      </c>
      <c r="I15" s="197">
        <v>54</v>
      </c>
      <c r="J15" s="197">
        <v>122</v>
      </c>
      <c r="K15" s="197">
        <v>125</v>
      </c>
      <c r="L15" s="197">
        <v>101</v>
      </c>
      <c r="M15" s="197">
        <v>79</v>
      </c>
      <c r="N15" s="197">
        <v>57</v>
      </c>
      <c r="O15" s="197">
        <v>37</v>
      </c>
      <c r="P15" s="197">
        <v>29</v>
      </c>
      <c r="Q15" s="197">
        <v>24</v>
      </c>
      <c r="R15" s="197">
        <v>23</v>
      </c>
      <c r="S15" s="197">
        <v>10</v>
      </c>
      <c r="T15" s="197">
        <v>8</v>
      </c>
      <c r="U15" s="197">
        <v>13</v>
      </c>
      <c r="V15" s="197">
        <v>21</v>
      </c>
      <c r="W15" s="261">
        <v>791</v>
      </c>
    </row>
    <row r="16" spans="1:25" ht="18.95" customHeight="1">
      <c r="A16" s="45">
        <v>10</v>
      </c>
      <c r="B16" s="197" t="s">
        <v>235</v>
      </c>
      <c r="C16" s="197" t="s">
        <v>305</v>
      </c>
      <c r="D16" s="25">
        <v>754</v>
      </c>
      <c r="E16" s="197">
        <v>14</v>
      </c>
      <c r="F16" s="197">
        <v>29</v>
      </c>
      <c r="G16" s="197">
        <v>12</v>
      </c>
      <c r="H16" s="197">
        <v>34</v>
      </c>
      <c r="I16" s="197">
        <v>88</v>
      </c>
      <c r="J16" s="197">
        <v>106</v>
      </c>
      <c r="K16" s="197">
        <v>75</v>
      </c>
      <c r="L16" s="197">
        <v>72</v>
      </c>
      <c r="M16" s="197">
        <v>60</v>
      </c>
      <c r="N16" s="197">
        <v>46</v>
      </c>
      <c r="O16" s="197">
        <v>35</v>
      </c>
      <c r="P16" s="197">
        <v>17</v>
      </c>
      <c r="Q16" s="197">
        <v>21</v>
      </c>
      <c r="R16" s="197">
        <v>18</v>
      </c>
      <c r="S16" s="197">
        <v>15</v>
      </c>
      <c r="T16" s="197">
        <v>15</v>
      </c>
      <c r="U16" s="197">
        <v>28</v>
      </c>
      <c r="V16" s="197">
        <v>69</v>
      </c>
      <c r="W16" s="261">
        <v>740</v>
      </c>
    </row>
    <row r="17" spans="1:23" ht="14.45" customHeight="1">
      <c r="A17" s="12"/>
      <c r="B17" s="12"/>
      <c r="C17" s="12"/>
      <c r="D17" s="12"/>
      <c r="E17" s="12"/>
      <c r="F17" s="12"/>
      <c r="G17" s="12"/>
      <c r="H17" s="12"/>
      <c r="I17" s="12"/>
      <c r="J17" s="12"/>
      <c r="K17" s="12"/>
      <c r="L17" s="12"/>
      <c r="M17" s="12"/>
      <c r="N17" s="12"/>
      <c r="O17" s="12"/>
      <c r="P17" s="12"/>
      <c r="Q17" s="12"/>
      <c r="R17" s="12"/>
      <c r="S17" s="12"/>
      <c r="T17" s="12"/>
      <c r="U17" s="12"/>
      <c r="V17" s="12"/>
      <c r="W17" s="12"/>
    </row>
    <row r="18" spans="1:23" ht="14.45" customHeight="1">
      <c r="A18" s="62" t="s">
        <v>364</v>
      </c>
      <c r="B18" s="88" t="s">
        <v>268</v>
      </c>
      <c r="C18" s="111" t="s">
        <v>367</v>
      </c>
      <c r="D18" s="312" t="s">
        <v>370</v>
      </c>
      <c r="E18" s="317"/>
      <c r="F18" s="317"/>
      <c r="G18" s="317"/>
      <c r="H18" s="317"/>
      <c r="I18" s="317"/>
      <c r="J18" s="317"/>
      <c r="K18" s="317"/>
      <c r="L18" s="317"/>
      <c r="M18" s="317"/>
      <c r="N18" s="317"/>
      <c r="O18" s="317"/>
      <c r="P18" s="317"/>
      <c r="Q18" s="317"/>
      <c r="R18" s="317"/>
      <c r="S18" s="317"/>
      <c r="T18" s="317"/>
      <c r="U18" s="317"/>
      <c r="V18" s="317"/>
      <c r="W18" s="319"/>
    </row>
    <row r="19" spans="1:23" ht="14.45" customHeight="1">
      <c r="A19" s="45"/>
      <c r="B19" s="111"/>
      <c r="C19" s="111"/>
      <c r="D19" s="88" t="s">
        <v>369</v>
      </c>
      <c r="E19" s="314" t="s">
        <v>371</v>
      </c>
      <c r="F19" s="314" t="s">
        <v>205</v>
      </c>
      <c r="G19" s="314" t="s">
        <v>206</v>
      </c>
      <c r="H19" s="314" t="s">
        <v>209</v>
      </c>
      <c r="I19" s="314" t="s">
        <v>210</v>
      </c>
      <c r="J19" s="314" t="s">
        <v>212</v>
      </c>
      <c r="K19" s="314" t="s">
        <v>159</v>
      </c>
      <c r="L19" s="314" t="s">
        <v>215</v>
      </c>
      <c r="M19" s="314" t="s">
        <v>216</v>
      </c>
      <c r="N19" s="314" t="s">
        <v>40</v>
      </c>
      <c r="O19" s="314" t="s">
        <v>217</v>
      </c>
      <c r="P19" s="314" t="s">
        <v>219</v>
      </c>
      <c r="Q19" s="314" t="s">
        <v>42</v>
      </c>
      <c r="R19" s="314" t="s">
        <v>220</v>
      </c>
      <c r="S19" s="314" t="s">
        <v>221</v>
      </c>
      <c r="T19" s="314" t="s">
        <v>152</v>
      </c>
      <c r="U19" s="314" t="s">
        <v>222</v>
      </c>
      <c r="V19" s="314" t="s">
        <v>226</v>
      </c>
      <c r="W19" s="84" t="s">
        <v>218</v>
      </c>
    </row>
    <row r="20" spans="1:23" ht="14.45" customHeight="1">
      <c r="A20" s="45"/>
      <c r="B20" s="111"/>
      <c r="C20" s="111"/>
      <c r="D20" s="111"/>
      <c r="E20" s="315"/>
      <c r="F20" s="315"/>
      <c r="G20" s="315"/>
      <c r="H20" s="315"/>
      <c r="I20" s="315"/>
      <c r="J20" s="315"/>
      <c r="K20" s="315"/>
      <c r="L20" s="315"/>
      <c r="M20" s="315"/>
      <c r="N20" s="315"/>
      <c r="O20" s="315"/>
      <c r="P20" s="315"/>
      <c r="Q20" s="315"/>
      <c r="R20" s="315"/>
      <c r="S20" s="315"/>
      <c r="T20" s="315"/>
      <c r="U20" s="315"/>
      <c r="V20" s="315"/>
      <c r="W20" s="93" t="s">
        <v>372</v>
      </c>
    </row>
    <row r="21" spans="1:23" ht="14.45" customHeight="1">
      <c r="A21" s="46"/>
      <c r="B21" s="112"/>
      <c r="C21" s="112"/>
      <c r="D21" s="70"/>
      <c r="E21" s="318"/>
      <c r="F21" s="316"/>
      <c r="G21" s="316"/>
      <c r="H21" s="316"/>
      <c r="I21" s="316"/>
      <c r="J21" s="316"/>
      <c r="K21" s="316"/>
      <c r="L21" s="316"/>
      <c r="M21" s="316"/>
      <c r="N21" s="316"/>
      <c r="O21" s="316"/>
      <c r="P21" s="316"/>
      <c r="Q21" s="316"/>
      <c r="R21" s="316"/>
      <c r="S21" s="316"/>
      <c r="T21" s="316"/>
      <c r="U21" s="316"/>
      <c r="V21" s="316"/>
      <c r="W21" s="94"/>
    </row>
    <row r="22" spans="1:23" ht="18.95" customHeight="1">
      <c r="A22" s="45">
        <v>1</v>
      </c>
      <c r="B22" s="197" t="s">
        <v>313</v>
      </c>
      <c r="C22" s="197" t="s">
        <v>305</v>
      </c>
      <c r="D22" s="150">
        <f t="shared" ref="D22:W31" si="0">D7/$D7*100</f>
        <v>100</v>
      </c>
      <c r="E22" s="270">
        <f t="shared" si="0"/>
        <v>3.0721966205837172</v>
      </c>
      <c r="F22" s="270">
        <f t="shared" si="0"/>
        <v>4.6082949308755765</v>
      </c>
      <c r="G22" s="270">
        <f t="shared" si="0"/>
        <v>1.9201228878648235</v>
      </c>
      <c r="H22" s="270">
        <f t="shared" si="0"/>
        <v>5.8371735791090629</v>
      </c>
      <c r="I22" s="270">
        <f t="shared" si="0"/>
        <v>17.741935483870968</v>
      </c>
      <c r="J22" s="270">
        <f t="shared" si="0"/>
        <v>13.517665130568357</v>
      </c>
      <c r="K22" s="270">
        <f t="shared" si="0"/>
        <v>13.13364055299539</v>
      </c>
      <c r="L22" s="270">
        <f t="shared" si="0"/>
        <v>9.67741935483871</v>
      </c>
      <c r="M22" s="270">
        <f t="shared" si="0"/>
        <v>7.9109062980030718</v>
      </c>
      <c r="N22" s="270">
        <f t="shared" si="0"/>
        <v>4.5314900153609834</v>
      </c>
      <c r="O22" s="270">
        <f t="shared" si="0"/>
        <v>4.3010752688172049</v>
      </c>
      <c r="P22" s="270">
        <f t="shared" si="0"/>
        <v>3.6866359447004609</v>
      </c>
      <c r="Q22" s="270">
        <f t="shared" si="0"/>
        <v>2.4577572964669741</v>
      </c>
      <c r="R22" s="270">
        <f t="shared" si="0"/>
        <v>2.1505376344086025</v>
      </c>
      <c r="S22" s="270">
        <f t="shared" si="0"/>
        <v>1.5360983102918586</v>
      </c>
      <c r="T22" s="270">
        <f t="shared" si="0"/>
        <v>0.92165898617511521</v>
      </c>
      <c r="U22" s="270">
        <f t="shared" si="0"/>
        <v>1.3824884792626728</v>
      </c>
      <c r="V22" s="270">
        <f t="shared" si="0"/>
        <v>1.6129032258064515</v>
      </c>
      <c r="W22" s="266">
        <f t="shared" si="0"/>
        <v>96.927803379416275</v>
      </c>
    </row>
    <row r="23" spans="1:23" ht="18.95" customHeight="1">
      <c r="A23" s="45">
        <v>2</v>
      </c>
      <c r="B23" s="197" t="s">
        <v>317</v>
      </c>
      <c r="C23" s="197" t="s">
        <v>305</v>
      </c>
      <c r="D23" s="150">
        <f t="shared" si="0"/>
        <v>100</v>
      </c>
      <c r="E23" s="271">
        <f t="shared" si="0"/>
        <v>3.8610038610038608</v>
      </c>
      <c r="F23" s="271">
        <f t="shared" si="0"/>
        <v>5.096525096525097</v>
      </c>
      <c r="G23" s="271">
        <f t="shared" si="0"/>
        <v>2.0849420849420852</v>
      </c>
      <c r="H23" s="271">
        <f t="shared" si="0"/>
        <v>6.2548262548262556</v>
      </c>
      <c r="I23" s="271">
        <f t="shared" si="0"/>
        <v>14.594594594594595</v>
      </c>
      <c r="J23" s="271">
        <f t="shared" si="0"/>
        <v>11.505791505791505</v>
      </c>
      <c r="K23" s="271">
        <f t="shared" si="0"/>
        <v>13.8996138996139</v>
      </c>
      <c r="L23" s="271">
        <f t="shared" si="0"/>
        <v>10.347490347490346</v>
      </c>
      <c r="M23" s="271">
        <f t="shared" si="0"/>
        <v>7.3359073359073363</v>
      </c>
      <c r="N23" s="271">
        <f t="shared" si="0"/>
        <v>5.8687258687258685</v>
      </c>
      <c r="O23" s="271">
        <f t="shared" si="0"/>
        <v>3.5521235521235517</v>
      </c>
      <c r="P23" s="271">
        <f t="shared" si="0"/>
        <v>3.0115830115830118</v>
      </c>
      <c r="Q23" s="271">
        <f t="shared" si="0"/>
        <v>2.0849420849420852</v>
      </c>
      <c r="R23" s="271">
        <f t="shared" si="0"/>
        <v>1.9305019305019304</v>
      </c>
      <c r="S23" s="271">
        <f t="shared" si="0"/>
        <v>1.4671814671814671</v>
      </c>
      <c r="T23" s="271">
        <f t="shared" si="0"/>
        <v>1.7760617760617758</v>
      </c>
      <c r="U23" s="271">
        <f t="shared" si="0"/>
        <v>1.5444015444015444</v>
      </c>
      <c r="V23" s="271">
        <f t="shared" si="0"/>
        <v>3.7837837837837842</v>
      </c>
      <c r="W23" s="267">
        <f t="shared" si="0"/>
        <v>96.138996138996134</v>
      </c>
    </row>
    <row r="24" spans="1:23" ht="18.95" customHeight="1">
      <c r="A24" s="45">
        <v>3</v>
      </c>
      <c r="B24" s="197" t="s">
        <v>308</v>
      </c>
      <c r="C24" s="197" t="s">
        <v>305</v>
      </c>
      <c r="D24" s="150">
        <f t="shared" si="0"/>
        <v>100</v>
      </c>
      <c r="E24" s="271">
        <f t="shared" si="0"/>
        <v>3.0141843971631204</v>
      </c>
      <c r="F24" s="271">
        <f t="shared" si="0"/>
        <v>4.7872340425531918</v>
      </c>
      <c r="G24" s="271">
        <f t="shared" si="0"/>
        <v>2.1276595744680851</v>
      </c>
      <c r="H24" s="271">
        <f t="shared" si="0"/>
        <v>8.8652482269503547</v>
      </c>
      <c r="I24" s="271">
        <f t="shared" si="0"/>
        <v>21.631205673758867</v>
      </c>
      <c r="J24" s="271">
        <f t="shared" si="0"/>
        <v>9.3971631205673756</v>
      </c>
      <c r="K24" s="271">
        <f t="shared" si="0"/>
        <v>10.726950354609929</v>
      </c>
      <c r="L24" s="271">
        <f t="shared" si="0"/>
        <v>8.9539007092198588</v>
      </c>
      <c r="M24" s="271">
        <f t="shared" si="0"/>
        <v>5.8510638297872344</v>
      </c>
      <c r="N24" s="271">
        <f t="shared" si="0"/>
        <v>6.4716312056737584</v>
      </c>
      <c r="O24" s="271">
        <f t="shared" si="0"/>
        <v>3.9007092198581561</v>
      </c>
      <c r="P24" s="271">
        <f t="shared" si="0"/>
        <v>3.7234042553191489</v>
      </c>
      <c r="Q24" s="271">
        <f t="shared" si="0"/>
        <v>2.0390070921985819</v>
      </c>
      <c r="R24" s="271">
        <f t="shared" si="0"/>
        <v>2.0390070921985819</v>
      </c>
      <c r="S24" s="271">
        <f t="shared" si="0"/>
        <v>1.5957446808510638</v>
      </c>
      <c r="T24" s="271">
        <f t="shared" si="0"/>
        <v>0.7978723404255319</v>
      </c>
      <c r="U24" s="271">
        <f t="shared" si="0"/>
        <v>0.97517730496453903</v>
      </c>
      <c r="V24" s="271">
        <f t="shared" si="0"/>
        <v>3.102836879432624</v>
      </c>
      <c r="W24" s="267">
        <f t="shared" si="0"/>
        <v>96.98581560283688</v>
      </c>
    </row>
    <row r="25" spans="1:23" ht="18.95" customHeight="1">
      <c r="A25" s="45">
        <v>4</v>
      </c>
      <c r="B25" s="197" t="s">
        <v>305</v>
      </c>
      <c r="C25" s="197" t="s">
        <v>314</v>
      </c>
      <c r="D25" s="150">
        <f t="shared" si="0"/>
        <v>100</v>
      </c>
      <c r="E25" s="271">
        <f t="shared" si="0"/>
        <v>6.6599394550958628</v>
      </c>
      <c r="F25" s="271">
        <f t="shared" si="0"/>
        <v>7.5681130171543893</v>
      </c>
      <c r="G25" s="271">
        <f t="shared" si="0"/>
        <v>1.4127144298688195</v>
      </c>
      <c r="H25" s="271">
        <f t="shared" si="0"/>
        <v>1.513622603430878</v>
      </c>
      <c r="I25" s="271">
        <f t="shared" si="0"/>
        <v>5.1463168516649853</v>
      </c>
      <c r="J25" s="271">
        <f t="shared" si="0"/>
        <v>10.292633703329971</v>
      </c>
      <c r="K25" s="271">
        <f t="shared" si="0"/>
        <v>14.934409687184663</v>
      </c>
      <c r="L25" s="271">
        <f t="shared" si="0"/>
        <v>12.512613521695256</v>
      </c>
      <c r="M25" s="271">
        <f t="shared" si="0"/>
        <v>7.7699293642785063</v>
      </c>
      <c r="N25" s="271">
        <f t="shared" si="0"/>
        <v>6.0544904137235118</v>
      </c>
      <c r="O25" s="271">
        <f t="shared" si="0"/>
        <v>3.4308779011099895</v>
      </c>
      <c r="P25" s="271">
        <f t="shared" si="0"/>
        <v>3.6326942482341069</v>
      </c>
      <c r="Q25" s="271">
        <f t="shared" si="0"/>
        <v>2.2199798183652879</v>
      </c>
      <c r="R25" s="271">
        <f t="shared" si="0"/>
        <v>1.917255297679112</v>
      </c>
      <c r="S25" s="271">
        <f t="shared" si="0"/>
        <v>2.7245206861755804</v>
      </c>
      <c r="T25" s="271">
        <f t="shared" si="0"/>
        <v>2.0181634712411705</v>
      </c>
      <c r="U25" s="271">
        <f t="shared" si="0"/>
        <v>3.0272452068617559</v>
      </c>
      <c r="V25" s="271">
        <f t="shared" si="0"/>
        <v>7.1644803229061553</v>
      </c>
      <c r="W25" s="267">
        <f t="shared" si="0"/>
        <v>93.340060544904134</v>
      </c>
    </row>
    <row r="26" spans="1:23" ht="18.95" customHeight="1">
      <c r="A26" s="45">
        <v>5</v>
      </c>
      <c r="B26" s="197" t="s">
        <v>314</v>
      </c>
      <c r="C26" s="197" t="s">
        <v>305</v>
      </c>
      <c r="D26" s="150">
        <f t="shared" si="0"/>
        <v>100</v>
      </c>
      <c r="E26" s="271">
        <f t="shared" si="0"/>
        <v>2.5278058645096055</v>
      </c>
      <c r="F26" s="271">
        <f t="shared" si="0"/>
        <v>3.9433771486349847</v>
      </c>
      <c r="G26" s="271">
        <f t="shared" si="0"/>
        <v>1.5166835187057632</v>
      </c>
      <c r="H26" s="271">
        <f t="shared" si="0"/>
        <v>4.0444893832153692</v>
      </c>
      <c r="I26" s="271">
        <f t="shared" si="0"/>
        <v>14.560161779575328</v>
      </c>
      <c r="J26" s="271">
        <f t="shared" si="0"/>
        <v>16.582406471183013</v>
      </c>
      <c r="K26" s="271">
        <f t="shared" si="0"/>
        <v>13.245702730030334</v>
      </c>
      <c r="L26" s="271">
        <f t="shared" si="0"/>
        <v>10.111223458038422</v>
      </c>
      <c r="M26" s="271">
        <f t="shared" si="0"/>
        <v>8.7967644084934271</v>
      </c>
      <c r="N26" s="271">
        <f t="shared" si="0"/>
        <v>4.5500505561172906</v>
      </c>
      <c r="O26" s="271">
        <f t="shared" si="0"/>
        <v>3.4378159757330633</v>
      </c>
      <c r="P26" s="271">
        <f t="shared" si="0"/>
        <v>3.3367037411526792</v>
      </c>
      <c r="Q26" s="271">
        <f t="shared" si="0"/>
        <v>2.5278058645096055</v>
      </c>
      <c r="R26" s="271">
        <f t="shared" si="0"/>
        <v>2.5278058645096055</v>
      </c>
      <c r="S26" s="271">
        <f t="shared" si="0"/>
        <v>2.0222446916076846</v>
      </c>
      <c r="T26" s="271">
        <f t="shared" si="0"/>
        <v>1.2133468149646107</v>
      </c>
      <c r="U26" s="271">
        <f t="shared" si="0"/>
        <v>1.820020222446916</v>
      </c>
      <c r="V26" s="271">
        <f t="shared" si="0"/>
        <v>3.2355915065722956</v>
      </c>
      <c r="W26" s="267">
        <f t="shared" si="0"/>
        <v>97.472194135490398</v>
      </c>
    </row>
    <row r="27" spans="1:23" ht="18.95" customHeight="1">
      <c r="A27" s="45">
        <v>6</v>
      </c>
      <c r="B27" s="197" t="s">
        <v>38</v>
      </c>
      <c r="C27" s="197" t="s">
        <v>305</v>
      </c>
      <c r="D27" s="150">
        <f t="shared" si="0"/>
        <v>100</v>
      </c>
      <c r="E27" s="271">
        <f t="shared" si="0"/>
        <v>3.4303534303534304</v>
      </c>
      <c r="F27" s="271">
        <f t="shared" si="0"/>
        <v>6.5488565488565493</v>
      </c>
      <c r="G27" s="271">
        <f t="shared" si="0"/>
        <v>3.9501039501039505</v>
      </c>
      <c r="H27" s="271">
        <f t="shared" si="0"/>
        <v>8.3160083160083165</v>
      </c>
      <c r="I27" s="271">
        <f t="shared" si="0"/>
        <v>12.785862785862786</v>
      </c>
      <c r="J27" s="271">
        <f t="shared" si="0"/>
        <v>11.642411642411643</v>
      </c>
      <c r="K27" s="271">
        <f t="shared" si="0"/>
        <v>14.241164241164242</v>
      </c>
      <c r="L27" s="271">
        <f t="shared" si="0"/>
        <v>9.4594594594594597</v>
      </c>
      <c r="M27" s="271">
        <f t="shared" si="0"/>
        <v>8.8357588357588366</v>
      </c>
      <c r="N27" s="271">
        <f t="shared" si="0"/>
        <v>7.0686070686070686</v>
      </c>
      <c r="O27" s="271">
        <f t="shared" si="0"/>
        <v>3.8461538461538463</v>
      </c>
      <c r="P27" s="271">
        <f t="shared" si="0"/>
        <v>3.1185031185031189</v>
      </c>
      <c r="Q27" s="271">
        <f t="shared" si="0"/>
        <v>1.8711018711018712</v>
      </c>
      <c r="R27" s="271">
        <f t="shared" si="0"/>
        <v>0.83160083160083165</v>
      </c>
      <c r="S27" s="271">
        <f t="shared" si="0"/>
        <v>0.83160083160083165</v>
      </c>
      <c r="T27" s="271">
        <f t="shared" si="0"/>
        <v>0.31185031185031187</v>
      </c>
      <c r="U27" s="271">
        <f t="shared" si="0"/>
        <v>0.9355509355509356</v>
      </c>
      <c r="V27" s="271">
        <f t="shared" si="0"/>
        <v>1.9750519750519753</v>
      </c>
      <c r="W27" s="267">
        <f t="shared" si="0"/>
        <v>96.569646569646579</v>
      </c>
    </row>
    <row r="28" spans="1:23" ht="18.95" customHeight="1">
      <c r="A28" s="45">
        <v>7</v>
      </c>
      <c r="B28" s="197" t="s">
        <v>253</v>
      </c>
      <c r="C28" s="197" t="s">
        <v>305</v>
      </c>
      <c r="D28" s="150">
        <f t="shared" si="0"/>
        <v>100</v>
      </c>
      <c r="E28" s="271">
        <f t="shared" si="0"/>
        <v>3.1215161649944259</v>
      </c>
      <c r="F28" s="271">
        <f t="shared" si="0"/>
        <v>5.7971014492753623</v>
      </c>
      <c r="G28" s="271">
        <f t="shared" si="0"/>
        <v>3.1215161649944259</v>
      </c>
      <c r="H28" s="271">
        <f t="shared" si="0"/>
        <v>7.6923076923076925</v>
      </c>
      <c r="I28" s="271">
        <f t="shared" si="0"/>
        <v>11.817168338907468</v>
      </c>
      <c r="J28" s="271">
        <f t="shared" si="0"/>
        <v>11.817168338907468</v>
      </c>
      <c r="K28" s="271">
        <f t="shared" si="0"/>
        <v>11.705685618729097</v>
      </c>
      <c r="L28" s="271">
        <f t="shared" si="0"/>
        <v>10.144927536231885</v>
      </c>
      <c r="M28" s="271">
        <f t="shared" si="0"/>
        <v>8.2497212931995545</v>
      </c>
      <c r="N28" s="271">
        <f t="shared" si="0"/>
        <v>8.0267558528428093</v>
      </c>
      <c r="O28" s="271">
        <f t="shared" si="0"/>
        <v>3.3444816053511706</v>
      </c>
      <c r="P28" s="271">
        <f t="shared" si="0"/>
        <v>3.0100334448160537</v>
      </c>
      <c r="Q28" s="271">
        <f t="shared" si="0"/>
        <v>2.787068004459309</v>
      </c>
      <c r="R28" s="271">
        <f t="shared" si="0"/>
        <v>1.4492753623188406</v>
      </c>
      <c r="S28" s="271">
        <f t="shared" si="0"/>
        <v>1.4492753623188406</v>
      </c>
      <c r="T28" s="271">
        <f t="shared" si="0"/>
        <v>0.89186176142697882</v>
      </c>
      <c r="U28" s="271">
        <f t="shared" si="0"/>
        <v>1.5607580824972129</v>
      </c>
      <c r="V28" s="271">
        <f t="shared" si="0"/>
        <v>4.0133779264214047</v>
      </c>
      <c r="W28" s="267">
        <f t="shared" si="0"/>
        <v>96.878483835005568</v>
      </c>
    </row>
    <row r="29" spans="1:23" ht="18.95" customHeight="1">
      <c r="A29" s="45">
        <v>8</v>
      </c>
      <c r="B29" s="197" t="s">
        <v>305</v>
      </c>
      <c r="C29" s="197" t="s">
        <v>313</v>
      </c>
      <c r="D29" s="150">
        <f t="shared" si="0"/>
        <v>100</v>
      </c>
      <c r="E29" s="271">
        <f t="shared" si="0"/>
        <v>5.2386495925494758</v>
      </c>
      <c r="F29" s="271">
        <f t="shared" si="0"/>
        <v>3.7252619324796274</v>
      </c>
      <c r="G29" s="271">
        <f t="shared" si="0"/>
        <v>1.3969732246798603</v>
      </c>
      <c r="H29" s="271">
        <f t="shared" si="0"/>
        <v>2.0954598370197903</v>
      </c>
      <c r="I29" s="271">
        <f t="shared" si="0"/>
        <v>11.641443538998836</v>
      </c>
      <c r="J29" s="271">
        <f t="shared" si="0"/>
        <v>17.112922002328286</v>
      </c>
      <c r="K29" s="271">
        <f t="shared" si="0"/>
        <v>14.435389988358557</v>
      </c>
      <c r="L29" s="271">
        <f t="shared" si="0"/>
        <v>11.757857974388825</v>
      </c>
      <c r="M29" s="271">
        <f t="shared" si="0"/>
        <v>6.0535506402793944</v>
      </c>
      <c r="N29" s="271">
        <f t="shared" si="0"/>
        <v>6.4027939464493606</v>
      </c>
      <c r="O29" s="271">
        <f t="shared" si="0"/>
        <v>3.4924330616996504</v>
      </c>
      <c r="P29" s="271">
        <f t="shared" si="0"/>
        <v>4.3073341094295694</v>
      </c>
      <c r="Q29" s="271">
        <f t="shared" si="0"/>
        <v>3.4924330616996504</v>
      </c>
      <c r="R29" s="271">
        <f t="shared" si="0"/>
        <v>3.1431897555296859</v>
      </c>
      <c r="S29" s="271">
        <f t="shared" si="0"/>
        <v>0.69848661233993015</v>
      </c>
      <c r="T29" s="271">
        <f t="shared" si="0"/>
        <v>0.93131548311990686</v>
      </c>
      <c r="U29" s="271">
        <f t="shared" si="0"/>
        <v>1.5133876600698486</v>
      </c>
      <c r="V29" s="271">
        <f t="shared" si="0"/>
        <v>2.5611175785797435</v>
      </c>
      <c r="W29" s="267">
        <f t="shared" si="0"/>
        <v>94.761350407450522</v>
      </c>
    </row>
    <row r="30" spans="1:23" ht="18.95" customHeight="1">
      <c r="A30" s="45">
        <v>9</v>
      </c>
      <c r="B30" s="197" t="s">
        <v>305</v>
      </c>
      <c r="C30" s="197" t="s">
        <v>301</v>
      </c>
      <c r="D30" s="150">
        <f t="shared" si="0"/>
        <v>100</v>
      </c>
      <c r="E30" s="271">
        <f t="shared" si="0"/>
        <v>4.1212121212121211</v>
      </c>
      <c r="F30" s="271">
        <f t="shared" si="0"/>
        <v>7.2727272727272725</v>
      </c>
      <c r="G30" s="271">
        <f t="shared" si="0"/>
        <v>1.5757575757575759</v>
      </c>
      <c r="H30" s="271">
        <f t="shared" si="0"/>
        <v>1.8181818181818181</v>
      </c>
      <c r="I30" s="271">
        <f t="shared" si="0"/>
        <v>6.5454545454545459</v>
      </c>
      <c r="J30" s="271">
        <f t="shared" si="0"/>
        <v>14.787878787878789</v>
      </c>
      <c r="K30" s="271">
        <f t="shared" si="0"/>
        <v>15.151515151515152</v>
      </c>
      <c r="L30" s="271">
        <f t="shared" si="0"/>
        <v>12.242424242424242</v>
      </c>
      <c r="M30" s="271">
        <f t="shared" si="0"/>
        <v>9.5757575757575761</v>
      </c>
      <c r="N30" s="271">
        <f t="shared" si="0"/>
        <v>6.9090909090909092</v>
      </c>
      <c r="O30" s="271">
        <f t="shared" si="0"/>
        <v>4.4848484848484844</v>
      </c>
      <c r="P30" s="271">
        <f t="shared" si="0"/>
        <v>3.5151515151515147</v>
      </c>
      <c r="Q30" s="271">
        <f t="shared" si="0"/>
        <v>2.9090909090909092</v>
      </c>
      <c r="R30" s="271">
        <f t="shared" si="0"/>
        <v>2.7878787878787876</v>
      </c>
      <c r="S30" s="271">
        <f t="shared" si="0"/>
        <v>1.2121212121212122</v>
      </c>
      <c r="T30" s="271">
        <f t="shared" si="0"/>
        <v>0.96969696969696972</v>
      </c>
      <c r="U30" s="271">
        <f t="shared" si="0"/>
        <v>1.5757575757575759</v>
      </c>
      <c r="V30" s="271">
        <f t="shared" si="0"/>
        <v>2.5454545454545454</v>
      </c>
      <c r="W30" s="267">
        <f t="shared" si="0"/>
        <v>95.878787878787875</v>
      </c>
    </row>
    <row r="31" spans="1:23" ht="18.95" customHeight="1">
      <c r="A31" s="46">
        <v>10</v>
      </c>
      <c r="B31" s="186" t="s">
        <v>235</v>
      </c>
      <c r="C31" s="186" t="s">
        <v>305</v>
      </c>
      <c r="D31" s="292">
        <f t="shared" si="0"/>
        <v>100</v>
      </c>
      <c r="E31" s="272">
        <f t="shared" si="0"/>
        <v>1.8567639257294428</v>
      </c>
      <c r="F31" s="272">
        <f t="shared" si="0"/>
        <v>3.8461538461538463</v>
      </c>
      <c r="G31" s="272">
        <f t="shared" si="0"/>
        <v>1.5915119363395225</v>
      </c>
      <c r="H31" s="272">
        <f t="shared" si="0"/>
        <v>4.5092838196286467</v>
      </c>
      <c r="I31" s="272">
        <f t="shared" si="0"/>
        <v>11.671087533156498</v>
      </c>
      <c r="J31" s="272">
        <f t="shared" si="0"/>
        <v>14.058355437665782</v>
      </c>
      <c r="K31" s="272">
        <f t="shared" si="0"/>
        <v>9.9469496021220163</v>
      </c>
      <c r="L31" s="272">
        <f t="shared" si="0"/>
        <v>9.549071618037134</v>
      </c>
      <c r="M31" s="272">
        <f t="shared" si="0"/>
        <v>7.957559681697612</v>
      </c>
      <c r="N31" s="272">
        <f t="shared" si="0"/>
        <v>6.1007957559681696</v>
      </c>
      <c r="O31" s="272">
        <f t="shared" si="0"/>
        <v>4.6419098143236077</v>
      </c>
      <c r="P31" s="272">
        <f t="shared" si="0"/>
        <v>2.2546419098143233</v>
      </c>
      <c r="Q31" s="272">
        <f t="shared" si="0"/>
        <v>2.7851458885941645</v>
      </c>
      <c r="R31" s="272">
        <f t="shared" si="0"/>
        <v>2.3872679045092835</v>
      </c>
      <c r="S31" s="272">
        <f t="shared" si="0"/>
        <v>1.989389920424403</v>
      </c>
      <c r="T31" s="272">
        <f t="shared" si="0"/>
        <v>1.989389920424403</v>
      </c>
      <c r="U31" s="272">
        <f t="shared" si="0"/>
        <v>3.7135278514588856</v>
      </c>
      <c r="V31" s="272">
        <f t="shared" si="0"/>
        <v>9.1511936339522553</v>
      </c>
      <c r="W31" s="268">
        <f t="shared" si="0"/>
        <v>98.143236074270561</v>
      </c>
    </row>
    <row r="32" spans="1:23" ht="13.9" customHeight="1">
      <c r="A32" s="6" t="s">
        <v>328</v>
      </c>
    </row>
    <row r="33" spans="1:1" ht="13.9" customHeight="1">
      <c r="A33" s="6" t="s">
        <v>415</v>
      </c>
    </row>
  </sheetData>
  <mergeCells count="46">
    <mergeCell ref="A3:A6"/>
    <mergeCell ref="B3:B6"/>
    <mergeCell ref="C3: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5:W6"/>
    <mergeCell ref="A18:A21"/>
    <mergeCell ref="B18:B21"/>
    <mergeCell ref="C18:C21"/>
    <mergeCell ref="D19:D21"/>
    <mergeCell ref="E19:E21"/>
    <mergeCell ref="F19:F21"/>
    <mergeCell ref="G19:G21"/>
    <mergeCell ref="H19:H21"/>
    <mergeCell ref="I19:I21"/>
    <mergeCell ref="J19:J21"/>
    <mergeCell ref="K19:K21"/>
    <mergeCell ref="L19:L21"/>
    <mergeCell ref="M19:M21"/>
    <mergeCell ref="N19:N21"/>
    <mergeCell ref="O19:O21"/>
    <mergeCell ref="P19:P21"/>
    <mergeCell ref="Q19:Q21"/>
    <mergeCell ref="R19:R21"/>
    <mergeCell ref="S19:S21"/>
    <mergeCell ref="T19:T21"/>
    <mergeCell ref="U19:U21"/>
    <mergeCell ref="V19:V21"/>
    <mergeCell ref="W20:W21"/>
  </mergeCells>
  <phoneticPr fontId="8"/>
  <hyperlinks>
    <hyperlink ref="Y3" location="目次!A43"/>
  </hyperlinks>
  <printOptions horizontalCentered="1"/>
  <pageMargins left="0.19685039370078741" right="0.19685039370078741" top="0.39370078740157483" bottom="0.39370078740157483" header="0.19685039370078741" footer="0.19685039370078741"/>
  <pageSetup paperSize="9" fitToWidth="1" fitToHeight="1" orientation="landscape"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1"/>
  <dimension ref="A1:AD36"/>
  <sheetViews>
    <sheetView showGridLines="0" workbookViewId="0">
      <selection activeCell="C36" sqref="C36"/>
    </sheetView>
  </sheetViews>
  <sheetFormatPr defaultRowHeight="13.5"/>
  <cols>
    <col min="1" max="1" width="3.625" style="320" customWidth="1"/>
    <col min="2" max="2" width="10.625" style="321" customWidth="1"/>
    <col min="3" max="3" width="7.625" style="321" customWidth="1"/>
    <col min="4" max="28" width="7.125" style="320" customWidth="1"/>
    <col min="29" max="16384" width="9" style="320" customWidth="1"/>
  </cols>
  <sheetData>
    <row r="1" spans="1:30">
      <c r="A1" s="323" t="s">
        <v>374</v>
      </c>
      <c r="B1" s="320"/>
    </row>
    <row r="2" spans="1:30" ht="13.35" customHeight="1">
      <c r="B2" s="331"/>
      <c r="C2" s="331"/>
      <c r="AB2" s="379" t="s">
        <v>403</v>
      </c>
    </row>
    <row r="3" spans="1:30" ht="24.95" customHeight="1">
      <c r="A3" s="324" t="s">
        <v>376</v>
      </c>
      <c r="B3" s="332"/>
      <c r="C3" s="341" t="s">
        <v>379</v>
      </c>
      <c r="D3" s="350" t="s">
        <v>192</v>
      </c>
      <c r="E3" s="359"/>
      <c r="F3" s="359"/>
      <c r="G3" s="359"/>
      <c r="H3" s="359"/>
      <c r="I3" s="359"/>
      <c r="J3" s="359"/>
      <c r="K3" s="359"/>
      <c r="L3" s="367"/>
      <c r="M3" s="350" t="s">
        <v>197</v>
      </c>
      <c r="N3" s="359"/>
      <c r="O3" s="359"/>
      <c r="P3" s="359"/>
      <c r="Q3" s="359"/>
      <c r="R3" s="359"/>
      <c r="S3" s="359"/>
      <c r="T3" s="359"/>
      <c r="U3" s="367"/>
      <c r="V3" s="359" t="s">
        <v>8</v>
      </c>
      <c r="W3" s="359"/>
      <c r="X3" s="359"/>
      <c r="Y3" s="359"/>
      <c r="Z3" s="359"/>
      <c r="AA3" s="359"/>
      <c r="AB3" s="359"/>
      <c r="AD3" s="382" t="s">
        <v>118</v>
      </c>
    </row>
    <row r="4" spans="1:30" ht="24.95" customHeight="1">
      <c r="A4" s="325"/>
      <c r="B4" s="333"/>
      <c r="C4" s="342"/>
      <c r="D4" s="351" t="s">
        <v>337</v>
      </c>
      <c r="E4" s="360" t="s">
        <v>130</v>
      </c>
      <c r="F4" s="360" t="s">
        <v>59</v>
      </c>
      <c r="G4" s="360" t="s">
        <v>343</v>
      </c>
      <c r="H4" s="360" t="s">
        <v>346</v>
      </c>
      <c r="I4" s="364" t="s">
        <v>77</v>
      </c>
      <c r="J4" s="360" t="s">
        <v>247</v>
      </c>
      <c r="K4" s="360" t="s">
        <v>348</v>
      </c>
      <c r="L4" s="360" t="s">
        <v>349</v>
      </c>
      <c r="M4" s="360" t="s">
        <v>115</v>
      </c>
      <c r="N4" s="360" t="s">
        <v>339</v>
      </c>
      <c r="O4" s="364" t="s">
        <v>330</v>
      </c>
      <c r="P4" s="360" t="s">
        <v>342</v>
      </c>
      <c r="Q4" s="360" t="s">
        <v>344</v>
      </c>
      <c r="R4" s="360" t="s">
        <v>350</v>
      </c>
      <c r="S4" s="360" t="s">
        <v>351</v>
      </c>
      <c r="T4" s="360" t="s">
        <v>250</v>
      </c>
      <c r="U4" s="360" t="s">
        <v>315</v>
      </c>
      <c r="V4" s="360" t="s">
        <v>338</v>
      </c>
      <c r="W4" s="360" t="s">
        <v>340</v>
      </c>
      <c r="X4" s="360" t="s">
        <v>137</v>
      </c>
      <c r="Y4" s="360" t="s">
        <v>345</v>
      </c>
      <c r="Z4" s="360" t="s">
        <v>352</v>
      </c>
      <c r="AA4" s="360" t="s">
        <v>5</v>
      </c>
      <c r="AB4" s="351" t="s">
        <v>304</v>
      </c>
    </row>
    <row r="5" spans="1:30" ht="24.95" customHeight="1">
      <c r="A5" s="325"/>
      <c r="B5" s="333"/>
      <c r="C5" s="342"/>
      <c r="D5" s="352"/>
      <c r="E5" s="361"/>
      <c r="F5" s="361"/>
      <c r="G5" s="361"/>
      <c r="H5" s="361"/>
      <c r="I5" s="365"/>
      <c r="J5" s="361"/>
      <c r="K5" s="361"/>
      <c r="L5" s="361"/>
      <c r="M5" s="361"/>
      <c r="N5" s="361"/>
      <c r="O5" s="365"/>
      <c r="P5" s="361"/>
      <c r="Q5" s="361"/>
      <c r="R5" s="361"/>
      <c r="S5" s="361"/>
      <c r="T5" s="361"/>
      <c r="U5" s="361"/>
      <c r="V5" s="361"/>
      <c r="W5" s="361"/>
      <c r="X5" s="361"/>
      <c r="Y5" s="361"/>
      <c r="Z5" s="361"/>
      <c r="AA5" s="361"/>
      <c r="AB5" s="352"/>
    </row>
    <row r="6" spans="1:30" s="322" customFormat="1" ht="24.95" customHeight="1">
      <c r="A6" s="326"/>
      <c r="B6" s="334"/>
      <c r="C6" s="343"/>
      <c r="D6" s="353"/>
      <c r="E6" s="362"/>
      <c r="F6" s="362"/>
      <c r="G6" s="362"/>
      <c r="H6" s="362"/>
      <c r="I6" s="366"/>
      <c r="J6" s="362"/>
      <c r="K6" s="362"/>
      <c r="L6" s="362"/>
      <c r="M6" s="362"/>
      <c r="N6" s="362"/>
      <c r="O6" s="366"/>
      <c r="P6" s="362"/>
      <c r="Q6" s="362"/>
      <c r="R6" s="362"/>
      <c r="S6" s="362"/>
      <c r="T6" s="362"/>
      <c r="U6" s="362"/>
      <c r="V6" s="362"/>
      <c r="W6" s="362"/>
      <c r="X6" s="362"/>
      <c r="Y6" s="362"/>
      <c r="Z6" s="362"/>
      <c r="AA6" s="362"/>
      <c r="AB6" s="353"/>
      <c r="AD6" s="322"/>
    </row>
    <row r="7" spans="1:30" ht="24.95" customHeight="1">
      <c r="A7" s="327" t="s">
        <v>377</v>
      </c>
      <c r="B7" s="335"/>
      <c r="C7" s="344">
        <v>30351</v>
      </c>
      <c r="D7" s="354">
        <v>1942</v>
      </c>
      <c r="E7" s="354">
        <v>1937</v>
      </c>
      <c r="F7" s="354">
        <v>897</v>
      </c>
      <c r="G7" s="354">
        <v>1147</v>
      </c>
      <c r="H7" s="354">
        <v>248</v>
      </c>
      <c r="I7" s="354">
        <v>118</v>
      </c>
      <c r="J7" s="354">
        <v>186</v>
      </c>
      <c r="K7" s="354">
        <v>671</v>
      </c>
      <c r="L7" s="354">
        <v>300</v>
      </c>
      <c r="M7" s="369">
        <v>6227</v>
      </c>
      <c r="N7" s="354">
        <v>1456</v>
      </c>
      <c r="O7" s="354">
        <v>2204</v>
      </c>
      <c r="P7" s="354">
        <v>1543</v>
      </c>
      <c r="Q7" s="354">
        <v>840</v>
      </c>
      <c r="R7" s="354">
        <v>545</v>
      </c>
      <c r="S7" s="354">
        <v>343</v>
      </c>
      <c r="T7" s="354">
        <v>247</v>
      </c>
      <c r="U7" s="354">
        <v>135</v>
      </c>
      <c r="V7" s="376">
        <v>2614</v>
      </c>
      <c r="W7" s="354">
        <v>1554</v>
      </c>
      <c r="X7" s="354">
        <v>2666</v>
      </c>
      <c r="Y7" s="354">
        <v>1046</v>
      </c>
      <c r="Z7" s="354">
        <v>790</v>
      </c>
      <c r="AA7" s="369">
        <v>560</v>
      </c>
      <c r="AB7" s="369">
        <v>135</v>
      </c>
    </row>
    <row r="8" spans="1:30" ht="24.95" customHeight="1">
      <c r="A8" s="328" t="s">
        <v>16</v>
      </c>
      <c r="B8" s="336" t="s">
        <v>337</v>
      </c>
      <c r="C8" s="345">
        <v>1697</v>
      </c>
      <c r="D8" s="355"/>
      <c r="E8" s="78">
        <v>169</v>
      </c>
      <c r="F8" s="78">
        <v>29</v>
      </c>
      <c r="G8" s="78">
        <v>111</v>
      </c>
      <c r="H8" s="78">
        <v>3</v>
      </c>
      <c r="I8" s="78">
        <v>5</v>
      </c>
      <c r="J8" s="78">
        <v>92</v>
      </c>
      <c r="K8" s="78">
        <v>252</v>
      </c>
      <c r="L8" s="78">
        <v>187</v>
      </c>
      <c r="M8" s="87">
        <v>502</v>
      </c>
      <c r="N8" s="78">
        <v>19</v>
      </c>
      <c r="O8" s="78">
        <v>60</v>
      </c>
      <c r="P8" s="78">
        <v>42</v>
      </c>
      <c r="Q8" s="78">
        <v>13</v>
      </c>
      <c r="R8" s="78">
        <v>7</v>
      </c>
      <c r="S8" s="78">
        <v>13</v>
      </c>
      <c r="T8" s="78">
        <v>5</v>
      </c>
      <c r="U8" s="78">
        <v>9</v>
      </c>
      <c r="V8" s="67">
        <v>52</v>
      </c>
      <c r="W8" s="78">
        <v>29</v>
      </c>
      <c r="X8" s="78">
        <v>69</v>
      </c>
      <c r="Y8" s="78">
        <v>19</v>
      </c>
      <c r="Z8" s="78">
        <v>8</v>
      </c>
      <c r="AA8" s="87">
        <v>2</v>
      </c>
      <c r="AB8" s="87">
        <v>0</v>
      </c>
    </row>
    <row r="9" spans="1:30" ht="24.95" customHeight="1">
      <c r="A9" s="328"/>
      <c r="B9" s="337" t="s">
        <v>130</v>
      </c>
      <c r="C9" s="346">
        <v>1847</v>
      </c>
      <c r="D9" s="356">
        <v>155</v>
      </c>
      <c r="E9" s="363"/>
      <c r="F9" s="356">
        <v>279</v>
      </c>
      <c r="G9" s="356">
        <v>273</v>
      </c>
      <c r="H9" s="356">
        <v>88</v>
      </c>
      <c r="I9" s="356">
        <v>12</v>
      </c>
      <c r="J9" s="356">
        <v>17</v>
      </c>
      <c r="K9" s="356">
        <v>32</v>
      </c>
      <c r="L9" s="356">
        <v>10</v>
      </c>
      <c r="M9" s="370">
        <v>595</v>
      </c>
      <c r="N9" s="356">
        <v>35</v>
      </c>
      <c r="O9" s="356">
        <v>65</v>
      </c>
      <c r="P9" s="356">
        <v>37</v>
      </c>
      <c r="Q9" s="356">
        <v>7</v>
      </c>
      <c r="R9" s="356">
        <v>8</v>
      </c>
      <c r="S9" s="356">
        <v>4</v>
      </c>
      <c r="T9" s="356">
        <v>5</v>
      </c>
      <c r="U9" s="356">
        <v>3</v>
      </c>
      <c r="V9" s="377">
        <v>62</v>
      </c>
      <c r="W9" s="356">
        <v>34</v>
      </c>
      <c r="X9" s="356">
        <v>72</v>
      </c>
      <c r="Y9" s="356">
        <v>24</v>
      </c>
      <c r="Z9" s="356">
        <v>20</v>
      </c>
      <c r="AA9" s="370">
        <v>8</v>
      </c>
      <c r="AB9" s="370">
        <v>2</v>
      </c>
    </row>
    <row r="10" spans="1:30" ht="24.95" customHeight="1">
      <c r="A10" s="328"/>
      <c r="B10" s="337" t="s">
        <v>59</v>
      </c>
      <c r="C10" s="346">
        <v>564</v>
      </c>
      <c r="D10" s="356">
        <v>32</v>
      </c>
      <c r="E10" s="356">
        <v>116</v>
      </c>
      <c r="F10" s="363"/>
      <c r="G10" s="356">
        <v>33</v>
      </c>
      <c r="H10" s="356">
        <v>93</v>
      </c>
      <c r="I10" s="356">
        <v>2</v>
      </c>
      <c r="J10" s="356">
        <v>1</v>
      </c>
      <c r="K10" s="356">
        <v>6</v>
      </c>
      <c r="L10" s="356">
        <v>1</v>
      </c>
      <c r="M10" s="370">
        <v>154</v>
      </c>
      <c r="N10" s="356">
        <v>11</v>
      </c>
      <c r="O10" s="356">
        <v>25</v>
      </c>
      <c r="P10" s="356">
        <v>9</v>
      </c>
      <c r="Q10" s="356">
        <v>12</v>
      </c>
      <c r="R10" s="356">
        <v>7</v>
      </c>
      <c r="S10" s="356">
        <v>0</v>
      </c>
      <c r="T10" s="356">
        <v>1</v>
      </c>
      <c r="U10" s="356">
        <v>0</v>
      </c>
      <c r="V10" s="377">
        <v>25</v>
      </c>
      <c r="W10" s="356">
        <v>7</v>
      </c>
      <c r="X10" s="356">
        <v>22</v>
      </c>
      <c r="Y10" s="356">
        <v>2</v>
      </c>
      <c r="Z10" s="356">
        <v>4</v>
      </c>
      <c r="AA10" s="370">
        <v>1</v>
      </c>
      <c r="AB10" s="370">
        <v>0</v>
      </c>
    </row>
    <row r="11" spans="1:30" ht="24.95" customHeight="1">
      <c r="A11" s="328"/>
      <c r="B11" s="337" t="s">
        <v>343</v>
      </c>
      <c r="C11" s="346">
        <v>858</v>
      </c>
      <c r="D11" s="356">
        <v>100</v>
      </c>
      <c r="E11" s="356">
        <v>218</v>
      </c>
      <c r="F11" s="356">
        <v>36</v>
      </c>
      <c r="G11" s="363"/>
      <c r="H11" s="356">
        <v>7</v>
      </c>
      <c r="I11" s="356">
        <v>32</v>
      </c>
      <c r="J11" s="356">
        <v>20</v>
      </c>
      <c r="K11" s="356">
        <v>7</v>
      </c>
      <c r="L11" s="356">
        <v>1</v>
      </c>
      <c r="M11" s="370">
        <v>300</v>
      </c>
      <c r="N11" s="356">
        <v>14</v>
      </c>
      <c r="O11" s="356">
        <v>23</v>
      </c>
      <c r="P11" s="356">
        <v>17</v>
      </c>
      <c r="Q11" s="356">
        <v>6</v>
      </c>
      <c r="R11" s="356">
        <v>7</v>
      </c>
      <c r="S11" s="356">
        <v>3</v>
      </c>
      <c r="T11" s="356">
        <v>1</v>
      </c>
      <c r="U11" s="356">
        <v>1</v>
      </c>
      <c r="V11" s="377">
        <v>15</v>
      </c>
      <c r="W11" s="356">
        <v>11</v>
      </c>
      <c r="X11" s="356">
        <v>25</v>
      </c>
      <c r="Y11" s="356">
        <v>8</v>
      </c>
      <c r="Z11" s="356">
        <v>3</v>
      </c>
      <c r="AA11" s="370">
        <v>3</v>
      </c>
      <c r="AB11" s="370">
        <v>0</v>
      </c>
    </row>
    <row r="12" spans="1:30" ht="24.95" customHeight="1">
      <c r="A12" s="328"/>
      <c r="B12" s="337" t="s">
        <v>346</v>
      </c>
      <c r="C12" s="346">
        <v>159</v>
      </c>
      <c r="D12" s="356">
        <v>3</v>
      </c>
      <c r="E12" s="356">
        <v>47</v>
      </c>
      <c r="F12" s="356">
        <v>83</v>
      </c>
      <c r="G12" s="356">
        <v>7</v>
      </c>
      <c r="H12" s="363"/>
      <c r="I12" s="356">
        <v>0</v>
      </c>
      <c r="J12" s="356">
        <v>3</v>
      </c>
      <c r="K12" s="356">
        <v>0</v>
      </c>
      <c r="L12" s="356">
        <v>0</v>
      </c>
      <c r="M12" s="370">
        <v>11</v>
      </c>
      <c r="N12" s="356">
        <v>1</v>
      </c>
      <c r="O12" s="356">
        <v>1</v>
      </c>
      <c r="P12" s="356">
        <v>1</v>
      </c>
      <c r="Q12" s="356">
        <v>0</v>
      </c>
      <c r="R12" s="356">
        <v>0</v>
      </c>
      <c r="S12" s="356">
        <v>0</v>
      </c>
      <c r="T12" s="356">
        <v>0</v>
      </c>
      <c r="U12" s="356">
        <v>0</v>
      </c>
      <c r="V12" s="377">
        <v>0</v>
      </c>
      <c r="W12" s="356">
        <v>0</v>
      </c>
      <c r="X12" s="356">
        <v>1</v>
      </c>
      <c r="Y12" s="356">
        <v>1</v>
      </c>
      <c r="Z12" s="356">
        <v>0</v>
      </c>
      <c r="AA12" s="370">
        <v>0</v>
      </c>
      <c r="AB12" s="370">
        <v>0</v>
      </c>
    </row>
    <row r="13" spans="1:30" ht="24.95" customHeight="1">
      <c r="A13" s="328"/>
      <c r="B13" s="337" t="s">
        <v>347</v>
      </c>
      <c r="C13" s="346">
        <v>68</v>
      </c>
      <c r="D13" s="356">
        <v>6</v>
      </c>
      <c r="E13" s="356">
        <v>6</v>
      </c>
      <c r="F13" s="356">
        <v>0</v>
      </c>
      <c r="G13" s="356">
        <v>46</v>
      </c>
      <c r="H13" s="356">
        <v>0</v>
      </c>
      <c r="I13" s="363"/>
      <c r="J13" s="356">
        <v>2</v>
      </c>
      <c r="K13" s="356">
        <v>0</v>
      </c>
      <c r="L13" s="356">
        <v>0</v>
      </c>
      <c r="M13" s="370">
        <v>4</v>
      </c>
      <c r="N13" s="356">
        <v>0</v>
      </c>
      <c r="O13" s="356">
        <v>0</v>
      </c>
      <c r="P13" s="356">
        <v>0</v>
      </c>
      <c r="Q13" s="356">
        <v>0</v>
      </c>
      <c r="R13" s="356">
        <v>2</v>
      </c>
      <c r="S13" s="356">
        <v>0</v>
      </c>
      <c r="T13" s="356">
        <v>0</v>
      </c>
      <c r="U13" s="356">
        <v>0</v>
      </c>
      <c r="V13" s="377">
        <v>0</v>
      </c>
      <c r="W13" s="356">
        <v>0</v>
      </c>
      <c r="X13" s="356">
        <v>2</v>
      </c>
      <c r="Y13" s="356">
        <v>0</v>
      </c>
      <c r="Z13" s="356">
        <v>0</v>
      </c>
      <c r="AA13" s="370">
        <v>0</v>
      </c>
      <c r="AB13" s="370">
        <v>0</v>
      </c>
    </row>
    <row r="14" spans="1:30" ht="24.95" customHeight="1">
      <c r="A14" s="328"/>
      <c r="B14" s="337" t="s">
        <v>247</v>
      </c>
      <c r="C14" s="346">
        <v>70</v>
      </c>
      <c r="D14" s="356">
        <v>29</v>
      </c>
      <c r="E14" s="356">
        <v>0</v>
      </c>
      <c r="F14" s="356">
        <v>1</v>
      </c>
      <c r="G14" s="356">
        <v>3</v>
      </c>
      <c r="H14" s="356">
        <v>0</v>
      </c>
      <c r="I14" s="356">
        <v>0</v>
      </c>
      <c r="J14" s="363"/>
      <c r="K14" s="356">
        <v>3</v>
      </c>
      <c r="L14" s="356">
        <v>1</v>
      </c>
      <c r="M14" s="370">
        <v>18</v>
      </c>
      <c r="N14" s="356">
        <v>4</v>
      </c>
      <c r="O14" s="356">
        <v>2</v>
      </c>
      <c r="P14" s="356">
        <v>3</v>
      </c>
      <c r="Q14" s="356">
        <v>0</v>
      </c>
      <c r="R14" s="356">
        <v>0</v>
      </c>
      <c r="S14" s="356">
        <v>0</v>
      </c>
      <c r="T14" s="356">
        <v>0</v>
      </c>
      <c r="U14" s="356">
        <v>0</v>
      </c>
      <c r="V14" s="377">
        <v>0</v>
      </c>
      <c r="W14" s="356">
        <v>1</v>
      </c>
      <c r="X14" s="356">
        <v>1</v>
      </c>
      <c r="Y14" s="356">
        <v>1</v>
      </c>
      <c r="Z14" s="356">
        <v>0</v>
      </c>
      <c r="AA14" s="370">
        <v>3</v>
      </c>
      <c r="AB14" s="370">
        <v>0</v>
      </c>
    </row>
    <row r="15" spans="1:30" ht="24.95" customHeight="1">
      <c r="A15" s="328"/>
      <c r="B15" s="337" t="s">
        <v>348</v>
      </c>
      <c r="C15" s="346">
        <v>459</v>
      </c>
      <c r="D15" s="356">
        <v>237</v>
      </c>
      <c r="E15" s="356">
        <v>9</v>
      </c>
      <c r="F15" s="356">
        <v>11</v>
      </c>
      <c r="G15" s="356">
        <v>16</v>
      </c>
      <c r="H15" s="356">
        <v>1</v>
      </c>
      <c r="I15" s="356">
        <v>2</v>
      </c>
      <c r="J15" s="356">
        <v>17</v>
      </c>
      <c r="K15" s="363"/>
      <c r="L15" s="356">
        <v>18</v>
      </c>
      <c r="M15" s="370">
        <v>78</v>
      </c>
      <c r="N15" s="356">
        <v>12</v>
      </c>
      <c r="O15" s="356">
        <v>5</v>
      </c>
      <c r="P15" s="356">
        <v>11</v>
      </c>
      <c r="Q15" s="356">
        <v>0</v>
      </c>
      <c r="R15" s="356">
        <v>7</v>
      </c>
      <c r="S15" s="356">
        <v>14</v>
      </c>
      <c r="T15" s="356">
        <v>3</v>
      </c>
      <c r="U15" s="356">
        <v>5</v>
      </c>
      <c r="V15" s="377">
        <v>3</v>
      </c>
      <c r="W15" s="356">
        <v>6</v>
      </c>
      <c r="X15" s="356">
        <v>0</v>
      </c>
      <c r="Y15" s="356">
        <v>3</v>
      </c>
      <c r="Z15" s="356">
        <v>1</v>
      </c>
      <c r="AA15" s="370">
        <v>0</v>
      </c>
      <c r="AB15" s="370">
        <v>0</v>
      </c>
    </row>
    <row r="16" spans="1:30" ht="24.95" customHeight="1">
      <c r="A16" s="329"/>
      <c r="B16" s="338" t="s">
        <v>349</v>
      </c>
      <c r="C16" s="347">
        <v>120</v>
      </c>
      <c r="D16" s="357">
        <v>76</v>
      </c>
      <c r="E16" s="357">
        <v>1</v>
      </c>
      <c r="F16" s="357">
        <v>3</v>
      </c>
      <c r="G16" s="357">
        <v>5</v>
      </c>
      <c r="H16" s="357">
        <v>0</v>
      </c>
      <c r="I16" s="357">
        <v>0</v>
      </c>
      <c r="J16" s="357">
        <v>0</v>
      </c>
      <c r="K16" s="357">
        <v>5</v>
      </c>
      <c r="L16" s="368"/>
      <c r="M16" s="371">
        <v>26</v>
      </c>
      <c r="N16" s="357">
        <v>0</v>
      </c>
      <c r="O16" s="357">
        <v>0</v>
      </c>
      <c r="P16" s="357">
        <v>0</v>
      </c>
      <c r="Q16" s="357">
        <v>0</v>
      </c>
      <c r="R16" s="357">
        <v>0</v>
      </c>
      <c r="S16" s="357">
        <v>0</v>
      </c>
      <c r="T16" s="357">
        <v>0</v>
      </c>
      <c r="U16" s="357">
        <v>1</v>
      </c>
      <c r="V16" s="162">
        <v>0</v>
      </c>
      <c r="W16" s="357">
        <v>2</v>
      </c>
      <c r="X16" s="357">
        <v>0</v>
      </c>
      <c r="Y16" s="357">
        <v>0</v>
      </c>
      <c r="Z16" s="357">
        <v>1</v>
      </c>
      <c r="AA16" s="371">
        <v>0</v>
      </c>
      <c r="AB16" s="371">
        <v>0</v>
      </c>
    </row>
    <row r="17" spans="1:28" s="320" customFormat="1" ht="24.95" customHeight="1">
      <c r="A17" s="330" t="s">
        <v>6</v>
      </c>
      <c r="B17" s="336" t="s">
        <v>115</v>
      </c>
      <c r="C17" s="345">
        <v>10474</v>
      </c>
      <c r="D17" s="78">
        <v>897</v>
      </c>
      <c r="E17" s="78">
        <v>962</v>
      </c>
      <c r="F17" s="78">
        <v>287</v>
      </c>
      <c r="G17" s="78">
        <v>447</v>
      </c>
      <c r="H17" s="78">
        <v>36</v>
      </c>
      <c r="I17" s="78">
        <v>36</v>
      </c>
      <c r="J17" s="78">
        <v>21</v>
      </c>
      <c r="K17" s="78">
        <v>193</v>
      </c>
      <c r="L17" s="78">
        <v>61</v>
      </c>
      <c r="M17" s="372"/>
      <c r="N17" s="374">
        <v>754</v>
      </c>
      <c r="O17" s="78">
        <v>1302</v>
      </c>
      <c r="P17" s="78">
        <v>989</v>
      </c>
      <c r="Q17" s="78">
        <v>307</v>
      </c>
      <c r="R17" s="78">
        <v>215</v>
      </c>
      <c r="S17" s="78">
        <v>140</v>
      </c>
      <c r="T17" s="78">
        <v>105</v>
      </c>
      <c r="U17" s="78">
        <v>60</v>
      </c>
      <c r="V17" s="67">
        <v>1128</v>
      </c>
      <c r="W17" s="78">
        <v>552</v>
      </c>
      <c r="X17" s="78">
        <v>1295</v>
      </c>
      <c r="Y17" s="78">
        <v>372</v>
      </c>
      <c r="Z17" s="78">
        <v>171</v>
      </c>
      <c r="AA17" s="87">
        <v>122</v>
      </c>
      <c r="AB17" s="87">
        <v>22</v>
      </c>
    </row>
    <row r="18" spans="1:28" s="320" customFormat="1" ht="24.95" customHeight="1">
      <c r="A18" s="328"/>
      <c r="B18" s="337" t="s">
        <v>339</v>
      </c>
      <c r="C18" s="346">
        <v>542</v>
      </c>
      <c r="D18" s="356">
        <v>19</v>
      </c>
      <c r="E18" s="356">
        <v>19</v>
      </c>
      <c r="F18" s="356">
        <v>5</v>
      </c>
      <c r="G18" s="356">
        <v>5</v>
      </c>
      <c r="H18" s="356">
        <v>1</v>
      </c>
      <c r="I18" s="356">
        <v>0</v>
      </c>
      <c r="J18" s="356">
        <v>1</v>
      </c>
      <c r="K18" s="356">
        <v>11</v>
      </c>
      <c r="L18" s="356">
        <v>1</v>
      </c>
      <c r="M18" s="373">
        <v>264</v>
      </c>
      <c r="N18" s="363"/>
      <c r="O18" s="356">
        <v>17</v>
      </c>
      <c r="P18" s="356">
        <v>123</v>
      </c>
      <c r="Q18" s="356">
        <v>10</v>
      </c>
      <c r="R18" s="356">
        <v>6</v>
      </c>
      <c r="S18" s="356">
        <v>5</v>
      </c>
      <c r="T18" s="356">
        <v>1</v>
      </c>
      <c r="U18" s="356">
        <v>13</v>
      </c>
      <c r="V18" s="377">
        <v>15</v>
      </c>
      <c r="W18" s="356">
        <v>7</v>
      </c>
      <c r="X18" s="356">
        <v>12</v>
      </c>
      <c r="Y18" s="356">
        <v>6</v>
      </c>
      <c r="Z18" s="356">
        <v>1</v>
      </c>
      <c r="AA18" s="370">
        <v>0</v>
      </c>
      <c r="AB18" s="370">
        <v>0</v>
      </c>
    </row>
    <row r="19" spans="1:28" s="320" customFormat="1" ht="24.95" customHeight="1">
      <c r="A19" s="328"/>
      <c r="B19" s="337" t="s">
        <v>341</v>
      </c>
      <c r="C19" s="346">
        <v>2151</v>
      </c>
      <c r="D19" s="356">
        <v>81</v>
      </c>
      <c r="E19" s="356">
        <v>82</v>
      </c>
      <c r="F19" s="356">
        <v>30</v>
      </c>
      <c r="G19" s="356">
        <v>39</v>
      </c>
      <c r="H19" s="356">
        <v>9</v>
      </c>
      <c r="I19" s="356">
        <v>1</v>
      </c>
      <c r="J19" s="356">
        <v>0</v>
      </c>
      <c r="K19" s="356">
        <v>16</v>
      </c>
      <c r="L19" s="356">
        <v>2</v>
      </c>
      <c r="M19" s="370">
        <v>859</v>
      </c>
      <c r="N19" s="356">
        <v>27</v>
      </c>
      <c r="O19" s="363"/>
      <c r="P19" s="356">
        <v>63</v>
      </c>
      <c r="Q19" s="356">
        <v>417</v>
      </c>
      <c r="R19" s="356">
        <v>16</v>
      </c>
      <c r="S19" s="356">
        <v>13</v>
      </c>
      <c r="T19" s="356">
        <v>2</v>
      </c>
      <c r="U19" s="356">
        <v>9</v>
      </c>
      <c r="V19" s="377">
        <v>148</v>
      </c>
      <c r="W19" s="356">
        <v>91</v>
      </c>
      <c r="X19" s="356">
        <v>157</v>
      </c>
      <c r="Y19" s="356">
        <v>47</v>
      </c>
      <c r="Z19" s="356">
        <v>20</v>
      </c>
      <c r="AA19" s="370">
        <v>18</v>
      </c>
      <c r="AB19" s="370">
        <v>4</v>
      </c>
    </row>
    <row r="20" spans="1:28" s="320" customFormat="1" ht="24.95" customHeight="1">
      <c r="A20" s="328"/>
      <c r="B20" s="337" t="s">
        <v>342</v>
      </c>
      <c r="C20" s="346">
        <v>2073</v>
      </c>
      <c r="D20" s="356">
        <v>73</v>
      </c>
      <c r="E20" s="356">
        <v>35</v>
      </c>
      <c r="F20" s="356">
        <v>21</v>
      </c>
      <c r="G20" s="356">
        <v>29</v>
      </c>
      <c r="H20" s="356">
        <v>2</v>
      </c>
      <c r="I20" s="356">
        <v>8</v>
      </c>
      <c r="J20" s="356">
        <v>3</v>
      </c>
      <c r="K20" s="356">
        <v>55</v>
      </c>
      <c r="L20" s="356">
        <v>8</v>
      </c>
      <c r="M20" s="370">
        <v>991</v>
      </c>
      <c r="N20" s="356">
        <v>443</v>
      </c>
      <c r="O20" s="356">
        <v>34</v>
      </c>
      <c r="P20" s="363"/>
      <c r="Q20" s="356">
        <v>9</v>
      </c>
      <c r="R20" s="356">
        <v>100</v>
      </c>
      <c r="S20" s="356">
        <v>84</v>
      </c>
      <c r="T20" s="356">
        <v>79</v>
      </c>
      <c r="U20" s="356">
        <v>19</v>
      </c>
      <c r="V20" s="377">
        <v>19</v>
      </c>
      <c r="W20" s="356">
        <v>11</v>
      </c>
      <c r="X20" s="356">
        <v>41</v>
      </c>
      <c r="Y20" s="356">
        <v>2</v>
      </c>
      <c r="Z20" s="356">
        <v>3</v>
      </c>
      <c r="AA20" s="370">
        <v>2</v>
      </c>
      <c r="AB20" s="370">
        <v>2</v>
      </c>
    </row>
    <row r="21" spans="1:28" ht="24.95" customHeight="1">
      <c r="A21" s="328"/>
      <c r="B21" s="337" t="s">
        <v>344</v>
      </c>
      <c r="C21" s="346">
        <v>501</v>
      </c>
      <c r="D21" s="356">
        <v>10</v>
      </c>
      <c r="E21" s="356">
        <v>7</v>
      </c>
      <c r="F21" s="356">
        <v>2</v>
      </c>
      <c r="G21" s="356">
        <v>3</v>
      </c>
      <c r="H21" s="356">
        <v>1</v>
      </c>
      <c r="I21" s="356">
        <v>0</v>
      </c>
      <c r="J21" s="356">
        <v>0</v>
      </c>
      <c r="K21" s="356">
        <v>0</v>
      </c>
      <c r="L21" s="356">
        <v>0</v>
      </c>
      <c r="M21" s="370">
        <v>145</v>
      </c>
      <c r="N21" s="356">
        <v>4</v>
      </c>
      <c r="O21" s="356">
        <v>251</v>
      </c>
      <c r="P21" s="356">
        <v>4</v>
      </c>
      <c r="Q21" s="363"/>
      <c r="R21" s="356">
        <v>0</v>
      </c>
      <c r="S21" s="356">
        <v>0</v>
      </c>
      <c r="T21" s="356">
        <v>0</v>
      </c>
      <c r="U21" s="356">
        <v>0</v>
      </c>
      <c r="V21" s="377">
        <v>12</v>
      </c>
      <c r="W21" s="356">
        <v>13</v>
      </c>
      <c r="X21" s="356">
        <v>23</v>
      </c>
      <c r="Y21" s="356">
        <v>17</v>
      </c>
      <c r="Z21" s="356">
        <v>5</v>
      </c>
      <c r="AA21" s="370">
        <v>4</v>
      </c>
      <c r="AB21" s="370">
        <v>0</v>
      </c>
    </row>
    <row r="22" spans="1:28" ht="24.95" customHeight="1">
      <c r="A22" s="328"/>
      <c r="B22" s="337" t="s">
        <v>350</v>
      </c>
      <c r="C22" s="346">
        <v>328</v>
      </c>
      <c r="D22" s="356">
        <v>20</v>
      </c>
      <c r="E22" s="356">
        <v>12</v>
      </c>
      <c r="F22" s="356">
        <v>0</v>
      </c>
      <c r="G22" s="356">
        <v>17</v>
      </c>
      <c r="H22" s="356">
        <v>1</v>
      </c>
      <c r="I22" s="356">
        <v>10</v>
      </c>
      <c r="J22" s="356">
        <v>0</v>
      </c>
      <c r="K22" s="356">
        <v>24</v>
      </c>
      <c r="L22" s="356">
        <v>0</v>
      </c>
      <c r="M22" s="370">
        <v>103</v>
      </c>
      <c r="N22" s="356">
        <v>22</v>
      </c>
      <c r="O22" s="356">
        <v>12</v>
      </c>
      <c r="P22" s="356">
        <v>43</v>
      </c>
      <c r="Q22" s="356">
        <v>2</v>
      </c>
      <c r="R22" s="363"/>
      <c r="S22" s="356">
        <v>31</v>
      </c>
      <c r="T22" s="356">
        <v>18</v>
      </c>
      <c r="U22" s="356">
        <v>2</v>
      </c>
      <c r="V22" s="377">
        <v>3</v>
      </c>
      <c r="W22" s="356">
        <v>1</v>
      </c>
      <c r="X22" s="356">
        <v>5</v>
      </c>
      <c r="Y22" s="356">
        <v>1</v>
      </c>
      <c r="Z22" s="356">
        <v>1</v>
      </c>
      <c r="AA22" s="370">
        <v>0</v>
      </c>
      <c r="AB22" s="370">
        <v>0</v>
      </c>
    </row>
    <row r="23" spans="1:28" ht="24.95" customHeight="1">
      <c r="A23" s="328"/>
      <c r="B23" s="337" t="s">
        <v>351</v>
      </c>
      <c r="C23" s="346">
        <v>288</v>
      </c>
      <c r="D23" s="356">
        <v>13</v>
      </c>
      <c r="E23" s="356">
        <v>1</v>
      </c>
      <c r="F23" s="356">
        <v>6</v>
      </c>
      <c r="G23" s="356">
        <v>9</v>
      </c>
      <c r="H23" s="356">
        <v>0</v>
      </c>
      <c r="I23" s="356">
        <v>4</v>
      </c>
      <c r="J23" s="356">
        <v>1</v>
      </c>
      <c r="K23" s="356">
        <v>25</v>
      </c>
      <c r="L23" s="356">
        <v>0</v>
      </c>
      <c r="M23" s="370">
        <v>75</v>
      </c>
      <c r="N23" s="356">
        <v>5</v>
      </c>
      <c r="O23" s="356">
        <v>1</v>
      </c>
      <c r="P23" s="356">
        <v>36</v>
      </c>
      <c r="Q23" s="356">
        <v>0</v>
      </c>
      <c r="R23" s="356">
        <v>92</v>
      </c>
      <c r="S23" s="363"/>
      <c r="T23" s="356">
        <v>17</v>
      </c>
      <c r="U23" s="356">
        <v>1</v>
      </c>
      <c r="V23" s="377">
        <v>1</v>
      </c>
      <c r="W23" s="356">
        <v>0</v>
      </c>
      <c r="X23" s="356">
        <v>1</v>
      </c>
      <c r="Y23" s="356">
        <v>0</v>
      </c>
      <c r="Z23" s="356">
        <v>0</v>
      </c>
      <c r="AA23" s="370">
        <v>0</v>
      </c>
      <c r="AB23" s="370">
        <v>0</v>
      </c>
    </row>
    <row r="24" spans="1:28" ht="24.95" customHeight="1">
      <c r="A24" s="328"/>
      <c r="B24" s="337" t="s">
        <v>250</v>
      </c>
      <c r="C24" s="346">
        <v>195</v>
      </c>
      <c r="D24" s="356">
        <v>6</v>
      </c>
      <c r="E24" s="356">
        <v>4</v>
      </c>
      <c r="F24" s="356">
        <v>0</v>
      </c>
      <c r="G24" s="356">
        <v>4</v>
      </c>
      <c r="H24" s="356">
        <v>0</v>
      </c>
      <c r="I24" s="356">
        <v>5</v>
      </c>
      <c r="J24" s="356">
        <v>1</v>
      </c>
      <c r="K24" s="356">
        <v>4</v>
      </c>
      <c r="L24" s="356">
        <v>0</v>
      </c>
      <c r="M24" s="370">
        <v>52</v>
      </c>
      <c r="N24" s="356">
        <v>7</v>
      </c>
      <c r="O24" s="356">
        <v>2</v>
      </c>
      <c r="P24" s="356">
        <v>51</v>
      </c>
      <c r="Q24" s="356">
        <v>1</v>
      </c>
      <c r="R24" s="356">
        <v>40</v>
      </c>
      <c r="S24" s="356">
        <v>12</v>
      </c>
      <c r="T24" s="363"/>
      <c r="U24" s="356">
        <v>2</v>
      </c>
      <c r="V24" s="377">
        <v>3</v>
      </c>
      <c r="W24" s="356">
        <v>0</v>
      </c>
      <c r="X24" s="356">
        <v>0</v>
      </c>
      <c r="Y24" s="356">
        <v>0</v>
      </c>
      <c r="Z24" s="356">
        <v>1</v>
      </c>
      <c r="AA24" s="370">
        <v>0</v>
      </c>
      <c r="AB24" s="370">
        <v>0</v>
      </c>
    </row>
    <row r="25" spans="1:28" ht="24.95" customHeight="1">
      <c r="A25" s="329"/>
      <c r="B25" s="338" t="s">
        <v>315</v>
      </c>
      <c r="C25" s="347">
        <v>172</v>
      </c>
      <c r="D25" s="357">
        <v>5</v>
      </c>
      <c r="E25" s="357">
        <v>7</v>
      </c>
      <c r="F25" s="357">
        <v>3</v>
      </c>
      <c r="G25" s="357">
        <v>3</v>
      </c>
      <c r="H25" s="357">
        <v>0</v>
      </c>
      <c r="I25" s="357">
        <v>0</v>
      </c>
      <c r="J25" s="357">
        <v>0</v>
      </c>
      <c r="K25" s="357">
        <v>9</v>
      </c>
      <c r="L25" s="357">
        <v>0</v>
      </c>
      <c r="M25" s="371">
        <v>45</v>
      </c>
      <c r="N25" s="357">
        <v>37</v>
      </c>
      <c r="O25" s="357">
        <v>5</v>
      </c>
      <c r="P25" s="357">
        <v>14</v>
      </c>
      <c r="Q25" s="357">
        <v>1</v>
      </c>
      <c r="R25" s="357">
        <v>7</v>
      </c>
      <c r="S25" s="357">
        <v>2</v>
      </c>
      <c r="T25" s="357">
        <v>1</v>
      </c>
      <c r="U25" s="368"/>
      <c r="V25" s="162">
        <v>15</v>
      </c>
      <c r="W25" s="357">
        <v>2</v>
      </c>
      <c r="X25" s="357">
        <v>9</v>
      </c>
      <c r="Y25" s="357">
        <v>3</v>
      </c>
      <c r="Z25" s="357">
        <v>1</v>
      </c>
      <c r="AA25" s="371">
        <v>2</v>
      </c>
      <c r="AB25" s="371">
        <v>1</v>
      </c>
    </row>
    <row r="26" spans="1:28" ht="24.95" customHeight="1">
      <c r="A26" s="330" t="s">
        <v>378</v>
      </c>
      <c r="B26" s="339" t="s">
        <v>338</v>
      </c>
      <c r="C26" s="348">
        <v>2387</v>
      </c>
      <c r="D26" s="76">
        <v>45</v>
      </c>
      <c r="E26" s="76">
        <v>84</v>
      </c>
      <c r="F26" s="76">
        <v>26</v>
      </c>
      <c r="G26" s="76">
        <v>17</v>
      </c>
      <c r="H26" s="76">
        <v>1</v>
      </c>
      <c r="I26" s="76">
        <v>0</v>
      </c>
      <c r="J26" s="76">
        <v>0</v>
      </c>
      <c r="K26" s="76">
        <v>16</v>
      </c>
      <c r="L26" s="76">
        <v>1</v>
      </c>
      <c r="M26" s="85">
        <v>650</v>
      </c>
      <c r="N26" s="76">
        <v>22</v>
      </c>
      <c r="O26" s="76">
        <v>151</v>
      </c>
      <c r="P26" s="76">
        <v>28</v>
      </c>
      <c r="Q26" s="76">
        <v>24</v>
      </c>
      <c r="R26" s="76">
        <v>12</v>
      </c>
      <c r="S26" s="76">
        <v>9</v>
      </c>
      <c r="T26" s="76">
        <v>2</v>
      </c>
      <c r="U26" s="76">
        <v>5</v>
      </c>
      <c r="V26" s="378"/>
      <c r="W26" s="76">
        <v>526</v>
      </c>
      <c r="X26" s="76">
        <v>331</v>
      </c>
      <c r="Y26" s="76">
        <v>62</v>
      </c>
      <c r="Z26" s="76">
        <v>126</v>
      </c>
      <c r="AA26" s="85">
        <v>175</v>
      </c>
      <c r="AB26" s="85">
        <v>74</v>
      </c>
    </row>
    <row r="27" spans="1:28" ht="24.95" customHeight="1">
      <c r="A27" s="328"/>
      <c r="B27" s="337" t="s">
        <v>340</v>
      </c>
      <c r="C27" s="346">
        <v>1137</v>
      </c>
      <c r="D27" s="356">
        <v>36</v>
      </c>
      <c r="E27" s="356">
        <v>21</v>
      </c>
      <c r="F27" s="356">
        <v>18</v>
      </c>
      <c r="G27" s="356">
        <v>18</v>
      </c>
      <c r="H27" s="356">
        <v>0</v>
      </c>
      <c r="I27" s="356">
        <v>0</v>
      </c>
      <c r="J27" s="356">
        <v>2</v>
      </c>
      <c r="K27" s="356">
        <v>3</v>
      </c>
      <c r="L27" s="356">
        <v>1</v>
      </c>
      <c r="M27" s="370">
        <v>254</v>
      </c>
      <c r="N27" s="356">
        <v>10</v>
      </c>
      <c r="O27" s="356">
        <v>72</v>
      </c>
      <c r="P27" s="356">
        <v>6</v>
      </c>
      <c r="Q27" s="356">
        <v>8</v>
      </c>
      <c r="R27" s="356">
        <v>9</v>
      </c>
      <c r="S27" s="356">
        <v>2</v>
      </c>
      <c r="T27" s="356">
        <v>0</v>
      </c>
      <c r="U27" s="356">
        <v>0</v>
      </c>
      <c r="V27" s="377">
        <v>358</v>
      </c>
      <c r="W27" s="363"/>
      <c r="X27" s="356">
        <v>74</v>
      </c>
      <c r="Y27" s="356">
        <v>18</v>
      </c>
      <c r="Z27" s="356">
        <v>21</v>
      </c>
      <c r="AA27" s="370">
        <v>186</v>
      </c>
      <c r="AB27" s="370">
        <v>20</v>
      </c>
    </row>
    <row r="28" spans="1:28" ht="24.95" customHeight="1">
      <c r="A28" s="328"/>
      <c r="B28" s="337" t="s">
        <v>137</v>
      </c>
      <c r="C28" s="346">
        <v>2722</v>
      </c>
      <c r="D28" s="356">
        <v>79</v>
      </c>
      <c r="E28" s="356">
        <v>108</v>
      </c>
      <c r="F28" s="356">
        <v>24</v>
      </c>
      <c r="G28" s="356">
        <v>47</v>
      </c>
      <c r="H28" s="356">
        <v>4</v>
      </c>
      <c r="I28" s="356">
        <v>0</v>
      </c>
      <c r="J28" s="356">
        <v>1</v>
      </c>
      <c r="K28" s="356">
        <v>6</v>
      </c>
      <c r="L28" s="356">
        <v>6</v>
      </c>
      <c r="M28" s="370">
        <v>825</v>
      </c>
      <c r="N28" s="356">
        <v>18</v>
      </c>
      <c r="O28" s="356">
        <v>120</v>
      </c>
      <c r="P28" s="356">
        <v>56</v>
      </c>
      <c r="Q28" s="356">
        <v>10</v>
      </c>
      <c r="R28" s="356">
        <v>4</v>
      </c>
      <c r="S28" s="356">
        <v>11</v>
      </c>
      <c r="T28" s="356">
        <v>3</v>
      </c>
      <c r="U28" s="356">
        <v>4</v>
      </c>
      <c r="V28" s="377">
        <v>453</v>
      </c>
      <c r="W28" s="356">
        <v>106</v>
      </c>
      <c r="X28" s="363"/>
      <c r="Y28" s="356">
        <v>423</v>
      </c>
      <c r="Z28" s="356">
        <v>381</v>
      </c>
      <c r="AA28" s="370">
        <v>27</v>
      </c>
      <c r="AB28" s="370">
        <v>6</v>
      </c>
    </row>
    <row r="29" spans="1:28" ht="24.95" customHeight="1">
      <c r="A29" s="328"/>
      <c r="B29" s="337" t="s">
        <v>345</v>
      </c>
      <c r="C29" s="346">
        <v>562</v>
      </c>
      <c r="D29" s="356">
        <v>11</v>
      </c>
      <c r="E29" s="356">
        <v>18</v>
      </c>
      <c r="F29" s="356">
        <v>21</v>
      </c>
      <c r="G29" s="356">
        <v>10</v>
      </c>
      <c r="H29" s="356">
        <v>0</v>
      </c>
      <c r="I29" s="356">
        <v>0</v>
      </c>
      <c r="J29" s="356">
        <v>3</v>
      </c>
      <c r="K29" s="356">
        <v>3</v>
      </c>
      <c r="L29" s="356">
        <v>0</v>
      </c>
      <c r="M29" s="370">
        <v>175</v>
      </c>
      <c r="N29" s="356">
        <v>7</v>
      </c>
      <c r="O29" s="356">
        <v>33</v>
      </c>
      <c r="P29" s="356">
        <v>6</v>
      </c>
      <c r="Q29" s="356">
        <v>7</v>
      </c>
      <c r="R29" s="356">
        <v>5</v>
      </c>
      <c r="S29" s="356">
        <v>0</v>
      </c>
      <c r="T29" s="356">
        <v>1</v>
      </c>
      <c r="U29" s="356">
        <v>0</v>
      </c>
      <c r="V29" s="377">
        <v>48</v>
      </c>
      <c r="W29" s="356">
        <v>13</v>
      </c>
      <c r="X29" s="356">
        <v>182</v>
      </c>
      <c r="Y29" s="363"/>
      <c r="Z29" s="356">
        <v>16</v>
      </c>
      <c r="AA29" s="370">
        <v>3</v>
      </c>
      <c r="AB29" s="370">
        <v>0</v>
      </c>
    </row>
    <row r="30" spans="1:28" ht="24.95" customHeight="1">
      <c r="A30" s="328"/>
      <c r="B30" s="337" t="s">
        <v>352</v>
      </c>
      <c r="C30" s="346">
        <v>639</v>
      </c>
      <c r="D30" s="356">
        <v>9</v>
      </c>
      <c r="E30" s="356">
        <v>9</v>
      </c>
      <c r="F30" s="356">
        <v>5</v>
      </c>
      <c r="G30" s="356">
        <v>4</v>
      </c>
      <c r="H30" s="356">
        <v>1</v>
      </c>
      <c r="I30" s="356">
        <v>0</v>
      </c>
      <c r="J30" s="356">
        <v>0</v>
      </c>
      <c r="K30" s="356">
        <v>0</v>
      </c>
      <c r="L30" s="356">
        <v>2</v>
      </c>
      <c r="M30" s="370">
        <v>60</v>
      </c>
      <c r="N30" s="356">
        <v>2</v>
      </c>
      <c r="O30" s="356">
        <v>7</v>
      </c>
      <c r="P30" s="356">
        <v>2</v>
      </c>
      <c r="Q30" s="356">
        <v>5</v>
      </c>
      <c r="R30" s="356">
        <v>0</v>
      </c>
      <c r="S30" s="356">
        <v>0</v>
      </c>
      <c r="T30" s="356">
        <v>3</v>
      </c>
      <c r="U30" s="375">
        <v>1</v>
      </c>
      <c r="V30" s="377">
        <v>153</v>
      </c>
      <c r="W30" s="356">
        <v>7</v>
      </c>
      <c r="X30" s="356">
        <v>335</v>
      </c>
      <c r="Y30" s="356">
        <v>31</v>
      </c>
      <c r="Z30" s="363"/>
      <c r="AA30" s="370">
        <v>1</v>
      </c>
      <c r="AB30" s="370">
        <v>2</v>
      </c>
    </row>
    <row r="31" spans="1:28" ht="24.95" customHeight="1">
      <c r="A31" s="328"/>
      <c r="B31" s="337" t="s">
        <v>5</v>
      </c>
      <c r="C31" s="346">
        <v>264</v>
      </c>
      <c r="D31" s="356">
        <v>0</v>
      </c>
      <c r="E31" s="356">
        <v>0</v>
      </c>
      <c r="F31" s="356">
        <v>2</v>
      </c>
      <c r="G31" s="356">
        <v>1</v>
      </c>
      <c r="H31" s="356">
        <v>0</v>
      </c>
      <c r="I31" s="356">
        <v>0</v>
      </c>
      <c r="J31" s="356">
        <v>0</v>
      </c>
      <c r="K31" s="356">
        <v>1</v>
      </c>
      <c r="L31" s="356">
        <v>0</v>
      </c>
      <c r="M31" s="370">
        <v>30</v>
      </c>
      <c r="N31" s="356">
        <v>2</v>
      </c>
      <c r="O31" s="356">
        <v>16</v>
      </c>
      <c r="P31" s="356">
        <v>2</v>
      </c>
      <c r="Q31" s="356">
        <v>1</v>
      </c>
      <c r="R31" s="356">
        <v>0</v>
      </c>
      <c r="S31" s="356">
        <v>0</v>
      </c>
      <c r="T31" s="356">
        <v>0</v>
      </c>
      <c r="U31" s="356">
        <v>0</v>
      </c>
      <c r="V31" s="377">
        <v>65</v>
      </c>
      <c r="W31" s="356">
        <v>127</v>
      </c>
      <c r="X31" s="356">
        <v>6</v>
      </c>
      <c r="Y31" s="356">
        <v>4</v>
      </c>
      <c r="Z31" s="356">
        <v>5</v>
      </c>
      <c r="AA31" s="363"/>
      <c r="AB31" s="370">
        <v>2</v>
      </c>
    </row>
    <row r="32" spans="1:28" ht="24.95" customHeight="1">
      <c r="A32" s="329"/>
      <c r="B32" s="338" t="s">
        <v>304</v>
      </c>
      <c r="C32" s="347">
        <v>74</v>
      </c>
      <c r="D32" s="357">
        <v>0</v>
      </c>
      <c r="E32" s="357">
        <v>2</v>
      </c>
      <c r="F32" s="357">
        <v>5</v>
      </c>
      <c r="G32" s="357">
        <v>0</v>
      </c>
      <c r="H32" s="357">
        <v>0</v>
      </c>
      <c r="I32" s="357">
        <v>1</v>
      </c>
      <c r="J32" s="357">
        <v>1</v>
      </c>
      <c r="K32" s="357">
        <v>0</v>
      </c>
      <c r="L32" s="357">
        <v>0</v>
      </c>
      <c r="M32" s="371">
        <v>11</v>
      </c>
      <c r="N32" s="357">
        <v>0</v>
      </c>
      <c r="O32" s="357">
        <v>0</v>
      </c>
      <c r="P32" s="357">
        <v>0</v>
      </c>
      <c r="Q32" s="357">
        <v>0</v>
      </c>
      <c r="R32" s="357">
        <v>1</v>
      </c>
      <c r="S32" s="357">
        <v>0</v>
      </c>
      <c r="T32" s="357">
        <v>0</v>
      </c>
      <c r="U32" s="357">
        <v>0</v>
      </c>
      <c r="V32" s="162">
        <v>36</v>
      </c>
      <c r="W32" s="357">
        <v>8</v>
      </c>
      <c r="X32" s="357">
        <v>3</v>
      </c>
      <c r="Y32" s="357">
        <v>2</v>
      </c>
      <c r="Z32" s="357">
        <v>1</v>
      </c>
      <c r="AA32" s="371">
        <v>3</v>
      </c>
      <c r="AB32" s="380"/>
    </row>
    <row r="33" spans="1:28" s="321" customFormat="1" ht="24.95" customHeight="1">
      <c r="A33" s="327" t="s">
        <v>405</v>
      </c>
      <c r="B33" s="340"/>
      <c r="C33" s="349"/>
      <c r="D33" s="358">
        <f>C8-D7</f>
        <v>-245</v>
      </c>
      <c r="E33" s="358">
        <f>C9-E7</f>
        <v>-90</v>
      </c>
      <c r="F33" s="358">
        <f>C10-F7</f>
        <v>-333</v>
      </c>
      <c r="G33" s="358">
        <f>C11-G7</f>
        <v>-289</v>
      </c>
      <c r="H33" s="358">
        <f>C12-H7</f>
        <v>-89</v>
      </c>
      <c r="I33" s="358">
        <f>C13-I7</f>
        <v>-50</v>
      </c>
      <c r="J33" s="358">
        <f>C14-J7</f>
        <v>-116</v>
      </c>
      <c r="K33" s="358">
        <f>C15-K7</f>
        <v>-212</v>
      </c>
      <c r="L33" s="358">
        <f>C16-L7</f>
        <v>-180</v>
      </c>
      <c r="M33" s="358">
        <f>C17-M7</f>
        <v>4247</v>
      </c>
      <c r="N33" s="358">
        <f>C18-N7</f>
        <v>-914</v>
      </c>
      <c r="O33" s="358">
        <f>C19-O7</f>
        <v>-53</v>
      </c>
      <c r="P33" s="358">
        <f>C20-P7</f>
        <v>530</v>
      </c>
      <c r="Q33" s="358">
        <f>C21-Q7</f>
        <v>-339</v>
      </c>
      <c r="R33" s="358">
        <f>C22-R7</f>
        <v>-217</v>
      </c>
      <c r="S33" s="358">
        <f>C23-S7</f>
        <v>-55</v>
      </c>
      <c r="T33" s="358">
        <f>C24-T7</f>
        <v>-52</v>
      </c>
      <c r="U33" s="358">
        <f>C25-U7</f>
        <v>37</v>
      </c>
      <c r="V33" s="358">
        <f>C26-V7</f>
        <v>-227</v>
      </c>
      <c r="W33" s="358">
        <f>C27-W7</f>
        <v>-417</v>
      </c>
      <c r="X33" s="358">
        <f>C28-X7</f>
        <v>56</v>
      </c>
      <c r="Y33" s="358">
        <f>C29-Y7</f>
        <v>-484</v>
      </c>
      <c r="Z33" s="358">
        <f>C30-Z7</f>
        <v>-151</v>
      </c>
      <c r="AA33" s="358">
        <f>C31-AA7</f>
        <v>-296</v>
      </c>
      <c r="AB33" s="381">
        <f>C32-AB7</f>
        <v>-61</v>
      </c>
    </row>
    <row r="34" spans="1:28" ht="14.1" customHeight="1">
      <c r="A34" s="320" t="s">
        <v>407</v>
      </c>
    </row>
    <row r="35" spans="1:28" ht="14.1" customHeight="1">
      <c r="A35" s="320" t="s">
        <v>116</v>
      </c>
      <c r="C35" s="331"/>
    </row>
    <row r="36" spans="1:28" ht="14.1" customHeight="1">
      <c r="A36" s="320" t="s">
        <v>417</v>
      </c>
    </row>
  </sheetData>
  <mergeCells count="33">
    <mergeCell ref="D3:L3"/>
    <mergeCell ref="M3:U3"/>
    <mergeCell ref="V3:AB3"/>
    <mergeCell ref="A3:B6"/>
    <mergeCell ref="C3: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 ref="X4:X6"/>
    <mergeCell ref="Y4:Y6"/>
    <mergeCell ref="Z4:Z6"/>
    <mergeCell ref="AA4:AA6"/>
    <mergeCell ref="AB4:AB6"/>
    <mergeCell ref="A8:A16"/>
    <mergeCell ref="A17:A25"/>
    <mergeCell ref="A26:A32"/>
  </mergeCells>
  <phoneticPr fontId="8"/>
  <conditionalFormatting sqref="AC5:XFD6 A1:XFD2 A8:XFD1048575 A3:B6 D3:XFD4 B7:XFD7">
    <cfRule type="cellIs" dxfId="2" priority="3" operator="equal">
      <formula>0</formula>
    </cfRule>
  </conditionalFormatting>
  <conditionalFormatting sqref="C3:C6">
    <cfRule type="cellIs" dxfId="1" priority="2" operator="equal">
      <formula>0</formula>
    </cfRule>
  </conditionalFormatting>
  <conditionalFormatting sqref="A7">
    <cfRule type="cellIs" dxfId="0" priority="1" operator="equal">
      <formula>0</formula>
    </cfRule>
  </conditionalFormatting>
  <hyperlinks>
    <hyperlink ref="AD3" location="目次!A45"/>
  </hyperlinks>
  <printOptions horizontalCentered="1"/>
  <pageMargins left="0.39370078740157483" right="0.39370078740157483" top="0.39370078740157483" bottom="0.39370078740157483" header="0.31496062992125984" footer="0.31496062992125984"/>
  <pageSetup paperSize="8" fitToWidth="1" fitToHeight="1" orientation="landscape"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dimension ref="A1:I30"/>
  <sheetViews>
    <sheetView showGridLines="0" zoomScaleSheetLayoutView="100" workbookViewId="0">
      <selection activeCell="I17" sqref="I17"/>
    </sheetView>
  </sheetViews>
  <sheetFormatPr defaultRowHeight="13.5"/>
  <cols>
    <col min="1" max="5" width="14" style="6" customWidth="1"/>
    <col min="6" max="10" width="9.625" style="6" customWidth="1"/>
    <col min="11" max="11" width="10.625" style="6" customWidth="1"/>
    <col min="12" max="16384" width="9" style="6" customWidth="1"/>
  </cols>
  <sheetData>
    <row r="1" spans="1:9" ht="13.5" customHeight="1">
      <c r="A1" s="42" t="s">
        <v>419</v>
      </c>
    </row>
    <row r="2" spans="1:9" ht="13.5" customHeight="1"/>
    <row r="3" spans="1:9" ht="17.100000000000001" customHeight="1">
      <c r="A3" s="383" t="s">
        <v>297</v>
      </c>
      <c r="D3" s="116" t="s">
        <v>403</v>
      </c>
    </row>
    <row r="4" spans="1:9" ht="17.100000000000001" customHeight="1">
      <c r="A4" s="83" t="s">
        <v>381</v>
      </c>
      <c r="B4" s="138" t="s">
        <v>109</v>
      </c>
      <c r="C4" s="138" t="s">
        <v>386</v>
      </c>
      <c r="D4" s="102" t="s">
        <v>406</v>
      </c>
      <c r="E4" s="45"/>
      <c r="I4" s="146" t="s">
        <v>118</v>
      </c>
    </row>
    <row r="5" spans="1:9" ht="17.100000000000001" customHeight="1">
      <c r="A5" s="384" t="s">
        <v>382</v>
      </c>
      <c r="B5" s="374">
        <v>2229</v>
      </c>
      <c r="C5" s="374">
        <v>3713</v>
      </c>
      <c r="D5" s="391">
        <f>B5-C5</f>
        <v>-1484</v>
      </c>
      <c r="E5" s="75"/>
    </row>
    <row r="6" spans="1:9" ht="17.100000000000001" customHeight="1">
      <c r="A6" s="46" t="s">
        <v>185</v>
      </c>
      <c r="B6" s="357">
        <v>553</v>
      </c>
      <c r="C6" s="357">
        <v>673</v>
      </c>
      <c r="D6" s="371">
        <f>B6-C6</f>
        <v>-120</v>
      </c>
      <c r="E6" s="63"/>
    </row>
    <row r="7" spans="1:9" ht="17.100000000000001" customHeight="1">
      <c r="A7" s="83" t="s">
        <v>120</v>
      </c>
      <c r="B7" s="354">
        <f>SUM(B5:B6)</f>
        <v>2782</v>
      </c>
      <c r="C7" s="354">
        <f>SUM(C5:C6)</f>
        <v>4386</v>
      </c>
      <c r="D7" s="369">
        <f>B7-C7</f>
        <v>-1604</v>
      </c>
      <c r="E7" s="63"/>
    </row>
    <row r="8" spans="1:9" ht="17.100000000000001" customHeight="1">
      <c r="E8" s="63"/>
    </row>
    <row r="9" spans="1:9" ht="17.100000000000001" customHeight="1">
      <c r="A9" s="383" t="s">
        <v>383</v>
      </c>
      <c r="D9" s="116" t="s">
        <v>403</v>
      </c>
      <c r="E9" s="63"/>
    </row>
    <row r="10" spans="1:9" ht="16.5" customHeight="1">
      <c r="A10" s="83" t="s">
        <v>381</v>
      </c>
      <c r="B10" s="138" t="s">
        <v>109</v>
      </c>
      <c r="C10" s="102" t="s">
        <v>386</v>
      </c>
      <c r="D10" s="102" t="s">
        <v>406</v>
      </c>
    </row>
    <row r="11" spans="1:9" ht="17.100000000000001" customHeight="1">
      <c r="A11" s="384" t="s">
        <v>297</v>
      </c>
      <c r="B11" s="374">
        <v>3713</v>
      </c>
      <c r="C11" s="391">
        <v>2229</v>
      </c>
      <c r="D11" s="391">
        <f>B11-C11</f>
        <v>1484</v>
      </c>
    </row>
    <row r="12" spans="1:9" ht="17.100000000000001" customHeight="1">
      <c r="A12" s="46" t="s">
        <v>185</v>
      </c>
      <c r="B12" s="357">
        <v>4392</v>
      </c>
      <c r="C12" s="371">
        <v>2692</v>
      </c>
      <c r="D12" s="371">
        <f>B12-C12</f>
        <v>1700</v>
      </c>
    </row>
    <row r="13" spans="1:9" ht="17.100000000000001" customHeight="1">
      <c r="A13" s="83" t="s">
        <v>120</v>
      </c>
      <c r="B13" s="354">
        <f>SUM(B11:B12)</f>
        <v>8105</v>
      </c>
      <c r="C13" s="369">
        <f>SUM(C11:C12)</f>
        <v>4921</v>
      </c>
      <c r="D13" s="369">
        <f>B13-C13</f>
        <v>3184</v>
      </c>
    </row>
    <row r="14" spans="1:9" ht="17.100000000000001" customHeight="1"/>
    <row r="15" spans="1:9" ht="17.100000000000001" customHeight="1">
      <c r="A15" s="383" t="s">
        <v>185</v>
      </c>
      <c r="D15" s="116" t="s">
        <v>403</v>
      </c>
    </row>
    <row r="16" spans="1:9" ht="17.100000000000001" customHeight="1">
      <c r="A16" s="83" t="s">
        <v>381</v>
      </c>
      <c r="B16" s="138" t="s">
        <v>109</v>
      </c>
      <c r="C16" s="83" t="s">
        <v>386</v>
      </c>
      <c r="D16" s="102" t="s">
        <v>406</v>
      </c>
    </row>
    <row r="17" spans="1:5" ht="17.100000000000001" customHeight="1">
      <c r="A17" s="384" t="s">
        <v>297</v>
      </c>
      <c r="B17" s="374">
        <v>673</v>
      </c>
      <c r="C17" s="392">
        <v>553</v>
      </c>
      <c r="D17" s="391">
        <f>B17-C17</f>
        <v>120</v>
      </c>
    </row>
    <row r="18" spans="1:5" ht="17.100000000000001" customHeight="1">
      <c r="A18" s="45" t="s">
        <v>382</v>
      </c>
      <c r="B18" s="78">
        <v>2692</v>
      </c>
      <c r="C18" s="75">
        <v>4392</v>
      </c>
      <c r="D18" s="87">
        <f>B18-C18</f>
        <v>-1700</v>
      </c>
    </row>
    <row r="19" spans="1:5" ht="17.100000000000001" customHeight="1">
      <c r="A19" s="83" t="s">
        <v>120</v>
      </c>
      <c r="B19" s="354">
        <f>SUM(B17:B18)</f>
        <v>3365</v>
      </c>
      <c r="C19" s="393">
        <f>SUM(C17:C18)</f>
        <v>4945</v>
      </c>
      <c r="D19" s="369">
        <f>B19-C19</f>
        <v>-1580</v>
      </c>
    </row>
    <row r="20" spans="1:5" ht="17.100000000000001" customHeight="1"/>
    <row r="21" spans="1:5" ht="17.100000000000001" customHeight="1">
      <c r="A21" s="385" t="s">
        <v>36</v>
      </c>
      <c r="E21" s="116" t="s">
        <v>403</v>
      </c>
    </row>
    <row r="22" spans="1:5" ht="17.100000000000001" customHeight="1">
      <c r="A22" s="386" t="s">
        <v>381</v>
      </c>
      <c r="B22" s="83" t="s">
        <v>385</v>
      </c>
      <c r="C22" s="138" t="s">
        <v>297</v>
      </c>
      <c r="D22" s="138" t="s">
        <v>382</v>
      </c>
      <c r="E22" s="102" t="s">
        <v>185</v>
      </c>
    </row>
    <row r="23" spans="1:5" ht="17.100000000000001" customHeight="1">
      <c r="A23" s="58" t="s">
        <v>406</v>
      </c>
      <c r="B23" s="388"/>
      <c r="C23" s="357">
        <f>B25-C24</f>
        <v>-1604</v>
      </c>
      <c r="D23" s="357">
        <f>B26-D24</f>
        <v>3184</v>
      </c>
      <c r="E23" s="371">
        <f>B27-E24</f>
        <v>-1580</v>
      </c>
    </row>
    <row r="24" spans="1:5" ht="17.100000000000001" customHeight="1">
      <c r="A24" s="386" t="s">
        <v>384</v>
      </c>
      <c r="B24" s="389">
        <v>30351</v>
      </c>
      <c r="C24" s="394">
        <f>SUM(C25:C27)</f>
        <v>7446</v>
      </c>
      <c r="D24" s="394">
        <f>SUM(D25:D27)</f>
        <v>13540</v>
      </c>
      <c r="E24" s="26">
        <f>SUM(E25:E27)</f>
        <v>9365</v>
      </c>
    </row>
    <row r="25" spans="1:5" ht="17.100000000000001" customHeight="1">
      <c r="A25" s="57" t="s">
        <v>297</v>
      </c>
      <c r="B25" s="63">
        <v>5842</v>
      </c>
      <c r="C25" s="71">
        <v>3060</v>
      </c>
      <c r="D25" s="71">
        <v>2229</v>
      </c>
      <c r="E25" s="25">
        <v>553</v>
      </c>
    </row>
    <row r="26" spans="1:5" ht="17.100000000000001" customHeight="1">
      <c r="A26" s="387" t="s">
        <v>382</v>
      </c>
      <c r="B26" s="390">
        <v>16724</v>
      </c>
      <c r="C26" s="395">
        <v>3713</v>
      </c>
      <c r="D26" s="395">
        <v>8619</v>
      </c>
      <c r="E26" s="396">
        <v>4392</v>
      </c>
    </row>
    <row r="27" spans="1:5" ht="17.100000000000001" customHeight="1">
      <c r="A27" s="58" t="s">
        <v>185</v>
      </c>
      <c r="B27" s="135">
        <v>7785</v>
      </c>
      <c r="C27" s="128">
        <v>673</v>
      </c>
      <c r="D27" s="128">
        <v>2692</v>
      </c>
      <c r="E27" s="30">
        <v>4420</v>
      </c>
    </row>
    <row r="28" spans="1:5" ht="17.100000000000001" customHeight="1"/>
    <row r="29" spans="1:5" ht="17.100000000000001" customHeight="1">
      <c r="A29" s="6" t="s">
        <v>407</v>
      </c>
    </row>
    <row r="30" spans="1:5" ht="17.100000000000001" customHeight="1">
      <c r="A30" s="6" t="s">
        <v>418</v>
      </c>
    </row>
    <row r="31" spans="1:5" ht="17.100000000000001" customHeight="1"/>
    <row r="32" spans="1:5" ht="17.100000000000001" customHeight="1"/>
    <row r="33" ht="15" customHeight="1"/>
    <row r="34" ht="15" customHeight="1"/>
  </sheetData>
  <phoneticPr fontId="8"/>
  <hyperlinks>
    <hyperlink ref="I4" location="目次!A49"/>
  </hyperlinks>
  <printOptions horizontalCentered="1"/>
  <pageMargins left="0.39370078740157483" right="0.39370078740157483" top="0.39370078740157483" bottom="0.39370078740157483" header="0.19685039370078741" footer="0.19685039370078741"/>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K29"/>
  <sheetViews>
    <sheetView showGridLines="0" workbookViewId="0"/>
  </sheetViews>
  <sheetFormatPr defaultRowHeight="13.5"/>
  <sheetData>
    <row r="1" spans="1:11">
      <c r="A1" s="42" t="s">
        <v>410</v>
      </c>
    </row>
    <row r="4" spans="1:11">
      <c r="K4" s="43" t="s">
        <v>118</v>
      </c>
    </row>
    <row r="29" spans="1:1">
      <c r="A29" s="6" t="s">
        <v>407</v>
      </c>
    </row>
  </sheetData>
  <phoneticPr fontId="8"/>
  <hyperlinks>
    <hyperlink ref="K4" location="目次!A5"/>
  </hyperlinks>
  <pageMargins left="0.7" right="0.7" top="0.75" bottom="0.75" header="0.3" footer="0.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P25"/>
  <sheetViews>
    <sheetView showGridLines="0" workbookViewId="0"/>
  </sheetViews>
  <sheetFormatPr defaultRowHeight="13.5"/>
  <cols>
    <col min="1" max="2" width="3.625" style="6" customWidth="1"/>
    <col min="3" max="3" width="9.625" style="6" customWidth="1"/>
    <col min="4" max="13" width="11.125" style="6" customWidth="1"/>
    <col min="14" max="16384" width="9" style="6" customWidth="1"/>
  </cols>
  <sheetData>
    <row r="1" spans="1:16" ht="21.95" customHeight="1">
      <c r="A1" s="42" t="s">
        <v>121</v>
      </c>
    </row>
    <row r="2" spans="1:16" ht="21.95" customHeight="1"/>
    <row r="3" spans="1:16" ht="21.95" customHeight="1">
      <c r="A3" s="44" t="s">
        <v>122</v>
      </c>
      <c r="B3" s="44"/>
      <c r="C3" s="56"/>
      <c r="D3" s="62" t="s">
        <v>129</v>
      </c>
      <c r="E3" s="68" t="s">
        <v>132</v>
      </c>
      <c r="F3" s="62" t="s">
        <v>133</v>
      </c>
      <c r="G3" s="12"/>
      <c r="H3" s="82"/>
      <c r="I3" s="82"/>
      <c r="J3" s="82"/>
      <c r="K3" s="82"/>
      <c r="L3" s="82"/>
      <c r="M3" s="92" t="s">
        <v>142</v>
      </c>
      <c r="O3" s="43" t="s">
        <v>118</v>
      </c>
    </row>
    <row r="4" spans="1:16" ht="21.95" customHeight="1">
      <c r="A4" s="45"/>
      <c r="B4" s="45"/>
      <c r="C4" s="57"/>
      <c r="D4" s="45"/>
      <c r="E4" s="69"/>
      <c r="F4" s="45"/>
      <c r="G4" s="79" t="s">
        <v>136</v>
      </c>
      <c r="H4" s="83"/>
      <c r="I4" s="44"/>
      <c r="J4" s="84" t="s">
        <v>141</v>
      </c>
      <c r="K4" s="90"/>
      <c r="L4" s="91"/>
      <c r="M4" s="93"/>
    </row>
    <row r="5" spans="1:16" ht="21.95" customHeight="1">
      <c r="A5" s="45"/>
      <c r="B5" s="45"/>
      <c r="C5" s="57"/>
      <c r="D5" s="45"/>
      <c r="E5" s="69"/>
      <c r="F5" s="45"/>
      <c r="G5" s="79"/>
      <c r="H5" s="84" t="s">
        <v>138</v>
      </c>
      <c r="I5" s="88" t="s">
        <v>17</v>
      </c>
      <c r="J5" s="79"/>
      <c r="K5" s="68" t="s">
        <v>143</v>
      </c>
      <c r="L5" s="68" t="s">
        <v>145</v>
      </c>
      <c r="M5" s="93"/>
    </row>
    <row r="6" spans="1:16" ht="21.95" customHeight="1">
      <c r="A6" s="46"/>
      <c r="B6" s="46"/>
      <c r="C6" s="58"/>
      <c r="D6" s="46"/>
      <c r="E6" s="70"/>
      <c r="F6" s="46"/>
      <c r="G6" s="80"/>
      <c r="H6" s="80"/>
      <c r="I6" s="70"/>
      <c r="J6" s="80"/>
      <c r="K6" s="70"/>
      <c r="L6" s="70"/>
      <c r="M6" s="94"/>
    </row>
    <row r="7" spans="1:16" ht="21.95" customHeight="1">
      <c r="A7" s="47" t="s">
        <v>104</v>
      </c>
      <c r="B7" s="50" t="s">
        <v>126</v>
      </c>
      <c r="C7" s="59"/>
      <c r="D7" s="63">
        <v>959502</v>
      </c>
      <c r="E7" s="71">
        <v>807882</v>
      </c>
      <c r="F7" s="63">
        <v>151620</v>
      </c>
      <c r="G7" s="25">
        <v>116329</v>
      </c>
      <c r="H7" s="25">
        <v>85978</v>
      </c>
      <c r="I7" s="71">
        <v>30351</v>
      </c>
      <c r="J7" s="25">
        <v>35291</v>
      </c>
      <c r="K7" s="25">
        <v>33179</v>
      </c>
      <c r="L7" s="25">
        <v>2112</v>
      </c>
      <c r="M7" s="25">
        <v>55886</v>
      </c>
    </row>
    <row r="8" spans="1:16" ht="21.95" customHeight="1">
      <c r="A8" s="47"/>
      <c r="B8" s="51"/>
      <c r="C8" s="60" t="s">
        <v>10</v>
      </c>
      <c r="D8" s="64">
        <v>100</v>
      </c>
      <c r="E8" s="72">
        <v>84.198052739858795</v>
      </c>
      <c r="F8" s="64">
        <v>15.801947260141198</v>
      </c>
      <c r="G8" s="81">
        <v>12.123893436386792</v>
      </c>
      <c r="H8" s="81">
        <v>8.9606900246169374</v>
      </c>
      <c r="I8" s="72">
        <v>3.1632034117698558</v>
      </c>
      <c r="J8" s="81">
        <v>3.6780538237544063</v>
      </c>
      <c r="K8" s="81">
        <v>3.4579396395213355</v>
      </c>
      <c r="L8" s="81">
        <v>0.22011418423307089</v>
      </c>
      <c r="M8" s="95" t="s">
        <v>22</v>
      </c>
    </row>
    <row r="9" spans="1:16" ht="21.95" customHeight="1">
      <c r="A9" s="47"/>
      <c r="B9" s="52"/>
      <c r="C9" s="59" t="s">
        <v>20</v>
      </c>
      <c r="D9" s="63">
        <v>452439</v>
      </c>
      <c r="E9" s="71">
        <v>379970</v>
      </c>
      <c r="F9" s="63">
        <v>72469</v>
      </c>
      <c r="G9" s="25">
        <v>51494</v>
      </c>
      <c r="H9" s="25">
        <v>36651</v>
      </c>
      <c r="I9" s="71">
        <v>14843</v>
      </c>
      <c r="J9" s="25">
        <v>20975</v>
      </c>
      <c r="K9" s="25">
        <v>20137</v>
      </c>
      <c r="L9" s="25">
        <v>838</v>
      </c>
      <c r="M9" s="25">
        <v>30091</v>
      </c>
    </row>
    <row r="10" spans="1:16" ht="21.95" customHeight="1">
      <c r="A10" s="47"/>
      <c r="B10" s="53"/>
      <c r="C10" s="60" t="s">
        <v>10</v>
      </c>
      <c r="D10" s="64">
        <v>100</v>
      </c>
      <c r="E10" s="72">
        <v>83.982592128441624</v>
      </c>
      <c r="F10" s="64">
        <v>16.017407871558376</v>
      </c>
      <c r="G10" s="81">
        <v>11.381423794146835</v>
      </c>
      <c r="H10" s="81">
        <v>8.1007605445153938</v>
      </c>
      <c r="I10" s="72">
        <v>3.2806632496314423</v>
      </c>
      <c r="J10" s="81">
        <v>4.6359840774115399</v>
      </c>
      <c r="K10" s="81">
        <v>4.450765738585754</v>
      </c>
      <c r="L10" s="81">
        <v>0.18521833882578645</v>
      </c>
      <c r="M10" s="95" t="s">
        <v>22</v>
      </c>
    </row>
    <row r="11" spans="1:16" ht="21.95" customHeight="1">
      <c r="A11" s="47"/>
      <c r="B11" s="52"/>
      <c r="C11" s="59" t="s">
        <v>114</v>
      </c>
      <c r="D11" s="63">
        <v>507063</v>
      </c>
      <c r="E11" s="71">
        <v>427912</v>
      </c>
      <c r="F11" s="63">
        <v>79151</v>
      </c>
      <c r="G11" s="25">
        <v>64835</v>
      </c>
      <c r="H11" s="25">
        <v>49327</v>
      </c>
      <c r="I11" s="71">
        <v>15508</v>
      </c>
      <c r="J11" s="25">
        <v>14316</v>
      </c>
      <c r="K11" s="25">
        <v>13042</v>
      </c>
      <c r="L11" s="25">
        <v>1274</v>
      </c>
      <c r="M11" s="25">
        <v>25795</v>
      </c>
    </row>
    <row r="12" spans="1:16" ht="21.95" customHeight="1">
      <c r="A12" s="48"/>
      <c r="B12" s="54"/>
      <c r="C12" s="60" t="s">
        <v>10</v>
      </c>
      <c r="D12" s="64">
        <v>100</v>
      </c>
      <c r="E12" s="72">
        <v>84.39030258567476</v>
      </c>
      <c r="F12" s="64">
        <v>15.609697414325241</v>
      </c>
      <c r="G12" s="81">
        <v>12.78637960174574</v>
      </c>
      <c r="H12" s="81">
        <v>9.7279825189374893</v>
      </c>
      <c r="I12" s="72">
        <v>3.0583970828082507</v>
      </c>
      <c r="J12" s="81">
        <v>2.8233178125795018</v>
      </c>
      <c r="K12" s="81">
        <v>2.5720669818148827</v>
      </c>
      <c r="L12" s="81">
        <v>0.25125083076461896</v>
      </c>
      <c r="M12" s="95" t="s">
        <v>22</v>
      </c>
    </row>
    <row r="13" spans="1:16" ht="21.95" customHeight="1">
      <c r="A13" s="47" t="s">
        <v>124</v>
      </c>
      <c r="B13" s="50" t="s">
        <v>126</v>
      </c>
      <c r="C13" s="59"/>
      <c r="D13" s="63">
        <v>1023119</v>
      </c>
      <c r="E13" s="71">
        <v>859853</v>
      </c>
      <c r="F13" s="63">
        <v>163266</v>
      </c>
      <c r="G13" s="25">
        <v>125830</v>
      </c>
      <c r="H13" s="25">
        <v>92139</v>
      </c>
      <c r="I13" s="71">
        <v>33691</v>
      </c>
      <c r="J13" s="25">
        <v>37436</v>
      </c>
      <c r="K13" s="25">
        <v>35915</v>
      </c>
      <c r="L13" s="25">
        <v>1521</v>
      </c>
      <c r="M13" s="25">
        <v>60794</v>
      </c>
      <c r="P13" s="7"/>
    </row>
    <row r="14" spans="1:16" ht="21.95" customHeight="1">
      <c r="A14" s="47"/>
      <c r="B14" s="51"/>
      <c r="C14" s="60" t="s">
        <v>10</v>
      </c>
      <c r="D14" s="64">
        <v>100</v>
      </c>
      <c r="E14" s="72">
        <v>84.042325477290518</v>
      </c>
      <c r="F14" s="64">
        <v>15.95767452270948</v>
      </c>
      <c r="G14" s="81">
        <v>12.298667114969032</v>
      </c>
      <c r="H14" s="81">
        <v>9.0056972844801049</v>
      </c>
      <c r="I14" s="72">
        <v>3.2929698304889268</v>
      </c>
      <c r="J14" s="81">
        <v>3.6590074077404484</v>
      </c>
      <c r="K14" s="81">
        <v>3.5103443489955715</v>
      </c>
      <c r="L14" s="81">
        <v>0.14866305874487717</v>
      </c>
      <c r="M14" s="95" t="s">
        <v>22</v>
      </c>
    </row>
    <row r="15" spans="1:16" ht="21.95" customHeight="1">
      <c r="A15" s="47"/>
      <c r="B15" s="52"/>
      <c r="C15" s="59" t="s">
        <v>20</v>
      </c>
      <c r="D15" s="63">
        <v>480336</v>
      </c>
      <c r="E15" s="71">
        <v>402715</v>
      </c>
      <c r="F15" s="63">
        <v>77621</v>
      </c>
      <c r="G15" s="25">
        <v>56242</v>
      </c>
      <c r="H15" s="25">
        <v>39824</v>
      </c>
      <c r="I15" s="71">
        <v>16418</v>
      </c>
      <c r="J15" s="25">
        <v>21379</v>
      </c>
      <c r="K15" s="25">
        <v>20901</v>
      </c>
      <c r="L15" s="25">
        <v>478</v>
      </c>
      <c r="M15" s="25">
        <v>33955</v>
      </c>
      <c r="P15" s="7"/>
    </row>
    <row r="16" spans="1:16" ht="21.95" customHeight="1">
      <c r="A16" s="47"/>
      <c r="B16" s="53"/>
      <c r="C16" s="60" t="s">
        <v>10</v>
      </c>
      <c r="D16" s="64">
        <v>100</v>
      </c>
      <c r="E16" s="72">
        <v>83.840270144232377</v>
      </c>
      <c r="F16" s="64">
        <v>16.15972985576763</v>
      </c>
      <c r="G16" s="81">
        <v>11.708887112354684</v>
      </c>
      <c r="H16" s="81">
        <v>8.2908630625229005</v>
      </c>
      <c r="I16" s="72">
        <v>3.4180240498317844</v>
      </c>
      <c r="J16" s="81">
        <v>4.4508427434129443</v>
      </c>
      <c r="K16" s="81">
        <v>4.3513290696512446</v>
      </c>
      <c r="L16" s="81">
        <v>9.9513673761700158e-002</v>
      </c>
      <c r="M16" s="95" t="s">
        <v>22</v>
      </c>
    </row>
    <row r="17" spans="1:16" ht="21.95" customHeight="1">
      <c r="A17" s="47"/>
      <c r="B17" s="52"/>
      <c r="C17" s="59" t="s">
        <v>114</v>
      </c>
      <c r="D17" s="63">
        <v>542783</v>
      </c>
      <c r="E17" s="71">
        <v>457138</v>
      </c>
      <c r="F17" s="63">
        <v>85645</v>
      </c>
      <c r="G17" s="25">
        <v>69588</v>
      </c>
      <c r="H17" s="25">
        <v>52315</v>
      </c>
      <c r="I17" s="71">
        <v>17273</v>
      </c>
      <c r="J17" s="25">
        <v>16057</v>
      </c>
      <c r="K17" s="25">
        <v>15014</v>
      </c>
      <c r="L17" s="25">
        <v>1043</v>
      </c>
      <c r="M17" s="25">
        <v>26839</v>
      </c>
      <c r="P17" s="7"/>
    </row>
    <row r="18" spans="1:16" ht="21.95" customHeight="1">
      <c r="A18" s="48"/>
      <c r="B18" s="54"/>
      <c r="C18" s="60" t="s">
        <v>10</v>
      </c>
      <c r="D18" s="64">
        <v>100</v>
      </c>
      <c r="E18" s="72">
        <v>84.221134412831645</v>
      </c>
      <c r="F18" s="64">
        <v>15.778865587168353</v>
      </c>
      <c r="G18" s="81">
        <v>12.82059312837727</v>
      </c>
      <c r="H18" s="81">
        <v>9.6382900717229525</v>
      </c>
      <c r="I18" s="72">
        <v>3.1823030566543169</v>
      </c>
      <c r="J18" s="81">
        <v>2.958272458791082</v>
      </c>
      <c r="K18" s="81">
        <v>2.7661146351304295</v>
      </c>
      <c r="L18" s="81">
        <v>0.19215782366065259</v>
      </c>
      <c r="M18" s="95" t="s">
        <v>22</v>
      </c>
    </row>
    <row r="19" spans="1:16" ht="21.95" customHeight="1">
      <c r="A19" s="49" t="s">
        <v>125</v>
      </c>
      <c r="B19" s="55" t="s">
        <v>126</v>
      </c>
      <c r="C19" s="61"/>
      <c r="D19" s="65">
        <v>-63617</v>
      </c>
      <c r="E19" s="73">
        <v>-51971</v>
      </c>
      <c r="F19" s="76">
        <v>-11646</v>
      </c>
      <c r="G19" s="76">
        <v>-9501</v>
      </c>
      <c r="H19" s="85">
        <v>-6161</v>
      </c>
      <c r="I19" s="76">
        <v>-3340</v>
      </c>
      <c r="J19" s="76">
        <v>-2145</v>
      </c>
      <c r="K19" s="76">
        <v>-2736</v>
      </c>
      <c r="L19" s="76">
        <v>591</v>
      </c>
      <c r="M19" s="85">
        <v>-4908</v>
      </c>
    </row>
    <row r="20" spans="1:16" ht="21.95" customHeight="1">
      <c r="A20" s="47"/>
      <c r="B20" s="54"/>
      <c r="C20" s="60" t="s">
        <v>128</v>
      </c>
      <c r="D20" s="66">
        <v>-6.2179472769052353</v>
      </c>
      <c r="E20" s="74">
        <v>-6.04417266672327</v>
      </c>
      <c r="F20" s="77">
        <v>-7.1331446841350896</v>
      </c>
      <c r="G20" s="77">
        <v>-7.5506635937375819</v>
      </c>
      <c r="H20" s="86">
        <v>-6.6866364948610197</v>
      </c>
      <c r="I20" s="77">
        <v>-9.9136267846012203</v>
      </c>
      <c r="J20" s="89">
        <v>-5.7297788225237838</v>
      </c>
      <c r="K20" s="77">
        <v>-7.6179869135458773</v>
      </c>
      <c r="L20" s="77">
        <v>38.856015779092701</v>
      </c>
      <c r="M20" s="86">
        <v>-8.0731651149784511</v>
      </c>
    </row>
    <row r="21" spans="1:16" ht="21.95" customHeight="1">
      <c r="A21" s="47"/>
      <c r="B21" s="52"/>
      <c r="C21" s="59" t="s">
        <v>20</v>
      </c>
      <c r="D21" s="67">
        <v>-27897</v>
      </c>
      <c r="E21" s="75">
        <v>-22745</v>
      </c>
      <c r="F21" s="78">
        <v>-5152</v>
      </c>
      <c r="G21" s="78">
        <v>-4748</v>
      </c>
      <c r="H21" s="87">
        <v>-3173</v>
      </c>
      <c r="I21" s="78">
        <v>-1575</v>
      </c>
      <c r="J21" s="78">
        <v>-404</v>
      </c>
      <c r="K21" s="78">
        <v>-764</v>
      </c>
      <c r="L21" s="78">
        <v>360</v>
      </c>
      <c r="M21" s="87">
        <v>-3864</v>
      </c>
    </row>
    <row r="22" spans="1:16" ht="21.95" customHeight="1">
      <c r="A22" s="47"/>
      <c r="B22" s="54"/>
      <c r="C22" s="60" t="s">
        <v>128</v>
      </c>
      <c r="D22" s="66">
        <v>-5.8078095333266617</v>
      </c>
      <c r="E22" s="74">
        <v>-5.6479147784413328</v>
      </c>
      <c r="F22" s="77">
        <v>-6.6373790597905185</v>
      </c>
      <c r="G22" s="77">
        <v>-8.4420895416237016</v>
      </c>
      <c r="H22" s="86">
        <v>-7.9675572519084028</v>
      </c>
      <c r="I22" s="77">
        <v>-9.5931294920209638</v>
      </c>
      <c r="J22" s="89">
        <v>-1.8897048505542813</v>
      </c>
      <c r="K22" s="77">
        <v>-3.6553274962920312</v>
      </c>
      <c r="L22" s="77">
        <v>75.313807531380746</v>
      </c>
      <c r="M22" s="86">
        <v>-11.379767339125308</v>
      </c>
    </row>
    <row r="23" spans="1:16" ht="21.95" customHeight="1">
      <c r="A23" s="47"/>
      <c r="B23" s="52"/>
      <c r="C23" s="59" t="s">
        <v>114</v>
      </c>
      <c r="D23" s="67">
        <v>-35720</v>
      </c>
      <c r="E23" s="75">
        <v>-29226</v>
      </c>
      <c r="F23" s="78">
        <v>-6494</v>
      </c>
      <c r="G23" s="78">
        <v>-4753</v>
      </c>
      <c r="H23" s="87">
        <v>-2988</v>
      </c>
      <c r="I23" s="78">
        <v>-1765</v>
      </c>
      <c r="J23" s="78">
        <v>-1741</v>
      </c>
      <c r="K23" s="78">
        <v>-1972</v>
      </c>
      <c r="L23" s="78">
        <v>231</v>
      </c>
      <c r="M23" s="87">
        <v>-1044</v>
      </c>
    </row>
    <row r="24" spans="1:16" ht="21.95" customHeight="1">
      <c r="A24" s="48"/>
      <c r="B24" s="54"/>
      <c r="C24" s="60" t="s">
        <v>128</v>
      </c>
      <c r="D24" s="66">
        <v>-6.5808988122325189</v>
      </c>
      <c r="E24" s="74">
        <v>-6.3932554283389322</v>
      </c>
      <c r="F24" s="77">
        <v>-7.5824624905131657</v>
      </c>
      <c r="G24" s="77">
        <v>-6.8302006093004479</v>
      </c>
      <c r="H24" s="86">
        <v>-5.7115550033451257</v>
      </c>
      <c r="I24" s="77">
        <v>-10.218259711688759</v>
      </c>
      <c r="J24" s="89">
        <v>-10.842623155010273</v>
      </c>
      <c r="K24" s="77">
        <v>-13.13440788597309</v>
      </c>
      <c r="L24" s="77">
        <v>22.147651006711413</v>
      </c>
      <c r="M24" s="86">
        <v>-3.8898617683222199</v>
      </c>
    </row>
    <row r="25" spans="1:16" ht="21.95" customHeight="1">
      <c r="A25" s="6" t="s">
        <v>407</v>
      </c>
    </row>
    <row r="26" spans="1:16" ht="21.95" customHeight="1"/>
    <row r="27" spans="1:16" ht="21.95" customHeight="1"/>
  </sheetData>
  <mergeCells count="17">
    <mergeCell ref="B7:C7"/>
    <mergeCell ref="B13:C13"/>
    <mergeCell ref="B19:C19"/>
    <mergeCell ref="A3:C6"/>
    <mergeCell ref="D3:D6"/>
    <mergeCell ref="E3:E6"/>
    <mergeCell ref="F3:F6"/>
    <mergeCell ref="M3:M6"/>
    <mergeCell ref="G4:G6"/>
    <mergeCell ref="J4:J6"/>
    <mergeCell ref="H5:H6"/>
    <mergeCell ref="I5:I6"/>
    <mergeCell ref="K5:K6"/>
    <mergeCell ref="L5:L6"/>
    <mergeCell ref="A7:A12"/>
    <mergeCell ref="A13:A18"/>
    <mergeCell ref="A19:A24"/>
  </mergeCells>
  <phoneticPr fontId="8"/>
  <hyperlinks>
    <hyperlink ref="O3" location="目次!A7"/>
  </hyperlinks>
  <printOptions horizontalCentered="1"/>
  <pageMargins left="0.39370078740157483" right="0.39370078740157483" top="0.39370078740157483" bottom="0.39370078740157483" header="0.19685039370078741" footer="0.19685039370078741"/>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L59"/>
  <sheetViews>
    <sheetView showGridLines="0" topLeftCell="A25" zoomScale="111" zoomScaleNormal="111" zoomScaleSheetLayoutView="100" workbookViewId="0">
      <selection activeCell="A3" sqref="A3:J58"/>
    </sheetView>
  </sheetViews>
  <sheetFormatPr defaultRowHeight="13.5"/>
  <cols>
    <col min="1" max="1" width="9.625" style="6" customWidth="1"/>
    <col min="2" max="2" width="9" style="96" customWidth="1"/>
    <col min="3" max="16384" width="9" style="6" customWidth="1"/>
  </cols>
  <sheetData>
    <row r="1" spans="1:12" ht="15" customHeight="1">
      <c r="A1" s="42" t="s">
        <v>396</v>
      </c>
    </row>
    <row r="2" spans="1:12" ht="15" customHeight="1"/>
    <row r="3" spans="1:12" ht="15" customHeight="1">
      <c r="A3" s="97" t="s">
        <v>147</v>
      </c>
      <c r="B3" s="102" t="s">
        <v>200</v>
      </c>
      <c r="C3" s="83"/>
      <c r="D3" s="83"/>
      <c r="E3" s="83"/>
      <c r="F3" s="83"/>
      <c r="G3" s="83"/>
      <c r="H3" s="83"/>
      <c r="I3" s="83"/>
      <c r="J3" s="83"/>
      <c r="L3" s="43" t="s">
        <v>118</v>
      </c>
    </row>
    <row r="4" spans="1:12" ht="15" customHeight="1">
      <c r="A4" s="98"/>
      <c r="B4" s="69" t="s">
        <v>196</v>
      </c>
      <c r="C4" s="69" t="s">
        <v>132</v>
      </c>
      <c r="D4" s="108" t="s">
        <v>198</v>
      </c>
      <c r="E4" s="13"/>
    </row>
    <row r="5" spans="1:12" ht="15" customHeight="1">
      <c r="A5" s="98"/>
      <c r="B5" s="69"/>
      <c r="C5" s="69"/>
      <c r="D5" s="45"/>
      <c r="E5" s="92" t="s">
        <v>199</v>
      </c>
      <c r="F5" s="90"/>
      <c r="G5" s="44"/>
      <c r="H5" s="84" t="s">
        <v>141</v>
      </c>
      <c r="I5" s="90"/>
      <c r="J5" s="90"/>
    </row>
    <row r="6" spans="1:12" ht="15" customHeight="1">
      <c r="A6" s="98"/>
      <c r="B6" s="69"/>
      <c r="C6" s="69"/>
      <c r="D6" s="45"/>
      <c r="E6" s="79"/>
      <c r="F6" s="88" t="s">
        <v>236</v>
      </c>
      <c r="G6" s="92" t="s">
        <v>237</v>
      </c>
      <c r="H6" s="79"/>
      <c r="I6" s="88" t="s">
        <v>143</v>
      </c>
      <c r="J6" s="84" t="s">
        <v>145</v>
      </c>
    </row>
    <row r="7" spans="1:12" ht="15" customHeight="1">
      <c r="A7" s="98"/>
      <c r="B7" s="69"/>
      <c r="C7" s="69"/>
      <c r="D7" s="45"/>
      <c r="E7" s="79"/>
      <c r="F7" s="111"/>
      <c r="G7" s="93"/>
      <c r="H7" s="79"/>
      <c r="I7" s="111"/>
      <c r="J7" s="79"/>
    </row>
    <row r="8" spans="1:12" ht="15" customHeight="1">
      <c r="A8" s="99"/>
      <c r="B8" s="70"/>
      <c r="C8" s="70"/>
      <c r="D8" s="46"/>
      <c r="E8" s="80"/>
      <c r="F8" s="112"/>
      <c r="G8" s="80"/>
      <c r="H8" s="80"/>
      <c r="I8" s="112"/>
      <c r="J8" s="80"/>
    </row>
    <row r="9" spans="1:12" s="6" customFormat="1" ht="15" customHeight="1">
      <c r="A9" s="100"/>
      <c r="B9" s="103"/>
      <c r="C9" s="57"/>
      <c r="D9" s="45"/>
      <c r="E9" s="79"/>
      <c r="F9" s="79"/>
      <c r="G9" s="79"/>
      <c r="H9" s="69"/>
      <c r="I9" s="108"/>
      <c r="J9" s="93"/>
    </row>
    <row r="10" spans="1:12" s="6" customFormat="1" ht="15" customHeight="1">
      <c r="A10" s="6" t="s">
        <v>149</v>
      </c>
      <c r="B10" s="104">
        <v>100</v>
      </c>
      <c r="C10" s="106">
        <v>77.271045852951829</v>
      </c>
      <c r="D10" s="109">
        <v>22.728954147048178</v>
      </c>
      <c r="E10" s="110">
        <v>15.733450465241894</v>
      </c>
      <c r="F10" s="109">
        <v>10.866010212491787</v>
      </c>
      <c r="G10" s="110">
        <v>4.8674402527501073</v>
      </c>
      <c r="H10" s="109">
        <v>6.9955036818062837</v>
      </c>
      <c r="I10" s="113">
        <v>6.1747941963706694</v>
      </c>
      <c r="J10" s="113">
        <v>0.82070948543561373</v>
      </c>
    </row>
    <row r="11" spans="1:12" ht="15" customHeight="1">
      <c r="A11" s="59" t="s">
        <v>150</v>
      </c>
      <c r="B11" s="104">
        <v>100</v>
      </c>
      <c r="C11" s="106">
        <v>75.037275481021183</v>
      </c>
      <c r="D11" s="109">
        <v>24.962724518978817</v>
      </c>
      <c r="E11" s="110">
        <v>21.560769848260559</v>
      </c>
      <c r="F11" s="109">
        <v>13.64066321454561</v>
      </c>
      <c r="G11" s="110">
        <v>7.9201066337149504</v>
      </c>
      <c r="H11" s="109">
        <v>3.4019546707182582</v>
      </c>
      <c r="I11" s="113">
        <v>2.9361403541008007</v>
      </c>
      <c r="J11" s="113">
        <v>0.46581431661745731</v>
      </c>
    </row>
    <row r="12" spans="1:12" ht="15" customHeight="1">
      <c r="A12" s="59" t="s">
        <v>153</v>
      </c>
      <c r="B12" s="104">
        <v>100</v>
      </c>
      <c r="C12" s="106">
        <v>81.148302401323448</v>
      </c>
      <c r="D12" s="109">
        <v>18.851697598676559</v>
      </c>
      <c r="E12" s="110">
        <v>14.5946151161889</v>
      </c>
      <c r="F12" s="109">
        <v>10.323558301238142</v>
      </c>
      <c r="G12" s="110">
        <v>4.2710568149507582</v>
      </c>
      <c r="H12" s="109">
        <v>4.2570824824876574</v>
      </c>
      <c r="I12" s="113">
        <v>3.9618444180215575</v>
      </c>
      <c r="J12" s="113">
        <v>0.29523806446609974</v>
      </c>
    </row>
    <row r="13" spans="1:12" ht="15" customHeight="1">
      <c r="A13" s="59" t="s">
        <v>154</v>
      </c>
      <c r="B13" s="104">
        <v>100</v>
      </c>
      <c r="C13" s="106">
        <v>79.782228338898378</v>
      </c>
      <c r="D13" s="109">
        <v>20.217771661101629</v>
      </c>
      <c r="E13" s="110">
        <v>15.581553264922753</v>
      </c>
      <c r="F13" s="109">
        <v>10.3991296403075</v>
      </c>
      <c r="G13" s="110">
        <v>5.1824236246152529</v>
      </c>
      <c r="H13" s="109">
        <v>4.6362183961788759</v>
      </c>
      <c r="I13" s="113">
        <v>4.2605164332435113</v>
      </c>
      <c r="J13" s="113">
        <v>0.37570196293536573</v>
      </c>
    </row>
    <row r="14" spans="1:12" ht="15" customHeight="1">
      <c r="A14" s="59" t="s">
        <v>156</v>
      </c>
      <c r="B14" s="104">
        <v>100</v>
      </c>
      <c r="C14" s="106">
        <v>75.19626445919107</v>
      </c>
      <c r="D14" s="109">
        <v>24.803735540808933</v>
      </c>
      <c r="E14" s="110">
        <v>17.23860510617742</v>
      </c>
      <c r="F14" s="109">
        <v>12.28681544190346</v>
      </c>
      <c r="G14" s="110">
        <v>4.9517896642739601</v>
      </c>
      <c r="H14" s="109">
        <v>7.5651304346315102</v>
      </c>
      <c r="I14" s="113">
        <v>7.0685179296575669</v>
      </c>
      <c r="J14" s="113">
        <v>0.49661250497394438</v>
      </c>
    </row>
    <row r="15" spans="1:12" ht="15" customHeight="1">
      <c r="A15" s="59" t="s">
        <v>157</v>
      </c>
      <c r="B15" s="104">
        <v>100</v>
      </c>
      <c r="C15" s="106">
        <v>84.198052739858795</v>
      </c>
      <c r="D15" s="109">
        <v>15.801947260141198</v>
      </c>
      <c r="E15" s="110">
        <v>12.123893436386792</v>
      </c>
      <c r="F15" s="109">
        <v>8.9606900246169374</v>
      </c>
      <c r="G15" s="110">
        <v>3.1632034117698558</v>
      </c>
      <c r="H15" s="109">
        <v>3.6780538237544063</v>
      </c>
      <c r="I15" s="113">
        <v>3.4579396395213355</v>
      </c>
      <c r="J15" s="113">
        <v>0.22011418423307089</v>
      </c>
    </row>
    <row r="16" spans="1:12" ht="15" customHeight="1">
      <c r="A16" s="59" t="s">
        <v>0</v>
      </c>
      <c r="B16" s="104">
        <v>100</v>
      </c>
      <c r="C16" s="106">
        <v>82.904271146703223</v>
      </c>
      <c r="D16" s="109">
        <v>17.09572885329678</v>
      </c>
      <c r="E16" s="110">
        <v>13.032535694322334</v>
      </c>
      <c r="F16" s="109">
        <v>8.7112029939318028</v>
      </c>
      <c r="G16" s="110">
        <v>4.3213327003905331</v>
      </c>
      <c r="H16" s="109">
        <v>4.0631931589744452</v>
      </c>
      <c r="I16" s="113">
        <v>3.7061797126851661</v>
      </c>
      <c r="J16" s="113">
        <v>0.35701344628927922</v>
      </c>
    </row>
    <row r="17" spans="1:10" ht="15" customHeight="1">
      <c r="A17" s="59" t="s">
        <v>158</v>
      </c>
      <c r="B17" s="104">
        <v>100</v>
      </c>
      <c r="C17" s="106">
        <v>79.434875013092196</v>
      </c>
      <c r="D17" s="109">
        <v>20.565124986907797</v>
      </c>
      <c r="E17" s="110">
        <v>15.683914918130085</v>
      </c>
      <c r="F17" s="109">
        <v>10.862983538735467</v>
      </c>
      <c r="G17" s="110">
        <v>4.820931379394616</v>
      </c>
      <c r="H17" s="109">
        <v>4.8812100687777118</v>
      </c>
      <c r="I17" s="113">
        <v>4.4745880319798905</v>
      </c>
      <c r="J17" s="113">
        <v>0.40662203679782144</v>
      </c>
    </row>
    <row r="18" spans="1:10" ht="15" customHeight="1">
      <c r="A18" s="59" t="s">
        <v>135</v>
      </c>
      <c r="B18" s="104">
        <v>100</v>
      </c>
      <c r="C18" s="106">
        <v>80.699397874230598</v>
      </c>
      <c r="D18" s="109">
        <v>19.300602125769402</v>
      </c>
      <c r="E18" s="110">
        <v>13.126432459751609</v>
      </c>
      <c r="F18" s="109">
        <v>8.1057296994882115</v>
      </c>
      <c r="G18" s="110">
        <v>5.0207027602633962</v>
      </c>
      <c r="H18" s="109">
        <v>6.1741696660177903</v>
      </c>
      <c r="I18" s="113">
        <v>5.2507683094123525</v>
      </c>
      <c r="J18" s="113">
        <v>0.92340135660543798</v>
      </c>
    </row>
    <row r="19" spans="1:10" ht="15" customHeight="1">
      <c r="A19" s="59" t="s">
        <v>160</v>
      </c>
      <c r="B19" s="104">
        <v>100</v>
      </c>
      <c r="C19" s="106">
        <v>80.674506736687249</v>
      </c>
      <c r="D19" s="109">
        <v>19.325493263312758</v>
      </c>
      <c r="E19" s="110">
        <v>13.181673810462325</v>
      </c>
      <c r="F19" s="109">
        <v>9.279433627879115</v>
      </c>
      <c r="G19" s="110">
        <v>3.9022401825832089</v>
      </c>
      <c r="H19" s="109">
        <v>6.1438194528504315</v>
      </c>
      <c r="I19" s="113">
        <v>5.3348790003445163</v>
      </c>
      <c r="J19" s="113">
        <v>0.80894045250591518</v>
      </c>
    </row>
    <row r="20" spans="1:10" ht="15" customHeight="1">
      <c r="A20" s="59" t="s">
        <v>144</v>
      </c>
      <c r="B20" s="104">
        <v>100</v>
      </c>
      <c r="C20" s="106">
        <v>80.40240110153627</v>
      </c>
      <c r="D20" s="109">
        <v>19.597598898463726</v>
      </c>
      <c r="E20" s="110">
        <v>14.097137346514637</v>
      </c>
      <c r="F20" s="109">
        <v>9.5562397182212457</v>
      </c>
      <c r="G20" s="110">
        <v>4.5408976282933926</v>
      </c>
      <c r="H20" s="109">
        <v>5.5004615519490905</v>
      </c>
      <c r="I20" s="113">
        <v>4.5428057201499659</v>
      </c>
      <c r="J20" s="113">
        <v>0.95765583179912439</v>
      </c>
    </row>
    <row r="21" spans="1:10" ht="15" customHeight="1">
      <c r="A21" s="59" t="s">
        <v>162</v>
      </c>
      <c r="B21" s="104">
        <v>100</v>
      </c>
      <c r="C21" s="106">
        <v>78.938631801017451</v>
      </c>
      <c r="D21" s="109">
        <v>21.061368198982542</v>
      </c>
      <c r="E21" s="110">
        <v>13.110657726966076</v>
      </c>
      <c r="F21" s="109">
        <v>7.8229460030375373</v>
      </c>
      <c r="G21" s="110">
        <v>5.2877117239285401</v>
      </c>
      <c r="H21" s="109">
        <v>7.9507104720164632</v>
      </c>
      <c r="I21" s="113">
        <v>7.2552491468413223</v>
      </c>
      <c r="J21" s="113">
        <v>0.69546132517514181</v>
      </c>
    </row>
    <row r="22" spans="1:10" ht="15" customHeight="1">
      <c r="A22" s="59" t="s">
        <v>1</v>
      </c>
      <c r="B22" s="104">
        <v>100</v>
      </c>
      <c r="C22" s="106">
        <v>77.860284383115228</v>
      </c>
      <c r="D22" s="109">
        <v>22.139715616884772</v>
      </c>
      <c r="E22" s="110">
        <v>13.564877284994145</v>
      </c>
      <c r="F22" s="109">
        <v>8.1838911095269609</v>
      </c>
      <c r="G22" s="110">
        <v>5.3809861754671822</v>
      </c>
      <c r="H22" s="109">
        <v>8.5748383318906267</v>
      </c>
      <c r="I22" s="113">
        <v>7.7535293293955903</v>
      </c>
      <c r="J22" s="113">
        <v>0.82130900249503536</v>
      </c>
    </row>
    <row r="23" spans="1:10" ht="15" customHeight="1">
      <c r="A23" s="59" t="s">
        <v>25</v>
      </c>
      <c r="B23" s="104">
        <v>100</v>
      </c>
      <c r="C23" s="106">
        <v>69.986262416183152</v>
      </c>
      <c r="D23" s="109">
        <v>30.013737583816848</v>
      </c>
      <c r="E23" s="110">
        <v>17.652702662107121</v>
      </c>
      <c r="F23" s="109">
        <v>14.023639920117281</v>
      </c>
      <c r="G23" s="110">
        <v>3.6290627419898387</v>
      </c>
      <c r="H23" s="109">
        <v>12.361034921709726</v>
      </c>
      <c r="I23" s="113">
        <v>10.843800013012904</v>
      </c>
      <c r="J23" s="113">
        <v>1.5172349086968204</v>
      </c>
    </row>
    <row r="24" spans="1:10" ht="15" customHeight="1">
      <c r="A24" s="59" t="s">
        <v>131</v>
      </c>
      <c r="B24" s="104">
        <v>100</v>
      </c>
      <c r="C24" s="106">
        <v>76.131919837935982</v>
      </c>
      <c r="D24" s="109">
        <v>23.868080162064022</v>
      </c>
      <c r="E24" s="110">
        <v>15.282109984728281</v>
      </c>
      <c r="F24" s="109">
        <v>10.968074456956588</v>
      </c>
      <c r="G24" s="110">
        <v>4.3140355277716944</v>
      </c>
      <c r="H24" s="109">
        <v>8.5859701773357404</v>
      </c>
      <c r="I24" s="113">
        <v>7.740055386092334</v>
      </c>
      <c r="J24" s="113">
        <v>0.84591479124340707</v>
      </c>
    </row>
    <row r="25" spans="1:10" ht="15" customHeight="1">
      <c r="A25" s="59" t="s">
        <v>164</v>
      </c>
      <c r="B25" s="104">
        <v>100</v>
      </c>
      <c r="C25" s="106">
        <v>82.725624093705818</v>
      </c>
      <c r="D25" s="109">
        <v>17.274375906294178</v>
      </c>
      <c r="E25" s="110">
        <v>13.732787224840909</v>
      </c>
      <c r="F25" s="109">
        <v>9.9357553269200718</v>
      </c>
      <c r="G25" s="110">
        <v>3.7970318979208386</v>
      </c>
      <c r="H25" s="109">
        <v>3.5415886814532684</v>
      </c>
      <c r="I25" s="113">
        <v>3.1744827536079141</v>
      </c>
      <c r="J25" s="113">
        <v>0.3671059278453549</v>
      </c>
    </row>
    <row r="26" spans="1:10" ht="15" customHeight="1">
      <c r="A26" s="59" t="s">
        <v>148</v>
      </c>
      <c r="B26" s="104">
        <v>100</v>
      </c>
      <c r="C26" s="106">
        <v>83.227807122825936</v>
      </c>
      <c r="D26" s="109">
        <v>16.77219287717406</v>
      </c>
      <c r="E26" s="110">
        <v>11.948620718312664</v>
      </c>
      <c r="F26" s="109">
        <v>8.6304398664880839</v>
      </c>
      <c r="G26" s="110">
        <v>3.3181808518245792</v>
      </c>
      <c r="H26" s="109">
        <v>4.8235721588613991</v>
      </c>
      <c r="I26" s="113">
        <v>3.9450567928149405</v>
      </c>
      <c r="J26" s="113">
        <v>0.87851536604645863</v>
      </c>
    </row>
    <row r="27" spans="1:10" ht="15" customHeight="1">
      <c r="A27" s="59" t="s">
        <v>165</v>
      </c>
      <c r="B27" s="104">
        <v>100</v>
      </c>
      <c r="C27" s="106">
        <v>79.741480548790932</v>
      </c>
      <c r="D27" s="109">
        <v>20.258519451209068</v>
      </c>
      <c r="E27" s="110">
        <v>13.752531950701352</v>
      </c>
      <c r="F27" s="109">
        <v>9.1582886397310084</v>
      </c>
      <c r="G27" s="110">
        <v>4.5942433109703442</v>
      </c>
      <c r="H27" s="109">
        <v>6.5059875005077146</v>
      </c>
      <c r="I27" s="113">
        <v>5.7518326290080761</v>
      </c>
      <c r="J27" s="113">
        <v>0.75415487149963889</v>
      </c>
    </row>
    <row r="28" spans="1:10" ht="15" customHeight="1">
      <c r="A28" s="59" t="s">
        <v>166</v>
      </c>
      <c r="B28" s="104">
        <v>100</v>
      </c>
      <c r="C28" s="106">
        <v>83.071161341725968</v>
      </c>
      <c r="D28" s="109">
        <v>16.928838658274035</v>
      </c>
      <c r="E28" s="110">
        <v>11.993537307185246</v>
      </c>
      <c r="F28" s="109">
        <v>8.2902682747765901</v>
      </c>
      <c r="G28" s="110">
        <v>3.7032690324086568</v>
      </c>
      <c r="H28" s="109">
        <v>4.9353013510887864</v>
      </c>
      <c r="I28" s="113">
        <v>3.983110412159669</v>
      </c>
      <c r="J28" s="113">
        <v>0.95219093892911777</v>
      </c>
    </row>
    <row r="29" spans="1:10" ht="15" customHeight="1">
      <c r="A29" s="59" t="s">
        <v>167</v>
      </c>
      <c r="B29" s="104">
        <v>100</v>
      </c>
      <c r="C29" s="106">
        <v>80.648267722173799</v>
      </c>
      <c r="D29" s="109">
        <v>19.351732277826201</v>
      </c>
      <c r="E29" s="110">
        <v>13.403763577596317</v>
      </c>
      <c r="F29" s="109">
        <v>7.7818547262010878</v>
      </c>
      <c r="G29" s="110">
        <v>5.6219088513952293</v>
      </c>
      <c r="H29" s="109">
        <v>5.9479687002298842</v>
      </c>
      <c r="I29" s="113">
        <v>5.3325168462197547</v>
      </c>
      <c r="J29" s="113">
        <v>0.6154518540101287</v>
      </c>
    </row>
    <row r="30" spans="1:10" ht="15" customHeight="1">
      <c r="A30" s="59" t="s">
        <v>169</v>
      </c>
      <c r="B30" s="104">
        <v>100</v>
      </c>
      <c r="C30" s="106">
        <v>80.663238625183169</v>
      </c>
      <c r="D30" s="109">
        <v>19.336761374816835</v>
      </c>
      <c r="E30" s="110">
        <v>14.530293050183813</v>
      </c>
      <c r="F30" s="109">
        <v>8.8896006906212914</v>
      </c>
      <c r="G30" s="110">
        <v>5.6406923595625225</v>
      </c>
      <c r="H30" s="109">
        <v>4.8064683246330215</v>
      </c>
      <c r="I30" s="113">
        <v>4.1781025590194592</v>
      </c>
      <c r="J30" s="113">
        <v>0.62836576561356361</v>
      </c>
    </row>
    <row r="31" spans="1:10" ht="15" customHeight="1">
      <c r="A31" s="59" t="s">
        <v>170</v>
      </c>
      <c r="B31" s="104">
        <v>100</v>
      </c>
      <c r="C31" s="106">
        <v>82.615621440288834</v>
      </c>
      <c r="D31" s="109">
        <v>17.38437855971117</v>
      </c>
      <c r="E31" s="110">
        <v>12.423549912014806</v>
      </c>
      <c r="F31" s="109">
        <v>7.7188941256616577</v>
      </c>
      <c r="G31" s="110">
        <v>4.7046557863531477</v>
      </c>
      <c r="H31" s="109">
        <v>4.9608286476963643</v>
      </c>
      <c r="I31" s="113">
        <v>3.9042482546991977</v>
      </c>
      <c r="J31" s="113">
        <v>1.0565803929971669</v>
      </c>
    </row>
    <row r="32" spans="1:10" ht="15" customHeight="1">
      <c r="A32" s="59" t="s">
        <v>171</v>
      </c>
      <c r="B32" s="104">
        <v>100</v>
      </c>
      <c r="C32" s="106">
        <v>79.454816990632509</v>
      </c>
      <c r="D32" s="109">
        <v>20.545183009367495</v>
      </c>
      <c r="E32" s="110">
        <v>15.248119977914797</v>
      </c>
      <c r="F32" s="109">
        <v>11.037096203293954</v>
      </c>
      <c r="G32" s="110">
        <v>4.2110237746208448</v>
      </c>
      <c r="H32" s="109">
        <v>5.2970630314526961</v>
      </c>
      <c r="I32" s="113">
        <v>4.3747911621759537</v>
      </c>
      <c r="J32" s="113">
        <v>0.92227186927674265</v>
      </c>
    </row>
    <row r="33" spans="1:10" ht="15" customHeight="1">
      <c r="A33" s="59" t="s">
        <v>172</v>
      </c>
      <c r="B33" s="104">
        <v>100</v>
      </c>
      <c r="C33" s="106">
        <v>77.329316936286318</v>
      </c>
      <c r="D33" s="109">
        <v>22.670683063713678</v>
      </c>
      <c r="E33" s="110">
        <v>16.504262891925197</v>
      </c>
      <c r="F33" s="109">
        <v>10.445009986854343</v>
      </c>
      <c r="G33" s="110">
        <v>6.0592529050708563</v>
      </c>
      <c r="H33" s="109">
        <v>6.166420171788479</v>
      </c>
      <c r="I33" s="113">
        <v>4.9869438369540786</v>
      </c>
      <c r="J33" s="113">
        <v>1.1794763348344</v>
      </c>
    </row>
    <row r="34" spans="1:10" ht="15" customHeight="1">
      <c r="A34" s="59" t="s">
        <v>174</v>
      </c>
      <c r="B34" s="104">
        <v>100</v>
      </c>
      <c r="C34" s="106">
        <v>81.744710081152192</v>
      </c>
      <c r="D34" s="109">
        <v>18.255289918847804</v>
      </c>
      <c r="E34" s="110">
        <v>12.687105918133781</v>
      </c>
      <c r="F34" s="109">
        <v>8.5310356592895715</v>
      </c>
      <c r="G34" s="110">
        <v>4.1560702588442116</v>
      </c>
      <c r="H34" s="109">
        <v>5.5681840007140213</v>
      </c>
      <c r="I34" s="113">
        <v>4.510595654634872</v>
      </c>
      <c r="J34" s="113">
        <v>1.0575883460791502</v>
      </c>
    </row>
    <row r="35" spans="1:10" ht="15" customHeight="1">
      <c r="A35" s="59" t="s">
        <v>175</v>
      </c>
      <c r="B35" s="104">
        <v>100</v>
      </c>
      <c r="C35" s="106">
        <v>81.030057795290077</v>
      </c>
      <c r="D35" s="109">
        <v>18.969942204709927</v>
      </c>
      <c r="E35" s="110">
        <v>11.712777923189565</v>
      </c>
      <c r="F35" s="109">
        <v>7.3191332828715137</v>
      </c>
      <c r="G35" s="110">
        <v>4.3936446403180511</v>
      </c>
      <c r="H35" s="109">
        <v>7.257164281520363</v>
      </c>
      <c r="I35" s="113">
        <v>6.2832747363134098</v>
      </c>
      <c r="J35" s="113">
        <v>0.97388954520695237</v>
      </c>
    </row>
    <row r="36" spans="1:10" s="6" customFormat="1" ht="15" customHeight="1">
      <c r="A36" s="59" t="s">
        <v>11</v>
      </c>
      <c r="B36" s="104">
        <v>100</v>
      </c>
      <c r="C36" s="106">
        <v>78.195421644032962</v>
      </c>
      <c r="D36" s="109">
        <v>21.804578355967042</v>
      </c>
      <c r="E36" s="110">
        <v>13.252694730627788</v>
      </c>
      <c r="F36" s="109">
        <v>10.240849125727721</v>
      </c>
      <c r="G36" s="110">
        <v>3.0118456049000675</v>
      </c>
      <c r="H36" s="109">
        <v>8.5518836253392525</v>
      </c>
      <c r="I36" s="113">
        <v>7.6956285804164093</v>
      </c>
      <c r="J36" s="113">
        <v>0.85625504492284399</v>
      </c>
    </row>
    <row r="37" spans="1:10" s="6" customFormat="1" ht="15" customHeight="1">
      <c r="A37" s="59" t="s">
        <v>176</v>
      </c>
      <c r="B37" s="104">
        <v>100</v>
      </c>
      <c r="C37" s="106">
        <v>76.646961280018473</v>
      </c>
      <c r="D37" s="109">
        <v>23.353038719981534</v>
      </c>
      <c r="E37" s="110">
        <v>16.40356043466134</v>
      </c>
      <c r="F37" s="109">
        <v>10.978451936225381</v>
      </c>
      <c r="G37" s="110">
        <v>5.425108498435959</v>
      </c>
      <c r="H37" s="109">
        <v>6.9494782853201942</v>
      </c>
      <c r="I37" s="113">
        <v>6.1993497165830194</v>
      </c>
      <c r="J37" s="113">
        <v>0.75012856873717493</v>
      </c>
    </row>
    <row r="38" spans="1:10" s="6" customFormat="1" ht="15" customHeight="1">
      <c r="A38" s="59" t="s">
        <v>4</v>
      </c>
      <c r="B38" s="104">
        <v>100</v>
      </c>
      <c r="C38" s="106">
        <v>79.289906938734873</v>
      </c>
      <c r="D38" s="109">
        <v>20.71009306126512</v>
      </c>
      <c r="E38" s="110">
        <v>14.761549950027467</v>
      </c>
      <c r="F38" s="109">
        <v>10.175586395027853</v>
      </c>
      <c r="G38" s="110">
        <v>4.5859635549996138</v>
      </c>
      <c r="H38" s="109">
        <v>5.9485431112376537</v>
      </c>
      <c r="I38" s="113">
        <v>5.3277016184074588</v>
      </c>
      <c r="J38" s="113">
        <v>0.62084149283019474</v>
      </c>
    </row>
    <row r="39" spans="1:10" ht="15" customHeight="1">
      <c r="A39" s="59" t="s">
        <v>177</v>
      </c>
      <c r="B39" s="104">
        <v>100</v>
      </c>
      <c r="C39" s="106">
        <v>82.654610550762456</v>
      </c>
      <c r="D39" s="109">
        <v>17.345389449237548</v>
      </c>
      <c r="E39" s="110">
        <v>11.362859039029107</v>
      </c>
      <c r="F39" s="109">
        <v>7.0575240114370015</v>
      </c>
      <c r="G39" s="110">
        <v>4.3053350275921067</v>
      </c>
      <c r="H39" s="109">
        <v>5.9825304102084376</v>
      </c>
      <c r="I39" s="113">
        <v>5.523102396198337</v>
      </c>
      <c r="J39" s="113">
        <v>0.45942801401010064</v>
      </c>
    </row>
    <row r="40" spans="1:10" ht="15" customHeight="1">
      <c r="A40" s="59" t="s">
        <v>178</v>
      </c>
      <c r="B40" s="104">
        <v>100</v>
      </c>
      <c r="C40" s="106">
        <v>82.664776323890294</v>
      </c>
      <c r="D40" s="109">
        <v>17.33522367610971</v>
      </c>
      <c r="E40" s="110">
        <v>13.60678268862239</v>
      </c>
      <c r="F40" s="109">
        <v>9.7520659365434472</v>
      </c>
      <c r="G40" s="110">
        <v>3.8547167520789434</v>
      </c>
      <c r="H40" s="109">
        <v>3.7284409874873186</v>
      </c>
      <c r="I40" s="113">
        <v>3.4470573953157655</v>
      </c>
      <c r="J40" s="113">
        <v>0.28138359217155295</v>
      </c>
    </row>
    <row r="41" spans="1:10" ht="15" customHeight="1">
      <c r="A41" s="59" t="s">
        <v>179</v>
      </c>
      <c r="B41" s="104">
        <v>100</v>
      </c>
      <c r="C41" s="106">
        <v>80.506751811957571</v>
      </c>
      <c r="D41" s="109">
        <v>19.493248188042436</v>
      </c>
      <c r="E41" s="110">
        <v>13.735821917684451</v>
      </c>
      <c r="F41" s="109">
        <v>10.257188651390386</v>
      </c>
      <c r="G41" s="110">
        <v>3.4786332662940658</v>
      </c>
      <c r="H41" s="109">
        <v>5.7574262703579828</v>
      </c>
      <c r="I41" s="113">
        <v>5.2870672037036037</v>
      </c>
      <c r="J41" s="113">
        <v>0.4703590666543791</v>
      </c>
    </row>
    <row r="42" spans="1:10" ht="15" customHeight="1">
      <c r="A42" s="59" t="s">
        <v>181</v>
      </c>
      <c r="B42" s="104">
        <v>100</v>
      </c>
      <c r="C42" s="106">
        <v>79.458253740728267</v>
      </c>
      <c r="D42" s="109">
        <v>20.541746259271733</v>
      </c>
      <c r="E42" s="110">
        <v>14.451682694456776</v>
      </c>
      <c r="F42" s="109">
        <v>10.939227507204311</v>
      </c>
      <c r="G42" s="110">
        <v>3.5124551872524683</v>
      </c>
      <c r="H42" s="109">
        <v>6.0900635648149528</v>
      </c>
      <c r="I42" s="113">
        <v>5.3450469807457912</v>
      </c>
      <c r="J42" s="113">
        <v>0.74501658406916138</v>
      </c>
    </row>
    <row r="43" spans="1:10" ht="15" customHeight="1">
      <c r="A43" s="59" t="s">
        <v>29</v>
      </c>
      <c r="B43" s="104">
        <v>100</v>
      </c>
      <c r="C43" s="106">
        <v>78.522340227236143</v>
      </c>
      <c r="D43" s="109">
        <v>21.477659772763861</v>
      </c>
      <c r="E43" s="110">
        <v>15.329437332135868</v>
      </c>
      <c r="F43" s="109">
        <v>11.265854423140468</v>
      </c>
      <c r="G43" s="110">
        <v>4.0635829089953992</v>
      </c>
      <c r="H43" s="109">
        <v>6.1482224406279924</v>
      </c>
      <c r="I43" s="113">
        <v>5.3323074381285638</v>
      </c>
      <c r="J43" s="113">
        <v>0.81591500249942817</v>
      </c>
    </row>
    <row r="44" spans="1:10" ht="15" customHeight="1">
      <c r="A44" s="59" t="s">
        <v>182</v>
      </c>
      <c r="B44" s="104">
        <v>100</v>
      </c>
      <c r="C44" s="106">
        <v>76.813032244145987</v>
      </c>
      <c r="D44" s="109">
        <v>23.186967755854017</v>
      </c>
      <c r="E44" s="110">
        <v>16.696134088556569</v>
      </c>
      <c r="F44" s="109">
        <v>12.581981939506418</v>
      </c>
      <c r="G44" s="110">
        <v>4.1141521490501489</v>
      </c>
      <c r="H44" s="109">
        <v>6.4908336672974478</v>
      </c>
      <c r="I44" s="113">
        <v>5.572307338423875</v>
      </c>
      <c r="J44" s="113">
        <v>0.91852632887357311</v>
      </c>
    </row>
    <row r="45" spans="1:10" ht="15" customHeight="1">
      <c r="A45" s="59" t="s">
        <v>113</v>
      </c>
      <c r="B45" s="104">
        <v>100</v>
      </c>
      <c r="C45" s="106">
        <v>78.360265830339799</v>
      </c>
      <c r="D45" s="109">
        <v>21.639734169660201</v>
      </c>
      <c r="E45" s="110">
        <v>16.056820154702585</v>
      </c>
      <c r="F45" s="109">
        <v>11.769378246410925</v>
      </c>
      <c r="G45" s="110">
        <v>4.2874419082916626</v>
      </c>
      <c r="H45" s="109">
        <v>5.5829140149576135</v>
      </c>
      <c r="I45" s="113">
        <v>5.0075294752317143</v>
      </c>
      <c r="J45" s="113">
        <v>0.57538453972589876</v>
      </c>
    </row>
    <row r="46" spans="1:10" ht="15" customHeight="1">
      <c r="A46" s="59" t="s">
        <v>183</v>
      </c>
      <c r="B46" s="104">
        <v>100</v>
      </c>
      <c r="C46" s="106">
        <v>81.586638482737342</v>
      </c>
      <c r="D46" s="109">
        <v>18.413361517262658</v>
      </c>
      <c r="E46" s="110">
        <v>13.973697778778391</v>
      </c>
      <c r="F46" s="109">
        <v>8.977582102371036</v>
      </c>
      <c r="G46" s="110">
        <v>4.9961156764073555</v>
      </c>
      <c r="H46" s="109">
        <v>4.4396637384842661</v>
      </c>
      <c r="I46" s="113">
        <v>3.9396352488121198</v>
      </c>
      <c r="J46" s="113">
        <v>0.50002848967214641</v>
      </c>
    </row>
    <row r="47" spans="1:10" ht="15" customHeight="1">
      <c r="A47" s="59" t="s">
        <v>28</v>
      </c>
      <c r="B47" s="104">
        <v>100</v>
      </c>
      <c r="C47" s="106">
        <v>79.600713080008916</v>
      </c>
      <c r="D47" s="109">
        <v>20.399286919991074</v>
      </c>
      <c r="E47" s="110">
        <v>13.862334305715162</v>
      </c>
      <c r="F47" s="109">
        <v>9.9952222797513066</v>
      </c>
      <c r="G47" s="110">
        <v>3.8671120259638578</v>
      </c>
      <c r="H47" s="109">
        <v>6.5369526142759122</v>
      </c>
      <c r="I47" s="113">
        <v>5.7443140919595388</v>
      </c>
      <c r="J47" s="113">
        <v>0.79263852231637355</v>
      </c>
    </row>
    <row r="48" spans="1:10" ht="15" customHeight="1">
      <c r="A48" s="59" t="s">
        <v>184</v>
      </c>
      <c r="B48" s="104">
        <v>100</v>
      </c>
      <c r="C48" s="106">
        <v>79.199095622624711</v>
      </c>
      <c r="D48" s="109">
        <v>20.800904377375282</v>
      </c>
      <c r="E48" s="110">
        <v>15.836717631538139</v>
      </c>
      <c r="F48" s="109">
        <v>11.847778124885286</v>
      </c>
      <c r="G48" s="110">
        <v>3.9889395066528519</v>
      </c>
      <c r="H48" s="109">
        <v>4.9641867458371447</v>
      </c>
      <c r="I48" s="113">
        <v>4.3146711855569313</v>
      </c>
      <c r="J48" s="113">
        <v>0.64951556028021318</v>
      </c>
    </row>
    <row r="49" spans="1:10" ht="15" customHeight="1">
      <c r="A49" s="59" t="s">
        <v>108</v>
      </c>
      <c r="B49" s="104">
        <v>100</v>
      </c>
      <c r="C49" s="106">
        <v>79.393573931314322</v>
      </c>
      <c r="D49" s="109">
        <v>20.606426068685675</v>
      </c>
      <c r="E49" s="110">
        <v>15.933578876891286</v>
      </c>
      <c r="F49" s="109">
        <v>10.990604849846788</v>
      </c>
      <c r="G49" s="110">
        <v>4.9429740270444968</v>
      </c>
      <c r="H49" s="109">
        <v>4.6728471917943919</v>
      </c>
      <c r="I49" s="113">
        <v>4.2643309661083375</v>
      </c>
      <c r="J49" s="113">
        <v>0.40851622568605422</v>
      </c>
    </row>
    <row r="50" spans="1:10" ht="15" customHeight="1">
      <c r="A50" s="59" t="s">
        <v>186</v>
      </c>
      <c r="B50" s="104">
        <v>100</v>
      </c>
      <c r="C50" s="106">
        <v>73.124722747679058</v>
      </c>
      <c r="D50" s="109">
        <v>26.875277252320934</v>
      </c>
      <c r="E50" s="110">
        <v>19.451886523132238</v>
      </c>
      <c r="F50" s="109">
        <v>13.162645217901336</v>
      </c>
      <c r="G50" s="110">
        <v>6.2892413052309015</v>
      </c>
      <c r="H50" s="109">
        <v>7.4233907291886965</v>
      </c>
      <c r="I50" s="113">
        <v>6.7659303000809707</v>
      </c>
      <c r="J50" s="113">
        <v>0.65746042910772551</v>
      </c>
    </row>
    <row r="51" spans="1:10" ht="15" customHeight="1">
      <c r="A51" s="59" t="s">
        <v>103</v>
      </c>
      <c r="B51" s="104">
        <v>100</v>
      </c>
      <c r="C51" s="106">
        <v>78.568400452527726</v>
      </c>
      <c r="D51" s="109">
        <v>21.431599547472278</v>
      </c>
      <c r="E51" s="110">
        <v>15.030772378062757</v>
      </c>
      <c r="F51" s="109">
        <v>10.78536728441466</v>
      </c>
      <c r="G51" s="110">
        <v>4.245405093648098</v>
      </c>
      <c r="H51" s="109">
        <v>6.4008271694095207</v>
      </c>
      <c r="I51" s="113">
        <v>5.8593220464309219</v>
      </c>
      <c r="J51" s="113">
        <v>0.54150512297859854</v>
      </c>
    </row>
    <row r="52" spans="1:10" ht="15" customHeight="1">
      <c r="A52" s="59" t="s">
        <v>31</v>
      </c>
      <c r="B52" s="104">
        <v>100</v>
      </c>
      <c r="C52" s="106">
        <v>77.599772006306395</v>
      </c>
      <c r="D52" s="109">
        <v>22.400227993693598</v>
      </c>
      <c r="E52" s="110">
        <v>17.15484901894893</v>
      </c>
      <c r="F52" s="109">
        <v>12.425961105434128</v>
      </c>
      <c r="G52" s="110">
        <v>4.7288879135147992</v>
      </c>
      <c r="H52" s="109">
        <v>5.2453789747446686</v>
      </c>
      <c r="I52" s="113">
        <v>4.8092038737591603</v>
      </c>
      <c r="J52" s="113">
        <v>0.43617510098550888</v>
      </c>
    </row>
    <row r="53" spans="1:10" ht="15" customHeight="1">
      <c r="A53" s="59" t="s">
        <v>188</v>
      </c>
      <c r="B53" s="104">
        <v>100</v>
      </c>
      <c r="C53" s="106">
        <v>75.863501200309955</v>
      </c>
      <c r="D53" s="109">
        <v>24.136498799690042</v>
      </c>
      <c r="E53" s="110">
        <v>18.709360461738214</v>
      </c>
      <c r="F53" s="109">
        <v>13.262260103399814</v>
      </c>
      <c r="G53" s="110">
        <v>5.4471003583384006</v>
      </c>
      <c r="H53" s="109">
        <v>5.4271383379518277</v>
      </c>
      <c r="I53" s="113">
        <v>4.7893891794344015</v>
      </c>
      <c r="J53" s="113">
        <v>0.63774915851742597</v>
      </c>
    </row>
    <row r="54" spans="1:10" s="6" customFormat="1" ht="15" customHeight="1">
      <c r="A54" s="59" t="s">
        <v>189</v>
      </c>
      <c r="B54" s="104">
        <v>100</v>
      </c>
      <c r="C54" s="106">
        <v>76.934240451589702</v>
      </c>
      <c r="D54" s="109">
        <v>23.065759548410288</v>
      </c>
      <c r="E54" s="110">
        <v>17.407096308054797</v>
      </c>
      <c r="F54" s="109">
        <v>13.2463171307254</v>
      </c>
      <c r="G54" s="110">
        <v>4.1607791773293989</v>
      </c>
      <c r="H54" s="109">
        <v>5.6586632403554917</v>
      </c>
      <c r="I54" s="113">
        <v>5.0269964372533043</v>
      </c>
      <c r="J54" s="113">
        <v>0.63166680310218792</v>
      </c>
    </row>
    <row r="55" spans="1:10" s="6" customFormat="1" ht="15" customHeight="1">
      <c r="A55" s="59" t="s">
        <v>190</v>
      </c>
      <c r="B55" s="104">
        <v>100</v>
      </c>
      <c r="C55" s="106">
        <v>76.062477093726855</v>
      </c>
      <c r="D55" s="109">
        <v>23.937522906273141</v>
      </c>
      <c r="E55" s="110">
        <v>18.564459187565912</v>
      </c>
      <c r="F55" s="109">
        <v>14.049212024203984</v>
      </c>
      <c r="G55" s="110">
        <v>4.5152471633619307</v>
      </c>
      <c r="H55" s="109">
        <v>5.3730637187072254</v>
      </c>
      <c r="I55" s="113">
        <v>4.8775402589437311</v>
      </c>
      <c r="J55" s="113">
        <v>0.49552345976349504</v>
      </c>
    </row>
    <row r="56" spans="1:10" s="6" customFormat="1" ht="15" customHeight="1">
      <c r="A56" s="59" t="s">
        <v>191</v>
      </c>
      <c r="B56" s="104">
        <v>100</v>
      </c>
      <c r="C56" s="106">
        <v>74.413696532548911</v>
      </c>
      <c r="D56" s="109">
        <v>25.586303467451092</v>
      </c>
      <c r="E56" s="110">
        <v>20.345838454254224</v>
      </c>
      <c r="F56" s="109">
        <v>14.320865150202486</v>
      </c>
      <c r="G56" s="110">
        <v>6.0249733040517395</v>
      </c>
      <c r="H56" s="109">
        <v>5.2404650131968644</v>
      </c>
      <c r="I56" s="113">
        <v>4.7241124856446319</v>
      </c>
      <c r="J56" s="113">
        <v>0.51635252755223338</v>
      </c>
    </row>
    <row r="57" spans="1:10" s="6" customFormat="1" ht="15" customHeight="1">
      <c r="A57" s="59" t="s">
        <v>193</v>
      </c>
      <c r="B57" s="104">
        <v>100</v>
      </c>
      <c r="C57" s="106">
        <v>72.102515877558801</v>
      </c>
      <c r="D57" s="109">
        <v>27.897484122441192</v>
      </c>
      <c r="E57" s="110">
        <v>22.048273230299561</v>
      </c>
      <c r="F57" s="109">
        <v>12.935849210892142</v>
      </c>
      <c r="G57" s="110">
        <v>9.1124240194074204</v>
      </c>
      <c r="H57" s="109">
        <v>5.8492108921416301</v>
      </c>
      <c r="I57" s="113">
        <v>5.1039196445607438</v>
      </c>
      <c r="J57" s="113">
        <v>0.74529124758088694</v>
      </c>
    </row>
    <row r="58" spans="1:10" s="6" customFormat="1" ht="15" customHeight="1">
      <c r="A58" s="101"/>
      <c r="B58" s="105"/>
      <c r="C58" s="107"/>
      <c r="D58" s="107"/>
      <c r="E58" s="107"/>
      <c r="F58" s="107"/>
      <c r="G58" s="107"/>
      <c r="H58" s="107"/>
      <c r="I58" s="107"/>
      <c r="J58" s="114"/>
    </row>
    <row r="59" spans="1:10" ht="15" customHeight="1">
      <c r="A59" s="6" t="s">
        <v>86</v>
      </c>
    </row>
  </sheetData>
  <mergeCells count="11">
    <mergeCell ref="B3:J3"/>
    <mergeCell ref="A3:A8"/>
    <mergeCell ref="B4:B8"/>
    <mergeCell ref="C4:C8"/>
    <mergeCell ref="D4:D8"/>
    <mergeCell ref="E5:E8"/>
    <mergeCell ref="H5:H8"/>
    <mergeCell ref="F6:F8"/>
    <mergeCell ref="G6:G8"/>
    <mergeCell ref="I6:I8"/>
    <mergeCell ref="J6:J8"/>
  </mergeCells>
  <phoneticPr fontId="8"/>
  <conditionalFormatting sqref="A3:B3 B4:C1048575 D1:J2 K1:XEN1048575 D4:J1048575 A1:C2 A9:A1048575">
    <cfRule type="cellIs" dxfId="21" priority="1" operator="equal">
      <formula>0</formula>
    </cfRule>
  </conditionalFormatting>
  <hyperlinks>
    <hyperlink ref="L3" location="目次!A9"/>
  </hyperlinks>
  <printOptions horizontalCentered="1" verticalCentered="1"/>
  <pageMargins left="0.39370078740157483" right="0.39370078740157483" top="0.59055118110236227" bottom="0.59055118110236227" header="0.19685039370078741" footer="0.19685039370078741"/>
  <pageSetup paperSize="9" scale="8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M33"/>
  <sheetViews>
    <sheetView showGridLines="0" workbookViewId="0"/>
  </sheetViews>
  <sheetFormatPr defaultRowHeight="13.5"/>
  <cols>
    <col min="1" max="16384" width="9" style="6" customWidth="1"/>
  </cols>
  <sheetData>
    <row r="1" spans="1:13">
      <c r="A1" s="42" t="s">
        <v>411</v>
      </c>
    </row>
    <row r="2" spans="1:13">
      <c r="M2" s="115"/>
    </row>
    <row r="3" spans="1:13">
      <c r="M3" s="116"/>
    </row>
    <row r="4" spans="1:13">
      <c r="K4" s="43" t="s">
        <v>118</v>
      </c>
      <c r="M4" s="116"/>
    </row>
    <row r="5" spans="1:13">
      <c r="M5" s="116"/>
    </row>
    <row r="6" spans="1:13">
      <c r="M6" s="116"/>
    </row>
    <row r="7" spans="1:13">
      <c r="M7" s="116"/>
    </row>
    <row r="8" spans="1:13">
      <c r="M8" s="116"/>
    </row>
    <row r="9" spans="1:13">
      <c r="M9" s="116"/>
    </row>
    <row r="10" spans="1:13">
      <c r="M10" s="116"/>
    </row>
    <row r="11" spans="1:13">
      <c r="M11" s="116"/>
    </row>
    <row r="12" spans="1:13">
      <c r="M12" s="116"/>
    </row>
    <row r="13" spans="1:13">
      <c r="M13" s="116"/>
    </row>
    <row r="14" spans="1:13">
      <c r="M14" s="116"/>
    </row>
    <row r="15" spans="1:13">
      <c r="M15" s="116"/>
    </row>
    <row r="16" spans="1:13">
      <c r="M16" s="116"/>
    </row>
    <row r="17" spans="1:13">
      <c r="M17" s="116"/>
    </row>
    <row r="18" spans="1:13">
      <c r="M18" s="116"/>
    </row>
    <row r="19" spans="1:13">
      <c r="M19" s="116"/>
    </row>
    <row r="32" spans="1:13">
      <c r="A32" s="6" t="s">
        <v>407</v>
      </c>
    </row>
    <row r="33" spans="1:1">
      <c r="A33" s="6" t="s">
        <v>408</v>
      </c>
    </row>
  </sheetData>
  <phoneticPr fontId="8"/>
  <hyperlinks>
    <hyperlink ref="K4" location="目次!A11"/>
  </hyperlinks>
  <pageMargins left="0.7" right="0.7" top="0.75" bottom="0.75" header="0.3" footer="0.3"/>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K29"/>
  <sheetViews>
    <sheetView showGridLines="0" workbookViewId="0"/>
  </sheetViews>
  <sheetFormatPr defaultRowHeight="13.5"/>
  <cols>
    <col min="1" max="16384" width="9" style="6" customWidth="1"/>
  </cols>
  <sheetData>
    <row r="1" spans="1:11">
      <c r="A1" s="42" t="s">
        <v>412</v>
      </c>
    </row>
    <row r="3" spans="1:11">
      <c r="K3" s="43" t="s">
        <v>118</v>
      </c>
    </row>
    <row r="28" spans="1:1">
      <c r="A28" s="6" t="s">
        <v>407</v>
      </c>
    </row>
    <row r="29" spans="1:1">
      <c r="A29" s="6" t="s">
        <v>408</v>
      </c>
    </row>
  </sheetData>
  <phoneticPr fontId="8"/>
  <hyperlinks>
    <hyperlink ref="K3" location="目次!A13"/>
  </hyperlinks>
  <pageMargins left="0.7" right="0.7" top="0.75" bottom="0.75" header="0.3" footer="0.3"/>
  <pageSetup paperSize="9"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X72"/>
  <sheetViews>
    <sheetView showGridLines="0" zoomScaleSheetLayoutView="100" workbookViewId="0">
      <selection activeCell="W3" sqref="W3"/>
    </sheetView>
  </sheetViews>
  <sheetFormatPr defaultRowHeight="13.5"/>
  <cols>
    <col min="1" max="1" width="10" style="6" customWidth="1"/>
    <col min="2" max="2" width="1.625" style="6" customWidth="1"/>
    <col min="3" max="3" width="10" style="6" customWidth="1"/>
    <col min="4" max="12" width="9" style="6" customWidth="1"/>
    <col min="13" max="21" width="7" style="6" customWidth="1"/>
    <col min="22" max="22" width="10.625" style="6" customWidth="1"/>
    <col min="23" max="23" width="9" style="117" customWidth="1"/>
    <col min="24" max="24" width="9" style="118" customWidth="1"/>
    <col min="25" max="16384" width="9" style="6" customWidth="1"/>
  </cols>
  <sheetData>
    <row r="1" spans="1:24" ht="20" customHeight="1">
      <c r="A1" s="42" t="s">
        <v>414</v>
      </c>
    </row>
    <row r="2" spans="1:24" ht="20" customHeight="1"/>
    <row r="3" spans="1:24" ht="20" customHeight="1">
      <c r="A3" s="62" t="s">
        <v>202</v>
      </c>
      <c r="B3" s="124"/>
      <c r="C3" s="83" t="s">
        <v>227</v>
      </c>
      <c r="D3" s="83"/>
      <c r="E3" s="83"/>
      <c r="F3" s="83"/>
      <c r="G3" s="83"/>
      <c r="H3" s="83"/>
      <c r="I3" s="83"/>
      <c r="J3" s="83"/>
      <c r="K3" s="83"/>
      <c r="L3" s="83"/>
      <c r="M3" s="102" t="s">
        <v>233</v>
      </c>
      <c r="N3" s="83"/>
      <c r="O3" s="83"/>
      <c r="P3" s="83"/>
      <c r="Q3" s="83"/>
      <c r="R3" s="83"/>
      <c r="S3" s="83"/>
      <c r="T3" s="83"/>
      <c r="U3" s="83"/>
      <c r="W3" s="43" t="s">
        <v>118</v>
      </c>
    </row>
    <row r="4" spans="1:24" ht="20" customHeight="1">
      <c r="A4" s="108"/>
      <c r="B4" s="100"/>
      <c r="C4" s="108" t="s">
        <v>129</v>
      </c>
      <c r="D4" s="69" t="s">
        <v>132</v>
      </c>
      <c r="E4" s="108" t="s">
        <v>228</v>
      </c>
      <c r="F4" s="13"/>
      <c r="L4" s="92" t="s">
        <v>232</v>
      </c>
      <c r="M4" s="111" t="s">
        <v>129</v>
      </c>
      <c r="N4" s="69" t="s">
        <v>132</v>
      </c>
      <c r="O4" s="93" t="s">
        <v>228</v>
      </c>
      <c r="P4" s="13"/>
    </row>
    <row r="5" spans="1:24" ht="20" customHeight="1">
      <c r="A5" s="108"/>
      <c r="B5" s="100"/>
      <c r="C5" s="45"/>
      <c r="D5" s="69"/>
      <c r="E5" s="45"/>
      <c r="F5" s="84" t="s">
        <v>136</v>
      </c>
      <c r="G5" s="83"/>
      <c r="H5" s="44"/>
      <c r="I5" s="84" t="s">
        <v>141</v>
      </c>
      <c r="J5" s="90"/>
      <c r="K5" s="91"/>
      <c r="L5" s="93"/>
      <c r="M5" s="69"/>
      <c r="N5" s="69"/>
      <c r="O5" s="79"/>
      <c r="P5" s="92" t="s">
        <v>234</v>
      </c>
      <c r="Q5" s="83"/>
      <c r="R5" s="44"/>
      <c r="S5" s="84" t="s">
        <v>238</v>
      </c>
      <c r="T5" s="82"/>
      <c r="U5" s="82"/>
    </row>
    <row r="6" spans="1:24" ht="20" customHeight="1">
      <c r="A6" s="108"/>
      <c r="B6" s="100"/>
      <c r="C6" s="45"/>
      <c r="D6" s="69"/>
      <c r="E6" s="45"/>
      <c r="F6" s="79"/>
      <c r="G6" s="92" t="s">
        <v>229</v>
      </c>
      <c r="H6" s="88" t="s">
        <v>17</v>
      </c>
      <c r="I6" s="79"/>
      <c r="J6" s="68" t="s">
        <v>231</v>
      </c>
      <c r="K6" s="68" t="s">
        <v>145</v>
      </c>
      <c r="L6" s="93"/>
      <c r="M6" s="69"/>
      <c r="N6" s="69"/>
      <c r="O6" s="79"/>
      <c r="P6" s="79"/>
      <c r="Q6" s="92" t="s">
        <v>236</v>
      </c>
      <c r="R6" s="88" t="s">
        <v>237</v>
      </c>
      <c r="S6" s="79"/>
      <c r="T6" s="68" t="s">
        <v>231</v>
      </c>
      <c r="U6" s="84" t="s">
        <v>145</v>
      </c>
    </row>
    <row r="7" spans="1:24" ht="20" customHeight="1">
      <c r="A7" s="108"/>
      <c r="B7" s="100"/>
      <c r="C7" s="45"/>
      <c r="D7" s="69"/>
      <c r="E7" s="45"/>
      <c r="F7" s="79"/>
      <c r="G7" s="79"/>
      <c r="H7" s="111"/>
      <c r="I7" s="79"/>
      <c r="J7" s="69"/>
      <c r="K7" s="69"/>
      <c r="L7" s="93"/>
      <c r="M7" s="69"/>
      <c r="N7" s="69"/>
      <c r="O7" s="79"/>
      <c r="P7" s="79"/>
      <c r="Q7" s="93"/>
      <c r="R7" s="111"/>
      <c r="S7" s="79"/>
      <c r="T7" s="69"/>
      <c r="U7" s="79"/>
    </row>
    <row r="8" spans="1:24" ht="20" customHeight="1">
      <c r="A8" s="108"/>
      <c r="B8" s="100"/>
      <c r="C8" s="45"/>
      <c r="D8" s="69"/>
      <c r="E8" s="45"/>
      <c r="F8" s="79"/>
      <c r="G8" s="79"/>
      <c r="H8" s="111"/>
      <c r="I8" s="79"/>
      <c r="J8" s="69"/>
      <c r="K8" s="69"/>
      <c r="L8" s="93"/>
      <c r="M8" s="69"/>
      <c r="N8" s="69"/>
      <c r="O8" s="79"/>
      <c r="P8" s="79"/>
      <c r="Q8" s="93"/>
      <c r="R8" s="111"/>
      <c r="S8" s="79"/>
      <c r="T8" s="69"/>
      <c r="U8" s="79"/>
    </row>
    <row r="9" spans="1:24" ht="20" customHeight="1">
      <c r="A9" s="119"/>
      <c r="B9" s="125"/>
      <c r="C9" s="46"/>
      <c r="D9" s="70"/>
      <c r="E9" s="46"/>
      <c r="F9" s="80"/>
      <c r="G9" s="80"/>
      <c r="H9" s="70"/>
      <c r="I9" s="80"/>
      <c r="J9" s="70"/>
      <c r="K9" s="70"/>
      <c r="L9" s="94"/>
      <c r="M9" s="70"/>
      <c r="N9" s="70"/>
      <c r="O9" s="80"/>
      <c r="P9" s="80"/>
      <c r="Q9" s="80"/>
      <c r="R9" s="70"/>
      <c r="S9" s="80"/>
      <c r="T9" s="70"/>
      <c r="U9" s="80"/>
    </row>
    <row r="10" spans="1:24" s="6" customFormat="1" ht="20" customHeight="1">
      <c r="A10" s="108"/>
      <c r="B10" s="124"/>
      <c r="C10" s="68"/>
      <c r="D10" s="68"/>
      <c r="E10" s="68"/>
      <c r="F10" s="68"/>
      <c r="G10" s="68"/>
      <c r="H10" s="68"/>
      <c r="I10" s="68"/>
      <c r="J10" s="68"/>
      <c r="K10" s="68"/>
      <c r="L10" s="88"/>
      <c r="M10" s="68"/>
      <c r="N10" s="68"/>
      <c r="O10" s="68"/>
      <c r="P10" s="68"/>
      <c r="Q10" s="68"/>
      <c r="R10" s="68"/>
      <c r="S10" s="68"/>
      <c r="T10" s="68"/>
      <c r="U10" s="84"/>
      <c r="W10" s="117"/>
      <c r="X10" s="118"/>
    </row>
    <row r="11" spans="1:24" s="6" customFormat="1" ht="20" customHeight="1">
      <c r="A11" s="6" t="s">
        <v>203</v>
      </c>
      <c r="B11" s="126"/>
      <c r="C11" s="71">
        <v>959502</v>
      </c>
      <c r="D11" s="71">
        <v>807882</v>
      </c>
      <c r="E11" s="71">
        <v>151620</v>
      </c>
      <c r="F11" s="71">
        <v>116329</v>
      </c>
      <c r="G11" s="71">
        <v>85978</v>
      </c>
      <c r="H11" s="71">
        <v>30351</v>
      </c>
      <c r="I11" s="71">
        <v>35291</v>
      </c>
      <c r="J11" s="71">
        <v>33179</v>
      </c>
      <c r="K11" s="71">
        <v>2112</v>
      </c>
      <c r="L11" s="71">
        <v>55886</v>
      </c>
      <c r="M11" s="110">
        <v>100</v>
      </c>
      <c r="N11" s="110">
        <v>84.198052739858795</v>
      </c>
      <c r="O11" s="110">
        <v>15.801947260141198</v>
      </c>
      <c r="P11" s="110">
        <v>12.123893436386792</v>
      </c>
      <c r="Q11" s="110">
        <v>8.9606900246169374</v>
      </c>
      <c r="R11" s="110">
        <v>3.1632034117698558</v>
      </c>
      <c r="S11" s="110">
        <v>3.6780538237544063</v>
      </c>
      <c r="T11" s="110">
        <v>3.4579396395213355</v>
      </c>
      <c r="U11" s="113">
        <v>0.22011418423307089</v>
      </c>
      <c r="W11" s="117"/>
      <c r="X11" s="118"/>
    </row>
    <row r="12" spans="1:24" s="6" customFormat="1" ht="20" customHeight="1">
      <c r="A12" s="120" t="s">
        <v>204</v>
      </c>
      <c r="B12" s="126"/>
      <c r="C12" s="71">
        <v>25359</v>
      </c>
      <c r="D12" s="71">
        <v>19001</v>
      </c>
      <c r="E12" s="71">
        <v>6358</v>
      </c>
      <c r="F12" s="71">
        <v>5166</v>
      </c>
      <c r="G12" s="71">
        <v>4144</v>
      </c>
      <c r="H12" s="71">
        <v>1022</v>
      </c>
      <c r="I12" s="71">
        <v>1192</v>
      </c>
      <c r="J12" s="71">
        <v>1146</v>
      </c>
      <c r="K12" s="71">
        <v>46</v>
      </c>
      <c r="L12" s="71">
        <v>926</v>
      </c>
      <c r="M12" s="110">
        <v>100</v>
      </c>
      <c r="N12" s="110">
        <v>74.928033439804409</v>
      </c>
      <c r="O12" s="110">
        <v>25.071966560195591</v>
      </c>
      <c r="P12" s="110">
        <v>20.371465751804095</v>
      </c>
      <c r="Q12" s="110">
        <v>16.341338380850981</v>
      </c>
      <c r="R12" s="110">
        <v>4.0301273709531138</v>
      </c>
      <c r="S12" s="110">
        <v>4.7005008083914976</v>
      </c>
      <c r="T12" s="110">
        <v>4.519105642966994</v>
      </c>
      <c r="U12" s="113">
        <v>0.18139516542450412</v>
      </c>
      <c r="W12" s="131" t="s">
        <v>240</v>
      </c>
      <c r="X12" s="118"/>
    </row>
    <row r="13" spans="1:24" ht="20" customHeight="1">
      <c r="A13" s="120" t="s">
        <v>205</v>
      </c>
      <c r="B13" s="126"/>
      <c r="C13" s="71">
        <v>31412</v>
      </c>
      <c r="D13" s="71">
        <v>22253</v>
      </c>
      <c r="E13" s="71">
        <v>9159</v>
      </c>
      <c r="F13" s="71">
        <v>7543</v>
      </c>
      <c r="G13" s="71">
        <v>6121</v>
      </c>
      <c r="H13" s="71">
        <v>1422</v>
      </c>
      <c r="I13" s="71">
        <v>1616</v>
      </c>
      <c r="J13" s="71">
        <v>1567</v>
      </c>
      <c r="K13" s="71">
        <v>49</v>
      </c>
      <c r="L13" s="71">
        <v>1477</v>
      </c>
      <c r="M13" s="110">
        <v>100</v>
      </c>
      <c r="N13" s="110">
        <v>70.842353240799696</v>
      </c>
      <c r="O13" s="110">
        <v>29.157646759200308</v>
      </c>
      <c r="P13" s="110">
        <v>24.013116006621672</v>
      </c>
      <c r="Q13" s="110">
        <v>19.486183624092703</v>
      </c>
      <c r="R13" s="110">
        <v>4.5269323825289698</v>
      </c>
      <c r="S13" s="110">
        <v>5.1445307525786328</v>
      </c>
      <c r="T13" s="110">
        <v>4.9885394116897999</v>
      </c>
      <c r="U13" s="113">
        <v>0.15599134088883229</v>
      </c>
      <c r="W13" s="131" t="s">
        <v>241</v>
      </c>
    </row>
    <row r="14" spans="1:24" ht="20" customHeight="1">
      <c r="A14" s="120" t="s">
        <v>206</v>
      </c>
      <c r="B14" s="126"/>
      <c r="C14" s="71">
        <v>36215</v>
      </c>
      <c r="D14" s="71">
        <v>30816</v>
      </c>
      <c r="E14" s="71">
        <v>5399</v>
      </c>
      <c r="F14" s="71">
        <v>4563</v>
      </c>
      <c r="G14" s="71">
        <v>3924</v>
      </c>
      <c r="H14" s="71">
        <v>639</v>
      </c>
      <c r="I14" s="71">
        <v>836</v>
      </c>
      <c r="J14" s="71">
        <v>795</v>
      </c>
      <c r="K14" s="71">
        <v>41</v>
      </c>
      <c r="L14" s="71">
        <v>963</v>
      </c>
      <c r="M14" s="110">
        <v>100</v>
      </c>
      <c r="N14" s="110">
        <v>85.091812784757693</v>
      </c>
      <c r="O14" s="110">
        <v>14.908187215242302</v>
      </c>
      <c r="P14" s="110">
        <v>12.599751484191632</v>
      </c>
      <c r="Q14" s="110">
        <v>10.835289244788072</v>
      </c>
      <c r="R14" s="110">
        <v>1.7644622394035623</v>
      </c>
      <c r="S14" s="110">
        <v>2.3084357310506696</v>
      </c>
      <c r="T14" s="110">
        <v>2.1952229739058402</v>
      </c>
      <c r="U14" s="113">
        <v>0.11321275714482948</v>
      </c>
      <c r="W14" s="131" t="s">
        <v>107</v>
      </c>
    </row>
    <row r="15" spans="1:24" ht="20" customHeight="1">
      <c r="A15" s="120" t="s">
        <v>209</v>
      </c>
      <c r="B15" s="126"/>
      <c r="C15" s="71">
        <v>36505</v>
      </c>
      <c r="D15" s="71">
        <v>30311</v>
      </c>
      <c r="E15" s="71">
        <v>6194</v>
      </c>
      <c r="F15" s="71">
        <v>4466</v>
      </c>
      <c r="G15" s="71">
        <v>2920</v>
      </c>
      <c r="H15" s="71">
        <v>1546</v>
      </c>
      <c r="I15" s="71">
        <v>1728</v>
      </c>
      <c r="J15" s="71">
        <v>1649</v>
      </c>
      <c r="K15" s="71">
        <v>79</v>
      </c>
      <c r="L15" s="71">
        <v>5982</v>
      </c>
      <c r="M15" s="110">
        <v>100</v>
      </c>
      <c r="N15" s="110">
        <v>83.032461306670328</v>
      </c>
      <c r="O15" s="110">
        <v>16.967538693329683</v>
      </c>
      <c r="P15" s="110">
        <v>12.233940556088207</v>
      </c>
      <c r="Q15" s="110">
        <v>7.9989042596904536</v>
      </c>
      <c r="R15" s="110">
        <v>4.2350362963977535</v>
      </c>
      <c r="S15" s="110">
        <v>4.7335981372414739</v>
      </c>
      <c r="T15" s="110">
        <v>4.5171894261060128</v>
      </c>
      <c r="U15" s="113">
        <v>0.2164087111354609</v>
      </c>
      <c r="W15" s="131" t="s">
        <v>242</v>
      </c>
    </row>
    <row r="16" spans="1:24" ht="20" customHeight="1">
      <c r="A16" s="120" t="s">
        <v>210</v>
      </c>
      <c r="B16" s="126"/>
      <c r="C16" s="71">
        <v>29973</v>
      </c>
      <c r="D16" s="71">
        <v>18119</v>
      </c>
      <c r="E16" s="71">
        <v>11854</v>
      </c>
      <c r="F16" s="71">
        <v>6356</v>
      </c>
      <c r="G16" s="71">
        <v>2914</v>
      </c>
      <c r="H16" s="71">
        <v>3442</v>
      </c>
      <c r="I16" s="71">
        <v>5498</v>
      </c>
      <c r="J16" s="71">
        <v>5019</v>
      </c>
      <c r="K16" s="71">
        <v>479</v>
      </c>
      <c r="L16" s="71">
        <v>17868</v>
      </c>
      <c r="M16" s="110">
        <v>100</v>
      </c>
      <c r="N16" s="110">
        <v>60.451072632035498</v>
      </c>
      <c r="O16" s="110">
        <v>39.548927367964502</v>
      </c>
      <c r="P16" s="110">
        <v>21.205751843325661</v>
      </c>
      <c r="Q16" s="110">
        <v>9.7220832082207309</v>
      </c>
      <c r="R16" s="110">
        <v>11.483668635104928</v>
      </c>
      <c r="S16" s="110">
        <v>18.343175524638841</v>
      </c>
      <c r="T16" s="110">
        <v>16.745070563507156</v>
      </c>
      <c r="U16" s="113">
        <v>1.5981049611316851</v>
      </c>
      <c r="W16" s="131" t="s">
        <v>243</v>
      </c>
    </row>
    <row r="17" spans="1:24" ht="20" customHeight="1">
      <c r="A17" s="120" t="s">
        <v>212</v>
      </c>
      <c r="B17" s="126"/>
      <c r="C17" s="71">
        <v>32859</v>
      </c>
      <c r="D17" s="71">
        <v>17810</v>
      </c>
      <c r="E17" s="71">
        <v>15049</v>
      </c>
      <c r="F17" s="71">
        <v>9670</v>
      </c>
      <c r="G17" s="71">
        <v>5839</v>
      </c>
      <c r="H17" s="71">
        <v>3831</v>
      </c>
      <c r="I17" s="71">
        <v>5379</v>
      </c>
      <c r="J17" s="71">
        <v>4951</v>
      </c>
      <c r="K17" s="71">
        <v>428</v>
      </c>
      <c r="L17" s="71">
        <v>7883</v>
      </c>
      <c r="M17" s="110">
        <v>100</v>
      </c>
      <c r="N17" s="110">
        <v>54.201284275236617</v>
      </c>
      <c r="O17" s="110">
        <v>45.798715724763383</v>
      </c>
      <c r="P17" s="110">
        <v>29.428771417267718</v>
      </c>
      <c r="Q17" s="110">
        <v>17.769865181533216</v>
      </c>
      <c r="R17" s="110">
        <v>11.658906235734502</v>
      </c>
      <c r="S17" s="110">
        <v>16.369944307495661</v>
      </c>
      <c r="T17" s="110">
        <v>15.067409233391157</v>
      </c>
      <c r="U17" s="113">
        <v>1.302535074104507</v>
      </c>
      <c r="W17" s="131" t="s">
        <v>214</v>
      </c>
    </row>
    <row r="18" spans="1:24" ht="20" customHeight="1">
      <c r="A18" s="120" t="s">
        <v>159</v>
      </c>
      <c r="B18" s="126"/>
      <c r="C18" s="71">
        <v>39253</v>
      </c>
      <c r="D18" s="71">
        <v>23112</v>
      </c>
      <c r="E18" s="71">
        <v>16141</v>
      </c>
      <c r="F18" s="71">
        <v>12332</v>
      </c>
      <c r="G18" s="71">
        <v>8442</v>
      </c>
      <c r="H18" s="71">
        <v>3890</v>
      </c>
      <c r="I18" s="71">
        <v>3809</v>
      </c>
      <c r="J18" s="71">
        <v>3493</v>
      </c>
      <c r="K18" s="71">
        <v>316</v>
      </c>
      <c r="L18" s="71">
        <v>4506</v>
      </c>
      <c r="M18" s="110">
        <v>100</v>
      </c>
      <c r="N18" s="110">
        <v>58.879576083356689</v>
      </c>
      <c r="O18" s="110">
        <v>41.120423916643311</v>
      </c>
      <c r="P18" s="110">
        <v>31.416707003286369</v>
      </c>
      <c r="Q18" s="110">
        <v>21.506636435431687</v>
      </c>
      <c r="R18" s="110">
        <v>9.910070567854687</v>
      </c>
      <c r="S18" s="110">
        <v>9.7037169133569421</v>
      </c>
      <c r="T18" s="110">
        <v>8.8986829032175887</v>
      </c>
      <c r="U18" s="113">
        <v>0.80503401013935239</v>
      </c>
      <c r="W18" s="131" t="s">
        <v>244</v>
      </c>
    </row>
    <row r="19" spans="1:24" ht="20" customHeight="1">
      <c r="A19" s="120" t="s">
        <v>215</v>
      </c>
      <c r="B19" s="126"/>
      <c r="C19" s="71">
        <v>49220</v>
      </c>
      <c r="D19" s="71">
        <v>34080</v>
      </c>
      <c r="E19" s="71">
        <v>15140</v>
      </c>
      <c r="F19" s="71">
        <v>11839</v>
      </c>
      <c r="G19" s="71">
        <v>8718</v>
      </c>
      <c r="H19" s="71">
        <v>3121</v>
      </c>
      <c r="I19" s="71">
        <v>3301</v>
      </c>
      <c r="J19" s="71">
        <v>3037</v>
      </c>
      <c r="K19" s="71">
        <v>264</v>
      </c>
      <c r="L19" s="71">
        <v>3406</v>
      </c>
      <c r="M19" s="110">
        <v>100</v>
      </c>
      <c r="N19" s="110">
        <v>69.240146281999188</v>
      </c>
      <c r="O19" s="110">
        <v>30.759853718000812</v>
      </c>
      <c r="P19" s="110">
        <v>24.05323039414872</v>
      </c>
      <c r="Q19" s="110">
        <v>17.712312068264932</v>
      </c>
      <c r="R19" s="110">
        <v>6.3409183258837878</v>
      </c>
      <c r="S19" s="110">
        <v>6.7066233238520931</v>
      </c>
      <c r="T19" s="110">
        <v>6.1702559934985777</v>
      </c>
      <c r="U19" s="113">
        <v>0.53636733035351492</v>
      </c>
      <c r="W19" s="131" t="s">
        <v>245</v>
      </c>
    </row>
    <row r="20" spans="1:24" ht="20" customHeight="1">
      <c r="A20" s="120" t="s">
        <v>216</v>
      </c>
      <c r="B20" s="126"/>
      <c r="C20" s="71">
        <v>58942</v>
      </c>
      <c r="D20" s="71">
        <v>46937</v>
      </c>
      <c r="E20" s="71">
        <v>12005</v>
      </c>
      <c r="F20" s="71">
        <v>9461</v>
      </c>
      <c r="G20" s="71">
        <v>7083</v>
      </c>
      <c r="H20" s="71">
        <v>2378</v>
      </c>
      <c r="I20" s="71">
        <v>2544</v>
      </c>
      <c r="J20" s="71">
        <v>2399</v>
      </c>
      <c r="K20" s="71">
        <v>145</v>
      </c>
      <c r="L20" s="71">
        <v>2837</v>
      </c>
      <c r="M20" s="110">
        <v>100</v>
      </c>
      <c r="N20" s="110">
        <v>79.632520104509524</v>
      </c>
      <c r="O20" s="110">
        <v>20.367479895490483</v>
      </c>
      <c r="P20" s="110">
        <v>16.051372535713075</v>
      </c>
      <c r="Q20" s="110">
        <v>12.016897967493469</v>
      </c>
      <c r="R20" s="110">
        <v>4.0344745682196059</v>
      </c>
      <c r="S20" s="110">
        <v>4.3161073597774084</v>
      </c>
      <c r="T20" s="110">
        <v>4.0701028129347492</v>
      </c>
      <c r="U20" s="113">
        <v>0.24600454684265888</v>
      </c>
      <c r="W20" s="132" t="s">
        <v>248</v>
      </c>
    </row>
    <row r="21" spans="1:24" ht="20" customHeight="1">
      <c r="A21" s="120" t="s">
        <v>40</v>
      </c>
      <c r="B21" s="126"/>
      <c r="C21" s="71">
        <v>63212</v>
      </c>
      <c r="D21" s="71">
        <v>54138</v>
      </c>
      <c r="E21" s="71">
        <v>9074</v>
      </c>
      <c r="F21" s="71">
        <v>6711</v>
      </c>
      <c r="G21" s="71">
        <v>4908</v>
      </c>
      <c r="H21" s="71">
        <v>1803</v>
      </c>
      <c r="I21" s="71">
        <v>2363</v>
      </c>
      <c r="J21" s="71">
        <v>2224</v>
      </c>
      <c r="K21" s="71">
        <v>139</v>
      </c>
      <c r="L21" s="71">
        <v>2705</v>
      </c>
      <c r="M21" s="110">
        <v>100</v>
      </c>
      <c r="N21" s="110">
        <v>85.645130671391513</v>
      </c>
      <c r="O21" s="110">
        <v>14.354869328608491</v>
      </c>
      <c r="P21" s="110">
        <v>10.616655065493893</v>
      </c>
      <c r="Q21" s="110">
        <v>7.7643485414161866</v>
      </c>
      <c r="R21" s="110">
        <v>2.852306524077707</v>
      </c>
      <c r="S21" s="110">
        <v>3.7382142631145983</v>
      </c>
      <c r="T21" s="110">
        <v>3.5183193064607989</v>
      </c>
      <c r="U21" s="113">
        <v>0.21989495665379993</v>
      </c>
      <c r="W21" s="131" t="s">
        <v>252</v>
      </c>
    </row>
    <row r="22" spans="1:24" ht="20" customHeight="1">
      <c r="A22" s="120" t="s">
        <v>217</v>
      </c>
      <c r="B22" s="126"/>
      <c r="C22" s="71">
        <v>58657</v>
      </c>
      <c r="D22" s="71">
        <v>52337</v>
      </c>
      <c r="E22" s="71">
        <v>6320</v>
      </c>
      <c r="F22" s="71">
        <v>4379</v>
      </c>
      <c r="G22" s="71">
        <v>3131</v>
      </c>
      <c r="H22" s="71">
        <v>1248</v>
      </c>
      <c r="I22" s="71">
        <v>1941</v>
      </c>
      <c r="J22" s="71">
        <v>1882</v>
      </c>
      <c r="K22" s="71">
        <v>59</v>
      </c>
      <c r="L22" s="71">
        <v>2233</v>
      </c>
      <c r="M22" s="110">
        <v>100</v>
      </c>
      <c r="N22" s="110">
        <v>89.225497383091536</v>
      </c>
      <c r="O22" s="110">
        <v>10.774502616908469</v>
      </c>
      <c r="P22" s="110">
        <v>7.4654346454813574</v>
      </c>
      <c r="Q22" s="110">
        <v>5.3378113439146224</v>
      </c>
      <c r="R22" s="110">
        <v>2.1276233015667354</v>
      </c>
      <c r="S22" s="110">
        <v>3.3090679714271101</v>
      </c>
      <c r="T22" s="110">
        <v>3.2084832159844519</v>
      </c>
      <c r="U22" s="113">
        <v>0.10058475544265817</v>
      </c>
      <c r="W22" s="131" t="s">
        <v>254</v>
      </c>
    </row>
    <row r="23" spans="1:24" ht="20" customHeight="1">
      <c r="A23" s="120" t="s">
        <v>219</v>
      </c>
      <c r="B23" s="126"/>
      <c r="C23" s="71">
        <v>64961</v>
      </c>
      <c r="D23" s="71">
        <v>59544</v>
      </c>
      <c r="E23" s="71">
        <v>5417</v>
      </c>
      <c r="F23" s="71">
        <v>3787</v>
      </c>
      <c r="G23" s="71">
        <v>2669</v>
      </c>
      <c r="H23" s="71">
        <v>1118</v>
      </c>
      <c r="I23" s="71">
        <v>1630</v>
      </c>
      <c r="J23" s="71">
        <v>1602</v>
      </c>
      <c r="K23" s="71">
        <v>28</v>
      </c>
      <c r="L23" s="71">
        <v>1618</v>
      </c>
      <c r="M23" s="110">
        <v>100</v>
      </c>
      <c r="N23" s="110">
        <v>91.661150536475731</v>
      </c>
      <c r="O23" s="110">
        <v>8.3388494635242694</v>
      </c>
      <c r="P23" s="110">
        <v>5.829651637136128</v>
      </c>
      <c r="Q23" s="110">
        <v>4.1086190175643846</v>
      </c>
      <c r="R23" s="110">
        <v>1.7210326195717429</v>
      </c>
      <c r="S23" s="110">
        <v>2.5091978263881409</v>
      </c>
      <c r="T23" s="110">
        <v>2.4660950416403686</v>
      </c>
      <c r="U23" s="113">
        <v>4.3102784747771739e-002</v>
      </c>
      <c r="W23" s="131" t="s">
        <v>45</v>
      </c>
    </row>
    <row r="24" spans="1:24" ht="20" customHeight="1">
      <c r="A24" s="120" t="s">
        <v>42</v>
      </c>
      <c r="B24" s="126"/>
      <c r="C24" s="71">
        <v>73288</v>
      </c>
      <c r="D24" s="71">
        <v>68602</v>
      </c>
      <c r="E24" s="71">
        <v>4686</v>
      </c>
      <c r="F24" s="71">
        <v>3411</v>
      </c>
      <c r="G24" s="71">
        <v>2556</v>
      </c>
      <c r="H24" s="71">
        <v>855</v>
      </c>
      <c r="I24" s="71">
        <v>1275</v>
      </c>
      <c r="J24" s="71">
        <v>1254</v>
      </c>
      <c r="K24" s="71">
        <v>21</v>
      </c>
      <c r="L24" s="71">
        <v>987</v>
      </c>
      <c r="M24" s="110">
        <v>100</v>
      </c>
      <c r="N24" s="110">
        <v>93.606047374740754</v>
      </c>
      <c r="O24" s="110">
        <v>6.3939526252592511</v>
      </c>
      <c r="P24" s="110">
        <v>4.6542408034057416</v>
      </c>
      <c r="Q24" s="110">
        <v>3.4876105228686822</v>
      </c>
      <c r="R24" s="110">
        <v>1.1666302805370594</v>
      </c>
      <c r="S24" s="110">
        <v>1.7397118218535095</v>
      </c>
      <c r="T24" s="110">
        <v>1.7110577447876869</v>
      </c>
      <c r="U24" s="113">
        <v>2.8654077065822507e-002</v>
      </c>
      <c r="W24" s="131" t="s">
        <v>257</v>
      </c>
    </row>
    <row r="25" spans="1:24" ht="20" customHeight="1">
      <c r="A25" s="120" t="s">
        <v>220</v>
      </c>
      <c r="B25" s="126"/>
      <c r="C25" s="71">
        <v>84325</v>
      </c>
      <c r="D25" s="71">
        <v>80083</v>
      </c>
      <c r="E25" s="71">
        <v>4242</v>
      </c>
      <c r="F25" s="71">
        <v>3274</v>
      </c>
      <c r="G25" s="71">
        <v>2600</v>
      </c>
      <c r="H25" s="71">
        <v>674</v>
      </c>
      <c r="I25" s="71">
        <v>968</v>
      </c>
      <c r="J25" s="71">
        <v>958</v>
      </c>
      <c r="K25" s="71">
        <v>10</v>
      </c>
      <c r="L25" s="71">
        <v>615</v>
      </c>
      <c r="M25" s="110">
        <v>100</v>
      </c>
      <c r="N25" s="110">
        <v>94.969463385710057</v>
      </c>
      <c r="O25" s="110">
        <v>5.0305366142899492</v>
      </c>
      <c r="P25" s="110">
        <v>3.8825970945745629</v>
      </c>
      <c r="Q25" s="110">
        <v>3.0833086273347172</v>
      </c>
      <c r="R25" s="110">
        <v>0.79928846723984581</v>
      </c>
      <c r="S25" s="110">
        <v>1.147939519715387</v>
      </c>
      <c r="T25" s="110">
        <v>1.1360806403794841</v>
      </c>
      <c r="U25" s="113">
        <v>1.1858879335902758e-002</v>
      </c>
      <c r="W25" s="131" t="s">
        <v>258</v>
      </c>
    </row>
    <row r="26" spans="1:24" ht="20" customHeight="1">
      <c r="A26" s="120" t="s">
        <v>221</v>
      </c>
      <c r="B26" s="126"/>
      <c r="C26" s="71">
        <v>84549</v>
      </c>
      <c r="D26" s="71">
        <v>81092</v>
      </c>
      <c r="E26" s="71">
        <v>3457</v>
      </c>
      <c r="F26" s="71">
        <v>2878</v>
      </c>
      <c r="G26" s="71">
        <v>2363</v>
      </c>
      <c r="H26" s="71">
        <v>515</v>
      </c>
      <c r="I26" s="71">
        <v>579</v>
      </c>
      <c r="J26" s="71">
        <v>576</v>
      </c>
      <c r="K26" s="71">
        <v>3</v>
      </c>
      <c r="L26" s="71">
        <v>499</v>
      </c>
      <c r="M26" s="110">
        <v>100</v>
      </c>
      <c r="N26" s="110">
        <v>95.911246732663898</v>
      </c>
      <c r="O26" s="110">
        <v>4.0887532673361013</v>
      </c>
      <c r="P26" s="110">
        <v>3.4039432754970491</v>
      </c>
      <c r="Q26" s="110">
        <v>2.79482903405126</v>
      </c>
      <c r="R26" s="110">
        <v>0.60911424144578885</v>
      </c>
      <c r="S26" s="110">
        <v>0.68480999183905189</v>
      </c>
      <c r="T26" s="110">
        <v>0.68126175353936769</v>
      </c>
      <c r="U26" s="113">
        <v>3.5482382996842067e-003</v>
      </c>
      <c r="W26" s="131" t="s">
        <v>256</v>
      </c>
    </row>
    <row r="27" spans="1:24" ht="20" customHeight="1">
      <c r="A27" s="120" t="s">
        <v>152</v>
      </c>
      <c r="B27" s="126"/>
      <c r="C27" s="71">
        <v>60822</v>
      </c>
      <c r="D27" s="71">
        <v>57948</v>
      </c>
      <c r="E27" s="71">
        <v>2874</v>
      </c>
      <c r="F27" s="71">
        <v>2629</v>
      </c>
      <c r="G27" s="71">
        <v>2196</v>
      </c>
      <c r="H27" s="71">
        <v>433</v>
      </c>
      <c r="I27" s="71">
        <v>245</v>
      </c>
      <c r="J27" s="71">
        <v>243</v>
      </c>
      <c r="K27" s="71">
        <v>2</v>
      </c>
      <c r="L27" s="71">
        <v>333</v>
      </c>
      <c r="M27" s="110">
        <v>100</v>
      </c>
      <c r="N27" s="110">
        <v>95.274736115221472</v>
      </c>
      <c r="O27" s="110">
        <v>4.725263884778534</v>
      </c>
      <c r="P27" s="110">
        <v>4.3224491138075045</v>
      </c>
      <c r="Q27" s="110">
        <v>3.6105356614382953</v>
      </c>
      <c r="R27" s="110">
        <v>0.71191345236920855</v>
      </c>
      <c r="S27" s="110">
        <v>0.40281477097103019</v>
      </c>
      <c r="T27" s="110">
        <v>0.39952648712636873</v>
      </c>
      <c r="U27" s="113">
        <v>3.2882838446614709e-003</v>
      </c>
      <c r="W27" s="131" t="s">
        <v>123</v>
      </c>
    </row>
    <row r="28" spans="1:24" ht="20" customHeight="1">
      <c r="A28" s="120" t="s">
        <v>222</v>
      </c>
      <c r="B28" s="126"/>
      <c r="C28" s="71">
        <v>56802</v>
      </c>
      <c r="D28" s="71">
        <v>52400</v>
      </c>
      <c r="E28" s="71">
        <v>4402</v>
      </c>
      <c r="F28" s="71">
        <v>4230</v>
      </c>
      <c r="G28" s="71">
        <v>3544</v>
      </c>
      <c r="H28" s="71">
        <v>686</v>
      </c>
      <c r="I28" s="71">
        <v>172</v>
      </c>
      <c r="J28" s="71">
        <v>171</v>
      </c>
      <c r="K28" s="71">
        <v>1</v>
      </c>
      <c r="L28" s="71">
        <v>331</v>
      </c>
      <c r="M28" s="110">
        <v>100</v>
      </c>
      <c r="N28" s="110">
        <v>92.250272877715574</v>
      </c>
      <c r="O28" s="110">
        <v>7.7497271222844262</v>
      </c>
      <c r="P28" s="110">
        <v>7.4469208830674987</v>
      </c>
      <c r="Q28" s="110">
        <v>6.2392169289813744</v>
      </c>
      <c r="R28" s="110">
        <v>1.2077039540861236</v>
      </c>
      <c r="S28" s="110">
        <v>0.30280623921692901</v>
      </c>
      <c r="T28" s="110">
        <v>0.30104573782613286</v>
      </c>
      <c r="U28" s="113">
        <v>1.7605013907960986e-003</v>
      </c>
      <c r="W28" s="131" t="s">
        <v>260</v>
      </c>
    </row>
    <row r="29" spans="1:24" ht="20" customHeight="1">
      <c r="A29" s="120" t="s">
        <v>110</v>
      </c>
      <c r="B29" s="126"/>
      <c r="C29" s="71">
        <v>73148</v>
      </c>
      <c r="D29" s="71">
        <v>59299</v>
      </c>
      <c r="E29" s="71">
        <v>13849</v>
      </c>
      <c r="F29" s="71">
        <v>13634</v>
      </c>
      <c r="G29" s="71">
        <v>11906</v>
      </c>
      <c r="H29" s="71">
        <v>1728</v>
      </c>
      <c r="I29" s="71">
        <v>215</v>
      </c>
      <c r="J29" s="71">
        <v>213</v>
      </c>
      <c r="K29" s="71">
        <v>2</v>
      </c>
      <c r="L29" s="71">
        <v>717</v>
      </c>
      <c r="M29" s="110">
        <v>100</v>
      </c>
      <c r="N29" s="110">
        <v>81.067151528408161</v>
      </c>
      <c r="O29" s="110">
        <v>18.932848471591839</v>
      </c>
      <c r="P29" s="110">
        <v>18.638923825668506</v>
      </c>
      <c r="Q29" s="110">
        <v>16.276589927270738</v>
      </c>
      <c r="R29" s="110">
        <v>2.3623338983977686</v>
      </c>
      <c r="S29" s="110">
        <v>0.29392464592333356</v>
      </c>
      <c r="T29" s="110">
        <v>0.2911904631705583</v>
      </c>
      <c r="U29" s="113">
        <v>2.7341827527751954e-003</v>
      </c>
      <c r="W29" s="131" t="s">
        <v>110</v>
      </c>
    </row>
    <row r="30" spans="1:24" s="6" customFormat="1" ht="20" customHeight="1">
      <c r="A30" s="120"/>
      <c r="B30" s="126"/>
      <c r="C30" s="71"/>
      <c r="D30" s="71"/>
      <c r="E30" s="71"/>
      <c r="F30" s="71"/>
      <c r="G30" s="71"/>
      <c r="H30" s="71"/>
      <c r="I30" s="71"/>
      <c r="J30" s="71"/>
      <c r="K30" s="71"/>
      <c r="L30" s="71"/>
      <c r="M30" s="110"/>
      <c r="N30" s="110"/>
      <c r="O30" s="110"/>
      <c r="P30" s="110"/>
      <c r="Q30" s="110"/>
      <c r="R30" s="110"/>
      <c r="S30" s="110"/>
      <c r="T30" s="110"/>
      <c r="U30" s="113"/>
      <c r="W30" s="117"/>
      <c r="X30" s="118"/>
    </row>
    <row r="31" spans="1:24" s="6" customFormat="1" ht="20" customHeight="1">
      <c r="A31" s="121" t="s">
        <v>223</v>
      </c>
      <c r="B31" s="126"/>
      <c r="C31" s="71">
        <v>452439</v>
      </c>
      <c r="D31" s="71">
        <v>379970</v>
      </c>
      <c r="E31" s="71">
        <v>72469</v>
      </c>
      <c r="F31" s="71">
        <v>51494</v>
      </c>
      <c r="G31" s="71">
        <v>36651</v>
      </c>
      <c r="H31" s="71">
        <v>14843</v>
      </c>
      <c r="I31" s="71">
        <v>20975</v>
      </c>
      <c r="J31" s="71">
        <v>20137</v>
      </c>
      <c r="K31" s="71">
        <v>838</v>
      </c>
      <c r="L31" s="71">
        <v>30091</v>
      </c>
      <c r="M31" s="110">
        <v>100</v>
      </c>
      <c r="N31" s="110">
        <v>83.982592128441624</v>
      </c>
      <c r="O31" s="110">
        <v>16.017407871558376</v>
      </c>
      <c r="P31" s="110">
        <v>11.381423794146835</v>
      </c>
      <c r="Q31" s="110">
        <v>8.1007605445153938</v>
      </c>
      <c r="R31" s="110">
        <v>3.2806632496314423</v>
      </c>
      <c r="S31" s="110">
        <v>4.6359840774115399</v>
      </c>
      <c r="T31" s="110">
        <v>4.450765738585754</v>
      </c>
      <c r="U31" s="113">
        <v>0.18521833882578645</v>
      </c>
      <c r="W31" s="117"/>
      <c r="X31" s="118"/>
    </row>
    <row r="32" spans="1:24" s="6" customFormat="1" ht="20" customHeight="1">
      <c r="A32" s="120" t="s">
        <v>225</v>
      </c>
      <c r="B32" s="126"/>
      <c r="C32" s="71">
        <v>12927</v>
      </c>
      <c r="D32" s="71">
        <v>9687</v>
      </c>
      <c r="E32" s="71">
        <v>3240</v>
      </c>
      <c r="F32" s="71">
        <v>2616</v>
      </c>
      <c r="G32" s="71">
        <v>2109</v>
      </c>
      <c r="H32" s="71">
        <v>507</v>
      </c>
      <c r="I32" s="71">
        <v>624</v>
      </c>
      <c r="J32" s="71">
        <v>600</v>
      </c>
      <c r="K32" s="71">
        <v>24</v>
      </c>
      <c r="L32" s="71">
        <v>484</v>
      </c>
      <c r="M32" s="110">
        <v>100</v>
      </c>
      <c r="N32" s="110">
        <v>74.936180088187513</v>
      </c>
      <c r="O32" s="110">
        <v>25.063819911812484</v>
      </c>
      <c r="P32" s="110">
        <v>20.236713854722673</v>
      </c>
      <c r="Q32" s="110">
        <v>16.314690183337202</v>
      </c>
      <c r="R32" s="110">
        <v>3.9220236713854724</v>
      </c>
      <c r="S32" s="110">
        <v>4.8271060570898117</v>
      </c>
      <c r="T32" s="110">
        <v>4.6414481318171266</v>
      </c>
      <c r="U32" s="113">
        <v>0.1856579252726851</v>
      </c>
      <c r="W32" s="117"/>
      <c r="X32" s="118"/>
    </row>
    <row r="33" spans="1:24" s="6" customFormat="1" ht="20" customHeight="1">
      <c r="A33" s="120" t="s">
        <v>205</v>
      </c>
      <c r="B33" s="126"/>
      <c r="C33" s="71">
        <v>16026</v>
      </c>
      <c r="D33" s="71">
        <v>11336</v>
      </c>
      <c r="E33" s="71">
        <v>4690</v>
      </c>
      <c r="F33" s="71">
        <v>3868</v>
      </c>
      <c r="G33" s="71">
        <v>3131</v>
      </c>
      <c r="H33" s="71">
        <v>737</v>
      </c>
      <c r="I33" s="71">
        <v>822</v>
      </c>
      <c r="J33" s="71">
        <v>794</v>
      </c>
      <c r="K33" s="71">
        <v>28</v>
      </c>
      <c r="L33" s="71">
        <v>732</v>
      </c>
      <c r="M33" s="110">
        <v>100</v>
      </c>
      <c r="N33" s="110">
        <v>70.735055534756015</v>
      </c>
      <c r="O33" s="110">
        <v>29.264944465243982</v>
      </c>
      <c r="P33" s="110">
        <v>24.135779358542369</v>
      </c>
      <c r="Q33" s="110">
        <v>19.537002371146887</v>
      </c>
      <c r="R33" s="110">
        <v>4.5987769873954827</v>
      </c>
      <c r="S33" s="110">
        <v>5.1291651067016097</v>
      </c>
      <c r="T33" s="110">
        <v>4.9544490203419445</v>
      </c>
      <c r="U33" s="113">
        <v>0.17471608635966554</v>
      </c>
      <c r="W33" s="117"/>
      <c r="X33" s="118"/>
    </row>
    <row r="34" spans="1:24" s="6" customFormat="1" ht="20" customHeight="1">
      <c r="A34" s="120" t="s">
        <v>206</v>
      </c>
      <c r="B34" s="126"/>
      <c r="C34" s="71">
        <v>18643</v>
      </c>
      <c r="D34" s="71">
        <v>15849</v>
      </c>
      <c r="E34" s="71">
        <v>2794</v>
      </c>
      <c r="F34" s="71">
        <v>2353</v>
      </c>
      <c r="G34" s="71">
        <v>2009</v>
      </c>
      <c r="H34" s="71">
        <v>344</v>
      </c>
      <c r="I34" s="71">
        <v>441</v>
      </c>
      <c r="J34" s="71">
        <v>422</v>
      </c>
      <c r="K34" s="71">
        <v>19</v>
      </c>
      <c r="L34" s="71">
        <v>488</v>
      </c>
      <c r="M34" s="110">
        <v>100</v>
      </c>
      <c r="N34" s="110">
        <v>85.013141661749714</v>
      </c>
      <c r="O34" s="110">
        <v>14.986858338250281</v>
      </c>
      <c r="P34" s="110">
        <v>12.621359223300971</v>
      </c>
      <c r="Q34" s="110">
        <v>10.776162634769083</v>
      </c>
      <c r="R34" s="110">
        <v>1.8451965885318884</v>
      </c>
      <c r="S34" s="110">
        <v>2.3654991149493108</v>
      </c>
      <c r="T34" s="110">
        <v>2.2635841870943518</v>
      </c>
      <c r="U34" s="113">
        <v>0.10191492785495897</v>
      </c>
      <c r="W34" s="117"/>
      <c r="X34" s="118"/>
    </row>
    <row r="35" spans="1:24" s="6" customFormat="1" ht="20" customHeight="1">
      <c r="A35" s="120" t="s">
        <v>209</v>
      </c>
      <c r="B35" s="126"/>
      <c r="C35" s="71">
        <v>18808</v>
      </c>
      <c r="D35" s="71">
        <v>15361</v>
      </c>
      <c r="E35" s="71">
        <v>3447</v>
      </c>
      <c r="F35" s="71">
        <v>2375</v>
      </c>
      <c r="G35" s="71">
        <v>1517</v>
      </c>
      <c r="H35" s="71">
        <v>858</v>
      </c>
      <c r="I35" s="71">
        <v>1072</v>
      </c>
      <c r="J35" s="71">
        <v>1053</v>
      </c>
      <c r="K35" s="71">
        <v>19</v>
      </c>
      <c r="L35" s="71">
        <v>2925</v>
      </c>
      <c r="M35" s="110">
        <v>100</v>
      </c>
      <c r="N35" s="110">
        <v>81.672692471288812</v>
      </c>
      <c r="O35" s="110">
        <v>18.327307528711188</v>
      </c>
      <c r="P35" s="110">
        <v>12.627605274351339</v>
      </c>
      <c r="Q35" s="110">
        <v>8.0657167162909396</v>
      </c>
      <c r="R35" s="110">
        <v>4.5618885580604003</v>
      </c>
      <c r="S35" s="110">
        <v>5.6997022543598463</v>
      </c>
      <c r="T35" s="110">
        <v>5.5986814121650363</v>
      </c>
      <c r="U35" s="113">
        <v>0.10102084219481072</v>
      </c>
      <c r="W35" s="117"/>
      <c r="X35" s="118"/>
    </row>
    <row r="36" spans="1:24" s="6" customFormat="1" ht="20" customHeight="1">
      <c r="A36" s="120" t="s">
        <v>210</v>
      </c>
      <c r="B36" s="126"/>
      <c r="C36" s="71">
        <v>15916</v>
      </c>
      <c r="D36" s="71">
        <v>9591</v>
      </c>
      <c r="E36" s="71">
        <v>6325</v>
      </c>
      <c r="F36" s="71">
        <v>3030</v>
      </c>
      <c r="G36" s="71">
        <v>1387</v>
      </c>
      <c r="H36" s="71">
        <v>1643</v>
      </c>
      <c r="I36" s="71">
        <v>3295</v>
      </c>
      <c r="J36" s="71">
        <v>3103</v>
      </c>
      <c r="K36" s="71">
        <v>192</v>
      </c>
      <c r="L36" s="71">
        <v>9055</v>
      </c>
      <c r="M36" s="110">
        <v>100</v>
      </c>
      <c r="N36" s="110">
        <v>60.260115606936417</v>
      </c>
      <c r="O36" s="110">
        <v>39.739884393063583</v>
      </c>
      <c r="P36" s="110">
        <v>19.037446594621766</v>
      </c>
      <c r="Q36" s="110">
        <v>8.7145011309374212</v>
      </c>
      <c r="R36" s="110">
        <v>10.322945463684343</v>
      </c>
      <c r="S36" s="110">
        <v>20.702437798441821</v>
      </c>
      <c r="T36" s="110">
        <v>19.496104548881629</v>
      </c>
      <c r="U36" s="113">
        <v>1.2063332495601911</v>
      </c>
      <c r="W36" s="117"/>
      <c r="X36" s="118"/>
    </row>
    <row r="37" spans="1:24" s="6" customFormat="1" ht="20" customHeight="1">
      <c r="A37" s="120" t="s">
        <v>212</v>
      </c>
      <c r="B37" s="126"/>
      <c r="C37" s="71">
        <v>17208</v>
      </c>
      <c r="D37" s="71">
        <v>9814</v>
      </c>
      <c r="E37" s="71">
        <v>7394</v>
      </c>
      <c r="F37" s="71">
        <v>4326</v>
      </c>
      <c r="G37" s="71">
        <v>2574</v>
      </c>
      <c r="H37" s="71">
        <v>1752</v>
      </c>
      <c r="I37" s="71">
        <v>3068</v>
      </c>
      <c r="J37" s="71">
        <v>2860</v>
      </c>
      <c r="K37" s="71">
        <v>208</v>
      </c>
      <c r="L37" s="71">
        <v>4402</v>
      </c>
      <c r="M37" s="110">
        <v>100</v>
      </c>
      <c r="N37" s="110">
        <v>57.031613203161328</v>
      </c>
      <c r="O37" s="110">
        <v>42.968386796838679</v>
      </c>
      <c r="P37" s="110">
        <v>25.139470013947001</v>
      </c>
      <c r="Q37" s="110">
        <v>14.958158995815898</v>
      </c>
      <c r="R37" s="110">
        <v>10.181311018131103</v>
      </c>
      <c r="S37" s="110">
        <v>17.828916782891678</v>
      </c>
      <c r="T37" s="110">
        <v>16.620176662017666</v>
      </c>
      <c r="U37" s="113">
        <v>1.2087401208740121</v>
      </c>
      <c r="W37" s="117"/>
      <c r="X37" s="118"/>
    </row>
    <row r="38" spans="1:24" s="6" customFormat="1" ht="20" customHeight="1">
      <c r="A38" s="120" t="s">
        <v>159</v>
      </c>
      <c r="B38" s="126"/>
      <c r="C38" s="71">
        <v>20075</v>
      </c>
      <c r="D38" s="71">
        <v>12433</v>
      </c>
      <c r="E38" s="71">
        <v>7642</v>
      </c>
      <c r="F38" s="71">
        <v>5620</v>
      </c>
      <c r="G38" s="71">
        <v>3816</v>
      </c>
      <c r="H38" s="71">
        <v>1804</v>
      </c>
      <c r="I38" s="71">
        <v>2022</v>
      </c>
      <c r="J38" s="71">
        <v>1933</v>
      </c>
      <c r="K38" s="71">
        <v>89</v>
      </c>
      <c r="L38" s="71">
        <v>2456</v>
      </c>
      <c r="M38" s="110">
        <v>100</v>
      </c>
      <c r="N38" s="110">
        <v>61.932752179327522</v>
      </c>
      <c r="O38" s="110">
        <v>38.067247820672478</v>
      </c>
      <c r="P38" s="110">
        <v>27.995018679950185</v>
      </c>
      <c r="Q38" s="110">
        <v>19.008717310087171</v>
      </c>
      <c r="R38" s="110">
        <v>8.9863013698630123</v>
      </c>
      <c r="S38" s="110">
        <v>10.072229140722291</v>
      </c>
      <c r="T38" s="110">
        <v>9.628891656288916</v>
      </c>
      <c r="U38" s="113">
        <v>0.44333748443337484</v>
      </c>
      <c r="W38" s="117"/>
      <c r="X38" s="118"/>
    </row>
    <row r="39" spans="1:24" s="6" customFormat="1" ht="20" customHeight="1">
      <c r="A39" s="120" t="s">
        <v>215</v>
      </c>
      <c r="B39" s="126"/>
      <c r="C39" s="71">
        <v>25293</v>
      </c>
      <c r="D39" s="71">
        <v>17718</v>
      </c>
      <c r="E39" s="71">
        <v>7575</v>
      </c>
      <c r="F39" s="71">
        <v>5775</v>
      </c>
      <c r="G39" s="71">
        <v>4177</v>
      </c>
      <c r="H39" s="71">
        <v>1598</v>
      </c>
      <c r="I39" s="71">
        <v>1800</v>
      </c>
      <c r="J39" s="71">
        <v>1709</v>
      </c>
      <c r="K39" s="71">
        <v>91</v>
      </c>
      <c r="L39" s="71">
        <v>1913</v>
      </c>
      <c r="M39" s="110">
        <v>100</v>
      </c>
      <c r="N39" s="110">
        <v>70.051002253587953</v>
      </c>
      <c r="O39" s="110">
        <v>29.948997746412047</v>
      </c>
      <c r="P39" s="110">
        <v>22.832404222512157</v>
      </c>
      <c r="Q39" s="110">
        <v>16.514450638516585</v>
      </c>
      <c r="R39" s="110">
        <v>6.3179535839955729</v>
      </c>
      <c r="S39" s="110">
        <v>7.1165935238998932</v>
      </c>
      <c r="T39" s="110">
        <v>6.7568101846360653</v>
      </c>
      <c r="U39" s="113">
        <v>0.35978333926382794</v>
      </c>
      <c r="W39" s="117"/>
      <c r="X39" s="118"/>
    </row>
    <row r="40" spans="1:24" s="6" customFormat="1" ht="20" customHeight="1">
      <c r="A40" s="120" t="s">
        <v>216</v>
      </c>
      <c r="B40" s="126"/>
      <c r="C40" s="71">
        <v>30364</v>
      </c>
      <c r="D40" s="71">
        <v>24102</v>
      </c>
      <c r="E40" s="71">
        <v>6262</v>
      </c>
      <c r="F40" s="71">
        <v>4726</v>
      </c>
      <c r="G40" s="71">
        <v>3454</v>
      </c>
      <c r="H40" s="71">
        <v>1272</v>
      </c>
      <c r="I40" s="71">
        <v>1536</v>
      </c>
      <c r="J40" s="71">
        <v>1488</v>
      </c>
      <c r="K40" s="71">
        <v>48</v>
      </c>
      <c r="L40" s="71">
        <v>1677</v>
      </c>
      <c r="M40" s="110">
        <v>100</v>
      </c>
      <c r="N40" s="110">
        <v>79.376893689895937</v>
      </c>
      <c r="O40" s="110">
        <v>20.62310631010407</v>
      </c>
      <c r="P40" s="110">
        <v>15.564484257673561</v>
      </c>
      <c r="Q40" s="110">
        <v>11.375312870504544</v>
      </c>
      <c r="R40" s="110">
        <v>4.1891713871690159</v>
      </c>
      <c r="S40" s="110">
        <v>5.0586220524305103</v>
      </c>
      <c r="T40" s="110">
        <v>4.9005401132920561</v>
      </c>
      <c r="U40" s="113">
        <v>0.15808193913845345</v>
      </c>
      <c r="W40" s="117"/>
      <c r="X40" s="118"/>
    </row>
    <row r="41" spans="1:24" s="6" customFormat="1" ht="20" customHeight="1">
      <c r="A41" s="120" t="s">
        <v>40</v>
      </c>
      <c r="B41" s="126"/>
      <c r="C41" s="71">
        <v>31971</v>
      </c>
      <c r="D41" s="71">
        <v>26988</v>
      </c>
      <c r="E41" s="71">
        <v>4983</v>
      </c>
      <c r="F41" s="71">
        <v>3362</v>
      </c>
      <c r="G41" s="71">
        <v>2354</v>
      </c>
      <c r="H41" s="71">
        <v>1008</v>
      </c>
      <c r="I41" s="71">
        <v>1621</v>
      </c>
      <c r="J41" s="71">
        <v>1577</v>
      </c>
      <c r="K41" s="71">
        <v>44</v>
      </c>
      <c r="L41" s="71">
        <v>1758</v>
      </c>
      <c r="M41" s="110">
        <v>100</v>
      </c>
      <c r="N41" s="110">
        <v>84.414000187670084</v>
      </c>
      <c r="O41" s="110">
        <v>15.585999812329923</v>
      </c>
      <c r="P41" s="110">
        <v>10.515779925557537</v>
      </c>
      <c r="Q41" s="110">
        <v>7.3629226486503399</v>
      </c>
      <c r="R41" s="110">
        <v>3.1528572769071972</v>
      </c>
      <c r="S41" s="110">
        <v>5.0702198867723878</v>
      </c>
      <c r="T41" s="110">
        <v>4.932595164367708</v>
      </c>
      <c r="U41" s="113">
        <v>0.13762472240467924</v>
      </c>
      <c r="W41" s="117"/>
      <c r="X41" s="118"/>
    </row>
    <row r="42" spans="1:24" s="6" customFormat="1" ht="20" customHeight="1">
      <c r="A42" s="120" t="s">
        <v>217</v>
      </c>
      <c r="B42" s="126"/>
      <c r="C42" s="71">
        <v>29099</v>
      </c>
      <c r="D42" s="71">
        <v>25455</v>
      </c>
      <c r="E42" s="71">
        <v>3644</v>
      </c>
      <c r="F42" s="71">
        <v>2160</v>
      </c>
      <c r="G42" s="71">
        <v>1420</v>
      </c>
      <c r="H42" s="71">
        <v>740</v>
      </c>
      <c r="I42" s="71">
        <v>1484</v>
      </c>
      <c r="J42" s="71">
        <v>1452</v>
      </c>
      <c r="K42" s="71">
        <v>32</v>
      </c>
      <c r="L42" s="71">
        <v>1512</v>
      </c>
      <c r="M42" s="110">
        <v>100</v>
      </c>
      <c r="N42" s="110">
        <v>87.477232894601187</v>
      </c>
      <c r="O42" s="110">
        <v>12.52276710539881</v>
      </c>
      <c r="P42" s="110">
        <v>7.4229354960651568</v>
      </c>
      <c r="Q42" s="110">
        <v>4.8798927798206124</v>
      </c>
      <c r="R42" s="110">
        <v>2.5430427162445444</v>
      </c>
      <c r="S42" s="110">
        <v>5.0998316093336538</v>
      </c>
      <c r="T42" s="110">
        <v>4.9898621945771335</v>
      </c>
      <c r="U42" s="113">
        <v>0.10996941475652083</v>
      </c>
      <c r="W42" s="117"/>
      <c r="X42" s="118"/>
    </row>
    <row r="43" spans="1:24" s="6" customFormat="1" ht="20" customHeight="1">
      <c r="A43" s="120" t="s">
        <v>219</v>
      </c>
      <c r="B43" s="126"/>
      <c r="C43" s="71">
        <v>31635</v>
      </c>
      <c r="D43" s="71">
        <v>28587</v>
      </c>
      <c r="E43" s="71">
        <v>3048</v>
      </c>
      <c r="F43" s="71">
        <v>1875</v>
      </c>
      <c r="G43" s="71">
        <v>1188</v>
      </c>
      <c r="H43" s="71">
        <v>687</v>
      </c>
      <c r="I43" s="71">
        <v>1173</v>
      </c>
      <c r="J43" s="71">
        <v>1154</v>
      </c>
      <c r="K43" s="71">
        <v>19</v>
      </c>
      <c r="L43" s="71">
        <v>1152</v>
      </c>
      <c r="M43" s="110">
        <v>100</v>
      </c>
      <c r="N43" s="110">
        <v>90.365101944049314</v>
      </c>
      <c r="O43" s="110">
        <v>9.6348980559506874</v>
      </c>
      <c r="P43" s="110">
        <v>5.9269796111901378</v>
      </c>
      <c r="Q43" s="110">
        <v>3.7553342816500712</v>
      </c>
      <c r="R43" s="110">
        <v>2.1716453295400662</v>
      </c>
      <c r="S43" s="110">
        <v>3.7079184447605504</v>
      </c>
      <c r="T43" s="110">
        <v>3.64785838470049</v>
      </c>
      <c r="U43" s="113">
        <v>6.006006006006006e-002</v>
      </c>
      <c r="W43" s="117"/>
      <c r="X43" s="118"/>
    </row>
    <row r="44" spans="1:24" ht="20" customHeight="1">
      <c r="A44" s="120" t="s">
        <v>42</v>
      </c>
      <c r="B44" s="126"/>
      <c r="C44" s="71">
        <v>35608</v>
      </c>
      <c r="D44" s="71">
        <v>33060</v>
      </c>
      <c r="E44" s="71">
        <v>2548</v>
      </c>
      <c r="F44" s="71">
        <v>1703</v>
      </c>
      <c r="G44" s="71">
        <v>1214</v>
      </c>
      <c r="H44" s="71">
        <v>489</v>
      </c>
      <c r="I44" s="71">
        <v>845</v>
      </c>
      <c r="J44" s="71">
        <v>832</v>
      </c>
      <c r="K44" s="71">
        <v>13</v>
      </c>
      <c r="L44" s="71">
        <v>623</v>
      </c>
      <c r="M44" s="110">
        <v>100</v>
      </c>
      <c r="N44" s="110">
        <v>92.844304650640311</v>
      </c>
      <c r="O44" s="110">
        <v>7.1556953493596946</v>
      </c>
      <c r="P44" s="110">
        <v>4.7826331161536739</v>
      </c>
      <c r="Q44" s="110">
        <v>3.4093462143338575</v>
      </c>
      <c r="R44" s="110">
        <v>1.3732869018198157</v>
      </c>
      <c r="S44" s="110">
        <v>2.3730622332060212</v>
      </c>
      <c r="T44" s="110">
        <v>2.33655358346439</v>
      </c>
      <c r="U44" s="113">
        <v>3.6508649741631094e-002</v>
      </c>
    </row>
    <row r="45" spans="1:24" ht="20" customHeight="1">
      <c r="A45" s="120" t="s">
        <v>220</v>
      </c>
      <c r="B45" s="126"/>
      <c r="C45" s="71">
        <v>40615</v>
      </c>
      <c r="D45" s="71">
        <v>38387</v>
      </c>
      <c r="E45" s="71">
        <v>2228</v>
      </c>
      <c r="F45" s="71">
        <v>1633</v>
      </c>
      <c r="G45" s="71">
        <v>1267</v>
      </c>
      <c r="H45" s="71">
        <v>366</v>
      </c>
      <c r="I45" s="71">
        <v>595</v>
      </c>
      <c r="J45" s="71">
        <v>589</v>
      </c>
      <c r="K45" s="71">
        <v>6</v>
      </c>
      <c r="L45" s="71">
        <v>339</v>
      </c>
      <c r="M45" s="110">
        <v>100</v>
      </c>
      <c r="N45" s="110">
        <v>94.514341991874929</v>
      </c>
      <c r="O45" s="110">
        <v>5.4856580081250774</v>
      </c>
      <c r="P45" s="110">
        <v>4.0206820140342234</v>
      </c>
      <c r="Q45" s="110">
        <v>3.1195371168287576</v>
      </c>
      <c r="R45" s="110">
        <v>0.90114489720546587</v>
      </c>
      <c r="S45" s="110">
        <v>1.4649759940908531</v>
      </c>
      <c r="T45" s="110">
        <v>1.4502031269235505</v>
      </c>
      <c r="U45" s="113">
        <v>1.4772867167302719e-002</v>
      </c>
    </row>
    <row r="46" spans="1:24" ht="20" customHeight="1">
      <c r="A46" s="120" t="s">
        <v>221</v>
      </c>
      <c r="B46" s="126"/>
      <c r="C46" s="71">
        <v>39835</v>
      </c>
      <c r="D46" s="71">
        <v>38112</v>
      </c>
      <c r="E46" s="71">
        <v>1723</v>
      </c>
      <c r="F46" s="71">
        <v>1376</v>
      </c>
      <c r="G46" s="71">
        <v>1132</v>
      </c>
      <c r="H46" s="71">
        <v>244</v>
      </c>
      <c r="I46" s="71">
        <v>347</v>
      </c>
      <c r="J46" s="71">
        <v>345</v>
      </c>
      <c r="K46" s="71">
        <v>2</v>
      </c>
      <c r="L46" s="71">
        <v>223</v>
      </c>
      <c r="M46" s="110">
        <v>100</v>
      </c>
      <c r="N46" s="110">
        <v>95.674657964101911</v>
      </c>
      <c r="O46" s="110">
        <v>4.3253420358980801</v>
      </c>
      <c r="P46" s="110">
        <v>3.4542487762018328</v>
      </c>
      <c r="Q46" s="110">
        <v>2.8417221036776703</v>
      </c>
      <c r="R46" s="110">
        <v>0.61252667252416215</v>
      </c>
      <c r="S46" s="110">
        <v>0.87109325969624707</v>
      </c>
      <c r="T46" s="110">
        <v>0.86607254926572108</v>
      </c>
      <c r="U46" s="113">
        <v>5.0207104305259199e-003</v>
      </c>
    </row>
    <row r="47" spans="1:24" ht="20" customHeight="1">
      <c r="A47" s="120" t="s">
        <v>152</v>
      </c>
      <c r="B47" s="126"/>
      <c r="C47" s="71">
        <v>25739</v>
      </c>
      <c r="D47" s="71">
        <v>24662</v>
      </c>
      <c r="E47" s="71">
        <v>1077</v>
      </c>
      <c r="F47" s="71">
        <v>959</v>
      </c>
      <c r="G47" s="71">
        <v>772</v>
      </c>
      <c r="H47" s="71">
        <v>187</v>
      </c>
      <c r="I47" s="71">
        <v>118</v>
      </c>
      <c r="J47" s="71">
        <v>116</v>
      </c>
      <c r="K47" s="71">
        <v>2</v>
      </c>
      <c r="L47" s="71">
        <v>120</v>
      </c>
      <c r="M47" s="110">
        <v>100</v>
      </c>
      <c r="N47" s="110">
        <v>95.815688255176966</v>
      </c>
      <c r="O47" s="110">
        <v>4.1843117448230309</v>
      </c>
      <c r="P47" s="110">
        <v>3.725863475659505</v>
      </c>
      <c r="Q47" s="110">
        <v>2.9993395236800184</v>
      </c>
      <c r="R47" s="110">
        <v>0.72652395197948638</v>
      </c>
      <c r="S47" s="110">
        <v>0.45844826916352621</v>
      </c>
      <c r="T47" s="110">
        <v>0.45067795951668671</v>
      </c>
      <c r="U47" s="113">
        <v>7.7703096468394262e-003</v>
      </c>
    </row>
    <row r="48" spans="1:24" ht="20" customHeight="1">
      <c r="A48" s="120" t="s">
        <v>222</v>
      </c>
      <c r="B48" s="126"/>
      <c r="C48" s="71">
        <v>21530</v>
      </c>
      <c r="D48" s="71">
        <v>20298</v>
      </c>
      <c r="E48" s="71">
        <v>1232</v>
      </c>
      <c r="F48" s="71">
        <v>1172</v>
      </c>
      <c r="G48" s="71">
        <v>960</v>
      </c>
      <c r="H48" s="71">
        <v>212</v>
      </c>
      <c r="I48" s="71">
        <v>60</v>
      </c>
      <c r="J48" s="71">
        <v>59</v>
      </c>
      <c r="K48" s="71">
        <v>1</v>
      </c>
      <c r="L48" s="71">
        <v>72</v>
      </c>
      <c r="M48" s="110">
        <v>100</v>
      </c>
      <c r="N48" s="110">
        <v>94.27775197398978</v>
      </c>
      <c r="O48" s="110">
        <v>5.7222480260102184</v>
      </c>
      <c r="P48" s="110">
        <v>5.443567115652578</v>
      </c>
      <c r="Q48" s="110">
        <v>4.4588945657222485</v>
      </c>
      <c r="R48" s="110">
        <v>0.98467254993032971</v>
      </c>
      <c r="S48" s="110">
        <v>0.27868091035764053</v>
      </c>
      <c r="T48" s="110">
        <v>0.27403622851834653</v>
      </c>
      <c r="U48" s="113">
        <v>4.6446818392940079e-003</v>
      </c>
    </row>
    <row r="49" spans="1:24" ht="20" customHeight="1">
      <c r="A49" s="120" t="s">
        <v>226</v>
      </c>
      <c r="B49" s="126"/>
      <c r="C49" s="71">
        <v>21147</v>
      </c>
      <c r="D49" s="71">
        <v>18530</v>
      </c>
      <c r="E49" s="71">
        <v>2617</v>
      </c>
      <c r="F49" s="71">
        <v>2565</v>
      </c>
      <c r="G49" s="71">
        <v>2170</v>
      </c>
      <c r="H49" s="71">
        <v>395</v>
      </c>
      <c r="I49" s="71">
        <v>52</v>
      </c>
      <c r="J49" s="71">
        <v>51</v>
      </c>
      <c r="K49" s="71">
        <v>1</v>
      </c>
      <c r="L49" s="71">
        <v>160</v>
      </c>
      <c r="M49" s="110">
        <v>100</v>
      </c>
      <c r="N49" s="110">
        <v>87.624722182815532</v>
      </c>
      <c r="O49" s="110">
        <v>12.375277817184472</v>
      </c>
      <c r="P49" s="110">
        <v>12.129380053908356</v>
      </c>
      <c r="Q49" s="110">
        <v>10.261502813637868</v>
      </c>
      <c r="R49" s="110">
        <v>1.8678772402704875</v>
      </c>
      <c r="S49" s="110">
        <v>0.24589776327611479</v>
      </c>
      <c r="T49" s="110">
        <v>0.24116896013618955</v>
      </c>
      <c r="U49" s="113">
        <v>4.7288031399252851e-003</v>
      </c>
    </row>
    <row r="50" spans="1:24" s="6" customFormat="1" ht="20" customHeight="1">
      <c r="A50" s="120"/>
      <c r="B50" s="126"/>
      <c r="C50" s="71"/>
      <c r="D50" s="71"/>
      <c r="E50" s="71"/>
      <c r="F50" s="71"/>
      <c r="G50" s="71"/>
      <c r="H50" s="71"/>
      <c r="I50" s="71"/>
      <c r="J50" s="71"/>
      <c r="K50" s="71"/>
      <c r="L50" s="71"/>
      <c r="M50" s="110"/>
      <c r="N50" s="110"/>
      <c r="O50" s="110"/>
      <c r="P50" s="110"/>
      <c r="Q50" s="110"/>
      <c r="R50" s="110"/>
      <c r="S50" s="110"/>
      <c r="T50" s="110"/>
      <c r="U50" s="113"/>
      <c r="W50" s="117"/>
      <c r="X50" s="118"/>
    </row>
    <row r="51" spans="1:24" s="6" customFormat="1" ht="20" customHeight="1">
      <c r="A51" s="121" t="s">
        <v>70</v>
      </c>
      <c r="B51" s="126"/>
      <c r="C51" s="71">
        <v>507063</v>
      </c>
      <c r="D51" s="71">
        <v>427912</v>
      </c>
      <c r="E51" s="71">
        <v>79151</v>
      </c>
      <c r="F51" s="71">
        <v>64835</v>
      </c>
      <c r="G51" s="71">
        <v>49327</v>
      </c>
      <c r="H51" s="71">
        <v>15508</v>
      </c>
      <c r="I51" s="71">
        <v>14316</v>
      </c>
      <c r="J51" s="71">
        <v>13042</v>
      </c>
      <c r="K51" s="71">
        <v>1274</v>
      </c>
      <c r="L51" s="71">
        <v>25795</v>
      </c>
      <c r="M51" s="110">
        <v>100</v>
      </c>
      <c r="N51" s="110">
        <v>84.39030258567476</v>
      </c>
      <c r="O51" s="110">
        <v>15.609697414325241</v>
      </c>
      <c r="P51" s="110">
        <v>12.78637960174574</v>
      </c>
      <c r="Q51" s="110">
        <v>9.7279825189374893</v>
      </c>
      <c r="R51" s="110">
        <v>3.0583970828082507</v>
      </c>
      <c r="S51" s="110">
        <v>2.8233178125795018</v>
      </c>
      <c r="T51" s="110">
        <v>2.5720669818148827</v>
      </c>
      <c r="U51" s="113">
        <v>0.25125083076461896</v>
      </c>
      <c r="W51" s="117"/>
      <c r="X51" s="118"/>
    </row>
    <row r="52" spans="1:24" s="6" customFormat="1" ht="20" customHeight="1">
      <c r="A52" s="120" t="s">
        <v>225</v>
      </c>
      <c r="B52" s="126"/>
      <c r="C52" s="71">
        <v>12432</v>
      </c>
      <c r="D52" s="71">
        <v>9314</v>
      </c>
      <c r="E52" s="71">
        <v>3118</v>
      </c>
      <c r="F52" s="71">
        <v>2550</v>
      </c>
      <c r="G52" s="71">
        <v>2035</v>
      </c>
      <c r="H52" s="71">
        <v>515</v>
      </c>
      <c r="I52" s="71">
        <v>568</v>
      </c>
      <c r="J52" s="71">
        <v>546</v>
      </c>
      <c r="K52" s="71">
        <v>22</v>
      </c>
      <c r="L52" s="71">
        <v>442</v>
      </c>
      <c r="M52" s="110">
        <v>100</v>
      </c>
      <c r="N52" s="110">
        <v>74.919562419562425</v>
      </c>
      <c r="O52" s="110">
        <v>25.080437580437582</v>
      </c>
      <c r="P52" s="110">
        <v>20.511583011583014</v>
      </c>
      <c r="Q52" s="110">
        <v>16.36904761904762</v>
      </c>
      <c r="R52" s="110">
        <v>4.1425353925353923</v>
      </c>
      <c r="S52" s="110">
        <v>4.5688545688545688</v>
      </c>
      <c r="T52" s="110">
        <v>4.3918918918918921</v>
      </c>
      <c r="U52" s="113">
        <v>0.17696267696267698</v>
      </c>
      <c r="W52" s="117"/>
      <c r="X52" s="118"/>
    </row>
    <row r="53" spans="1:24" ht="20" customHeight="1">
      <c r="A53" s="120" t="s">
        <v>205</v>
      </c>
      <c r="B53" s="126"/>
      <c r="C53" s="71">
        <v>15386</v>
      </c>
      <c r="D53" s="71">
        <v>10917</v>
      </c>
      <c r="E53" s="71">
        <v>4469</v>
      </c>
      <c r="F53" s="71">
        <v>3675</v>
      </c>
      <c r="G53" s="71">
        <v>2990</v>
      </c>
      <c r="H53" s="71">
        <v>685</v>
      </c>
      <c r="I53" s="71">
        <v>794</v>
      </c>
      <c r="J53" s="71">
        <v>773</v>
      </c>
      <c r="K53" s="71">
        <v>21</v>
      </c>
      <c r="L53" s="71">
        <v>745</v>
      </c>
      <c r="M53" s="110">
        <v>100</v>
      </c>
      <c r="N53" s="110">
        <v>70.954114129728325</v>
      </c>
      <c r="O53" s="110">
        <v>29.045885870271675</v>
      </c>
      <c r="P53" s="110">
        <v>23.885350318471339</v>
      </c>
      <c r="Q53" s="110">
        <v>19.433251007409332</v>
      </c>
      <c r="R53" s="110">
        <v>4.4520993110620042</v>
      </c>
      <c r="S53" s="110">
        <v>5.1605355518003382</v>
      </c>
      <c r="T53" s="110">
        <v>5.0240478356947875</v>
      </c>
      <c r="U53" s="113">
        <v>0.13648771610555052</v>
      </c>
    </row>
    <row r="54" spans="1:24" ht="20" customHeight="1">
      <c r="A54" s="120" t="s">
        <v>206</v>
      </c>
      <c r="B54" s="126"/>
      <c r="C54" s="71">
        <v>17572</v>
      </c>
      <c r="D54" s="71">
        <v>14967</v>
      </c>
      <c r="E54" s="71">
        <v>2605</v>
      </c>
      <c r="F54" s="71">
        <v>2210</v>
      </c>
      <c r="G54" s="71">
        <v>1915</v>
      </c>
      <c r="H54" s="71">
        <v>295</v>
      </c>
      <c r="I54" s="71">
        <v>395</v>
      </c>
      <c r="J54" s="71">
        <v>373</v>
      </c>
      <c r="K54" s="71">
        <v>22</v>
      </c>
      <c r="L54" s="71">
        <v>475</v>
      </c>
      <c r="M54" s="110">
        <v>100</v>
      </c>
      <c r="N54" s="110">
        <v>85.17527885272024</v>
      </c>
      <c r="O54" s="110">
        <v>14.824721147279762</v>
      </c>
      <c r="P54" s="110">
        <v>12.576826769861144</v>
      </c>
      <c r="Q54" s="110">
        <v>10.898019576599136</v>
      </c>
      <c r="R54" s="110">
        <v>1.6788071932620077</v>
      </c>
      <c r="S54" s="110">
        <v>2.2478943774186204</v>
      </c>
      <c r="T54" s="110">
        <v>2.1226951969041656</v>
      </c>
      <c r="U54" s="113">
        <v>0.12519918051445481</v>
      </c>
    </row>
    <row r="55" spans="1:24" ht="20" customHeight="1">
      <c r="A55" s="120" t="s">
        <v>209</v>
      </c>
      <c r="B55" s="126"/>
      <c r="C55" s="71">
        <v>17697</v>
      </c>
      <c r="D55" s="71">
        <v>14950</v>
      </c>
      <c r="E55" s="71">
        <v>2747</v>
      </c>
      <c r="F55" s="71">
        <v>2091</v>
      </c>
      <c r="G55" s="71">
        <v>1403</v>
      </c>
      <c r="H55" s="71">
        <v>688</v>
      </c>
      <c r="I55" s="71">
        <v>656</v>
      </c>
      <c r="J55" s="71">
        <v>596</v>
      </c>
      <c r="K55" s="71">
        <v>60</v>
      </c>
      <c r="L55" s="71">
        <v>3057</v>
      </c>
      <c r="M55" s="110">
        <v>100</v>
      </c>
      <c r="N55" s="110">
        <v>84.47759507261118</v>
      </c>
      <c r="O55" s="110">
        <v>15.522404927388822</v>
      </c>
      <c r="P55" s="110">
        <v>11.815561959654179</v>
      </c>
      <c r="Q55" s="110">
        <v>7.9278973837373563</v>
      </c>
      <c r="R55" s="110">
        <v>3.8876645759168222</v>
      </c>
      <c r="S55" s="110">
        <v>3.7068429677346444</v>
      </c>
      <c r="T55" s="110">
        <v>3.367802452393061</v>
      </c>
      <c r="U55" s="113">
        <v>0.33904051534158336</v>
      </c>
    </row>
    <row r="56" spans="1:24" ht="20" customHeight="1">
      <c r="A56" s="120" t="s">
        <v>210</v>
      </c>
      <c r="B56" s="126"/>
      <c r="C56" s="71">
        <v>14057</v>
      </c>
      <c r="D56" s="71">
        <v>8528</v>
      </c>
      <c r="E56" s="71">
        <v>5529</v>
      </c>
      <c r="F56" s="71">
        <v>3326</v>
      </c>
      <c r="G56" s="71">
        <v>1527</v>
      </c>
      <c r="H56" s="71">
        <v>1799</v>
      </c>
      <c r="I56" s="71">
        <v>2203</v>
      </c>
      <c r="J56" s="71">
        <v>1916</v>
      </c>
      <c r="K56" s="71">
        <v>287</v>
      </c>
      <c r="L56" s="71">
        <v>8813</v>
      </c>
      <c r="M56" s="110">
        <v>100</v>
      </c>
      <c r="N56" s="110">
        <v>60.6672832040976</v>
      </c>
      <c r="O56" s="110">
        <v>39.332716795902392</v>
      </c>
      <c r="P56" s="110">
        <v>23.660809561072778</v>
      </c>
      <c r="Q56" s="110">
        <v>10.862915273529202</v>
      </c>
      <c r="R56" s="110">
        <v>12.797894287543574</v>
      </c>
      <c r="S56" s="110">
        <v>15.671907234829622</v>
      </c>
      <c r="T56" s="110">
        <v>13.630219819307108</v>
      </c>
      <c r="U56" s="113">
        <v>2.0416874155225155</v>
      </c>
    </row>
    <row r="57" spans="1:24" ht="20" customHeight="1">
      <c r="A57" s="120" t="s">
        <v>212</v>
      </c>
      <c r="B57" s="126"/>
      <c r="C57" s="71">
        <v>15651</v>
      </c>
      <c r="D57" s="71">
        <v>7996</v>
      </c>
      <c r="E57" s="71">
        <v>7655</v>
      </c>
      <c r="F57" s="71">
        <v>5344</v>
      </c>
      <c r="G57" s="71">
        <v>3265</v>
      </c>
      <c r="H57" s="71">
        <v>2079</v>
      </c>
      <c r="I57" s="71">
        <v>2311</v>
      </c>
      <c r="J57" s="71">
        <v>2091</v>
      </c>
      <c r="K57" s="71">
        <v>220</v>
      </c>
      <c r="L57" s="71">
        <v>3481</v>
      </c>
      <c r="M57" s="110">
        <v>100</v>
      </c>
      <c r="N57" s="110">
        <v>51.089387259600031</v>
      </c>
      <c r="O57" s="110">
        <v>48.910612740399969</v>
      </c>
      <c r="P57" s="110">
        <v>34.144783080953296</v>
      </c>
      <c r="Q57" s="110">
        <v>20.861286818733625</v>
      </c>
      <c r="R57" s="110">
        <v>13.283496262219666</v>
      </c>
      <c r="S57" s="110">
        <v>14.76582965944668</v>
      </c>
      <c r="T57" s="110">
        <v>13.360168679317615</v>
      </c>
      <c r="U57" s="113">
        <v>1.4056609801290654</v>
      </c>
    </row>
    <row r="58" spans="1:24" ht="20" customHeight="1">
      <c r="A58" s="120" t="s">
        <v>159</v>
      </c>
      <c r="B58" s="126"/>
      <c r="C58" s="71">
        <v>19178</v>
      </c>
      <c r="D58" s="71">
        <v>10679</v>
      </c>
      <c r="E58" s="71">
        <v>8499</v>
      </c>
      <c r="F58" s="71">
        <v>6712</v>
      </c>
      <c r="G58" s="71">
        <v>4626</v>
      </c>
      <c r="H58" s="71">
        <v>2086</v>
      </c>
      <c r="I58" s="71">
        <v>1787</v>
      </c>
      <c r="J58" s="71">
        <v>1560</v>
      </c>
      <c r="K58" s="71">
        <v>227</v>
      </c>
      <c r="L58" s="71">
        <v>2050</v>
      </c>
      <c r="M58" s="110">
        <v>100</v>
      </c>
      <c r="N58" s="110">
        <v>55.683595786839092</v>
      </c>
      <c r="O58" s="110">
        <v>44.316404213160915</v>
      </c>
      <c r="P58" s="110">
        <v>34.998435707581606</v>
      </c>
      <c r="Q58" s="110">
        <v>24.121389091667535</v>
      </c>
      <c r="R58" s="110">
        <v>10.877046615914068</v>
      </c>
      <c r="S58" s="110">
        <v>9.3179685055793087</v>
      </c>
      <c r="T58" s="110">
        <v>8.1343205756596095</v>
      </c>
      <c r="U58" s="113">
        <v>1.1836479299196996</v>
      </c>
    </row>
    <row r="59" spans="1:24" ht="20" customHeight="1">
      <c r="A59" s="120" t="s">
        <v>215</v>
      </c>
      <c r="B59" s="126"/>
      <c r="C59" s="71">
        <v>23927</v>
      </c>
      <c r="D59" s="71">
        <v>16362</v>
      </c>
      <c r="E59" s="71">
        <v>7565</v>
      </c>
      <c r="F59" s="71">
        <v>6064</v>
      </c>
      <c r="G59" s="71">
        <v>4541</v>
      </c>
      <c r="H59" s="71">
        <v>1523</v>
      </c>
      <c r="I59" s="71">
        <v>1501</v>
      </c>
      <c r="J59" s="71">
        <v>1328</v>
      </c>
      <c r="K59" s="71">
        <v>173</v>
      </c>
      <c r="L59" s="71">
        <v>1493</v>
      </c>
      <c r="M59" s="110">
        <v>100</v>
      </c>
      <c r="N59" s="110">
        <v>68.382998286454637</v>
      </c>
      <c r="O59" s="110">
        <v>31.617001713545367</v>
      </c>
      <c r="P59" s="110">
        <v>25.34375391816776</v>
      </c>
      <c r="Q59" s="110">
        <v>18.978559786015797</v>
      </c>
      <c r="R59" s="110">
        <v>6.3651941321519621</v>
      </c>
      <c r="S59" s="110">
        <v>6.2732477953776069</v>
      </c>
      <c r="T59" s="110">
        <v>5.5502152380156309</v>
      </c>
      <c r="U59" s="113">
        <v>0.72303255736197602</v>
      </c>
    </row>
    <row r="60" spans="1:24" ht="20" customHeight="1">
      <c r="A60" s="120" t="s">
        <v>216</v>
      </c>
      <c r="B60" s="126"/>
      <c r="C60" s="71">
        <v>28578</v>
      </c>
      <c r="D60" s="71">
        <v>22835</v>
      </c>
      <c r="E60" s="71">
        <v>5743</v>
      </c>
      <c r="F60" s="71">
        <v>4735</v>
      </c>
      <c r="G60" s="71">
        <v>3629</v>
      </c>
      <c r="H60" s="71">
        <v>1106</v>
      </c>
      <c r="I60" s="71">
        <v>1008</v>
      </c>
      <c r="J60" s="71">
        <v>911</v>
      </c>
      <c r="K60" s="71">
        <v>97</v>
      </c>
      <c r="L60" s="71">
        <v>1160</v>
      </c>
      <c r="M60" s="110">
        <v>100</v>
      </c>
      <c r="N60" s="110">
        <v>79.904122051928056</v>
      </c>
      <c r="O60" s="110">
        <v>20.095877948071944</v>
      </c>
      <c r="P60" s="110">
        <v>16.568689201483657</v>
      </c>
      <c r="Q60" s="110">
        <v>12.698579326754848</v>
      </c>
      <c r="R60" s="110">
        <v>3.8701098747288123</v>
      </c>
      <c r="S60" s="110">
        <v>3.5271887465882847</v>
      </c>
      <c r="T60" s="110">
        <v>3.187766813632865</v>
      </c>
      <c r="U60" s="113">
        <v>0.33942193295542022</v>
      </c>
    </row>
    <row r="61" spans="1:24" ht="20" customHeight="1">
      <c r="A61" s="120" t="s">
        <v>40</v>
      </c>
      <c r="B61" s="126"/>
      <c r="C61" s="71">
        <v>31241</v>
      </c>
      <c r="D61" s="71">
        <v>27150</v>
      </c>
      <c r="E61" s="71">
        <v>4091</v>
      </c>
      <c r="F61" s="71">
        <v>3349</v>
      </c>
      <c r="G61" s="71">
        <v>2554</v>
      </c>
      <c r="H61" s="71">
        <v>795</v>
      </c>
      <c r="I61" s="71">
        <v>742</v>
      </c>
      <c r="J61" s="71">
        <v>647</v>
      </c>
      <c r="K61" s="71">
        <v>95</v>
      </c>
      <c r="L61" s="71">
        <v>947</v>
      </c>
      <c r="M61" s="110">
        <v>100</v>
      </c>
      <c r="N61" s="110">
        <v>86.905028648250692</v>
      </c>
      <c r="O61" s="110">
        <v>13.094971351749304</v>
      </c>
      <c r="P61" s="110">
        <v>10.719887327550333</v>
      </c>
      <c r="Q61" s="110">
        <v>8.1751544444800111</v>
      </c>
      <c r="R61" s="110">
        <v>2.5447328830703242</v>
      </c>
      <c r="S61" s="110">
        <v>2.3750840241989692</v>
      </c>
      <c r="T61" s="110">
        <v>2.070996446976729</v>
      </c>
      <c r="U61" s="113">
        <v>0.30408757722224</v>
      </c>
    </row>
    <row r="62" spans="1:24" ht="20" customHeight="1">
      <c r="A62" s="120" t="s">
        <v>217</v>
      </c>
      <c r="B62" s="126"/>
      <c r="C62" s="71">
        <v>29558</v>
      </c>
      <c r="D62" s="71">
        <v>26882</v>
      </c>
      <c r="E62" s="71">
        <v>2676</v>
      </c>
      <c r="F62" s="71">
        <v>2219</v>
      </c>
      <c r="G62" s="71">
        <v>1711</v>
      </c>
      <c r="H62" s="71">
        <v>508</v>
      </c>
      <c r="I62" s="71">
        <v>457</v>
      </c>
      <c r="J62" s="71">
        <v>430</v>
      </c>
      <c r="K62" s="71">
        <v>27</v>
      </c>
      <c r="L62" s="71">
        <v>721</v>
      </c>
      <c r="M62" s="110">
        <v>100</v>
      </c>
      <c r="N62" s="110">
        <v>90.946613437986329</v>
      </c>
      <c r="O62" s="110">
        <v>9.0533865620136691</v>
      </c>
      <c r="P62" s="110">
        <v>7.5072738344948915</v>
      </c>
      <c r="Q62" s="110">
        <v>5.7886189863996211</v>
      </c>
      <c r="R62" s="110">
        <v>1.7186548480952704</v>
      </c>
      <c r="S62" s="110">
        <v>1.5461127275187767</v>
      </c>
      <c r="T62" s="110">
        <v>1.45476689897828</v>
      </c>
      <c r="U62" s="113">
        <v>9.1345828540496651e-002</v>
      </c>
    </row>
    <row r="63" spans="1:24" ht="20" customHeight="1">
      <c r="A63" s="120" t="s">
        <v>219</v>
      </c>
      <c r="B63" s="126"/>
      <c r="C63" s="71">
        <v>33326</v>
      </c>
      <c r="D63" s="71">
        <v>30957</v>
      </c>
      <c r="E63" s="71">
        <v>2369</v>
      </c>
      <c r="F63" s="71">
        <v>1912</v>
      </c>
      <c r="G63" s="71">
        <v>1481</v>
      </c>
      <c r="H63" s="71">
        <v>431</v>
      </c>
      <c r="I63" s="71">
        <v>457</v>
      </c>
      <c r="J63" s="71">
        <v>448</v>
      </c>
      <c r="K63" s="71">
        <v>9</v>
      </c>
      <c r="L63" s="71">
        <v>466</v>
      </c>
      <c r="M63" s="110">
        <v>100</v>
      </c>
      <c r="N63" s="110">
        <v>92.89143611594551</v>
      </c>
      <c r="O63" s="110">
        <v>7.108563884054492</v>
      </c>
      <c r="P63" s="110">
        <v>5.7372621976834903</v>
      </c>
      <c r="Q63" s="110">
        <v>4.4439776750885196</v>
      </c>
      <c r="R63" s="110">
        <v>1.293284522594971</v>
      </c>
      <c r="S63" s="110">
        <v>1.3713016863710017</v>
      </c>
      <c r="T63" s="110">
        <v>1.3442957450639141</v>
      </c>
      <c r="U63" s="113">
        <v>2.7005941307087559e-002</v>
      </c>
    </row>
    <row r="64" spans="1:24" ht="20" customHeight="1">
      <c r="A64" s="120" t="s">
        <v>42</v>
      </c>
      <c r="B64" s="126"/>
      <c r="C64" s="71">
        <v>37680</v>
      </c>
      <c r="D64" s="71">
        <v>35542</v>
      </c>
      <c r="E64" s="71">
        <v>2138</v>
      </c>
      <c r="F64" s="71">
        <v>1708</v>
      </c>
      <c r="G64" s="71">
        <v>1342</v>
      </c>
      <c r="H64" s="71">
        <v>366</v>
      </c>
      <c r="I64" s="71">
        <v>430</v>
      </c>
      <c r="J64" s="71">
        <v>422</v>
      </c>
      <c r="K64" s="71">
        <v>8</v>
      </c>
      <c r="L64" s="71">
        <v>364</v>
      </c>
      <c r="M64" s="110">
        <v>100</v>
      </c>
      <c r="N64" s="110">
        <v>94.325902335456476</v>
      </c>
      <c r="O64" s="110">
        <v>5.6740976645435248</v>
      </c>
      <c r="P64" s="110">
        <v>4.5329087048832273</v>
      </c>
      <c r="Q64" s="110">
        <v>3.5615711252653925</v>
      </c>
      <c r="R64" s="110">
        <v>0.9713375796178344</v>
      </c>
      <c r="S64" s="110">
        <v>1.1411889596602971</v>
      </c>
      <c r="T64" s="110">
        <v>1.1199575371549892</v>
      </c>
      <c r="U64" s="113">
        <v>2.1231422505307858e-002</v>
      </c>
    </row>
    <row r="65" spans="1:24" ht="20" customHeight="1">
      <c r="A65" s="120" t="s">
        <v>220</v>
      </c>
      <c r="B65" s="126"/>
      <c r="C65" s="71">
        <v>43710</v>
      </c>
      <c r="D65" s="71">
        <v>41696</v>
      </c>
      <c r="E65" s="71">
        <v>2014</v>
      </c>
      <c r="F65" s="71">
        <v>1641</v>
      </c>
      <c r="G65" s="71">
        <v>1333</v>
      </c>
      <c r="H65" s="71">
        <v>308</v>
      </c>
      <c r="I65" s="71">
        <v>373</v>
      </c>
      <c r="J65" s="71">
        <v>369</v>
      </c>
      <c r="K65" s="71">
        <v>4</v>
      </c>
      <c r="L65" s="71">
        <v>276</v>
      </c>
      <c r="M65" s="110">
        <v>100</v>
      </c>
      <c r="N65" s="110">
        <v>95.392358727979868</v>
      </c>
      <c r="O65" s="110">
        <v>4.6076412720201327</v>
      </c>
      <c r="P65" s="110">
        <v>3.7542896362388474</v>
      </c>
      <c r="Q65" s="110">
        <v>3.0496453900709217</v>
      </c>
      <c r="R65" s="110">
        <v>0.70464424616792498</v>
      </c>
      <c r="S65" s="110">
        <v>0.8533516357812857</v>
      </c>
      <c r="T65" s="110">
        <v>0.84420041180507888</v>
      </c>
      <c r="U65" s="113">
        <v>9.1512239762068185e-003</v>
      </c>
    </row>
    <row r="66" spans="1:24" ht="20" customHeight="1">
      <c r="A66" s="120" t="s">
        <v>221</v>
      </c>
      <c r="B66" s="126"/>
      <c r="C66" s="71">
        <v>44714</v>
      </c>
      <c r="D66" s="71">
        <v>42980</v>
      </c>
      <c r="E66" s="71">
        <v>1734</v>
      </c>
      <c r="F66" s="71">
        <v>1502</v>
      </c>
      <c r="G66" s="71">
        <v>1231</v>
      </c>
      <c r="H66" s="71">
        <v>271</v>
      </c>
      <c r="I66" s="71">
        <v>232</v>
      </c>
      <c r="J66" s="71">
        <v>231</v>
      </c>
      <c r="K66" s="71">
        <v>1</v>
      </c>
      <c r="L66" s="71">
        <v>276</v>
      </c>
      <c r="M66" s="110">
        <v>100</v>
      </c>
      <c r="N66" s="110">
        <v>96.122019949009257</v>
      </c>
      <c r="O66" s="110">
        <v>3.8779800509907409</v>
      </c>
      <c r="P66" s="110">
        <v>3.3591268953795232</v>
      </c>
      <c r="Q66" s="110">
        <v>2.7530527351612473</v>
      </c>
      <c r="R66" s="110">
        <v>0.6060741602182762</v>
      </c>
      <c r="S66" s="110">
        <v>0.51885315561121792</v>
      </c>
      <c r="T66" s="110">
        <v>0.51661671959565236</v>
      </c>
      <c r="U66" s="113">
        <v>2.2364360155655949e-003</v>
      </c>
    </row>
    <row r="67" spans="1:24" ht="20" customHeight="1">
      <c r="A67" s="120" t="s">
        <v>152</v>
      </c>
      <c r="B67" s="126"/>
      <c r="C67" s="71">
        <v>35083</v>
      </c>
      <c r="D67" s="71">
        <v>33286</v>
      </c>
      <c r="E67" s="71">
        <v>1797</v>
      </c>
      <c r="F67" s="71">
        <v>1670</v>
      </c>
      <c r="G67" s="71">
        <v>1424</v>
      </c>
      <c r="H67" s="71">
        <v>246</v>
      </c>
      <c r="I67" s="71">
        <v>127</v>
      </c>
      <c r="J67" s="71">
        <v>127</v>
      </c>
      <c r="K67" s="71">
        <v>0</v>
      </c>
      <c r="L67" s="71">
        <v>213</v>
      </c>
      <c r="M67" s="110">
        <v>100</v>
      </c>
      <c r="N67" s="110">
        <v>94.877861072314232</v>
      </c>
      <c r="O67" s="110">
        <v>5.1221389276857741</v>
      </c>
      <c r="P67" s="110">
        <v>4.7601402388621272</v>
      </c>
      <c r="Q67" s="110">
        <v>4.0589459282273461</v>
      </c>
      <c r="R67" s="110">
        <v>0.70119431063478033</v>
      </c>
      <c r="S67" s="110">
        <v>0.36199868882364677</v>
      </c>
      <c r="T67" s="110">
        <v>0.36199868882364677</v>
      </c>
      <c r="U67" s="113">
        <v>0</v>
      </c>
    </row>
    <row r="68" spans="1:24" ht="20" customHeight="1">
      <c r="A68" s="120" t="s">
        <v>222</v>
      </c>
      <c r="B68" s="126"/>
      <c r="C68" s="71">
        <v>35272</v>
      </c>
      <c r="D68" s="71">
        <v>32102</v>
      </c>
      <c r="E68" s="71">
        <v>3170</v>
      </c>
      <c r="F68" s="71">
        <v>3058</v>
      </c>
      <c r="G68" s="71">
        <v>2584</v>
      </c>
      <c r="H68" s="71">
        <v>474</v>
      </c>
      <c r="I68" s="71">
        <v>112</v>
      </c>
      <c r="J68" s="71">
        <v>112</v>
      </c>
      <c r="K68" s="71">
        <v>0</v>
      </c>
      <c r="L68" s="71">
        <v>259</v>
      </c>
      <c r="M68" s="110">
        <v>100</v>
      </c>
      <c r="N68" s="110">
        <v>91.012701292810164</v>
      </c>
      <c r="O68" s="110">
        <v>8.98729870718984</v>
      </c>
      <c r="P68" s="110">
        <v>8.6697663869358141</v>
      </c>
      <c r="Q68" s="110">
        <v>7.3259242458607394</v>
      </c>
      <c r="R68" s="110">
        <v>1.3438421410750738</v>
      </c>
      <c r="S68" s="110">
        <v>0.31753232025402589</v>
      </c>
      <c r="T68" s="110">
        <v>0.31753232025402589</v>
      </c>
      <c r="U68" s="113">
        <v>0</v>
      </c>
    </row>
    <row r="69" spans="1:24" ht="20" customHeight="1">
      <c r="A69" s="120" t="s">
        <v>226</v>
      </c>
      <c r="B69" s="126"/>
      <c r="C69" s="71">
        <v>52001</v>
      </c>
      <c r="D69" s="71">
        <v>40769</v>
      </c>
      <c r="E69" s="71">
        <v>11232</v>
      </c>
      <c r="F69" s="71">
        <v>11069</v>
      </c>
      <c r="G69" s="71">
        <v>9736</v>
      </c>
      <c r="H69" s="71">
        <v>1333</v>
      </c>
      <c r="I69" s="71">
        <v>163</v>
      </c>
      <c r="J69" s="71">
        <v>162</v>
      </c>
      <c r="K69" s="71">
        <v>1</v>
      </c>
      <c r="L69" s="71">
        <v>557</v>
      </c>
      <c r="M69" s="110">
        <v>100</v>
      </c>
      <c r="N69" s="110">
        <v>78.400415376627379</v>
      </c>
      <c r="O69" s="110">
        <v>21.599584623372628</v>
      </c>
      <c r="P69" s="110">
        <v>21.286129112901676</v>
      </c>
      <c r="Q69" s="110">
        <v>18.722716870829405</v>
      </c>
      <c r="R69" s="110">
        <v>2.5634122420722676</v>
      </c>
      <c r="S69" s="110">
        <v>0.31345551047095249</v>
      </c>
      <c r="T69" s="110">
        <v>0.31153247052941291</v>
      </c>
      <c r="U69" s="113">
        <v>1.923039941539586e-003</v>
      </c>
    </row>
    <row r="70" spans="1:24" ht="20" customHeight="1">
      <c r="A70" s="122"/>
      <c r="B70" s="127"/>
      <c r="C70" s="128"/>
      <c r="D70" s="128"/>
      <c r="E70" s="128"/>
      <c r="F70" s="128"/>
      <c r="G70" s="128"/>
      <c r="H70" s="128"/>
      <c r="I70" s="128"/>
      <c r="J70" s="128"/>
      <c r="K70" s="128"/>
      <c r="L70" s="128"/>
      <c r="M70" s="129"/>
      <c r="N70" s="129"/>
      <c r="O70" s="129"/>
      <c r="P70" s="129"/>
      <c r="Q70" s="129"/>
      <c r="R70" s="129"/>
      <c r="S70" s="129"/>
      <c r="T70" s="129"/>
      <c r="U70" s="130"/>
    </row>
    <row r="71" spans="1:24" ht="20" customHeight="1">
      <c r="A71" s="6" t="s">
        <v>407</v>
      </c>
    </row>
    <row r="72" spans="1:24" s="6" customFormat="1" ht="20" customHeight="1">
      <c r="A72" s="123" t="s">
        <v>413</v>
      </c>
      <c r="C72" s="63"/>
      <c r="D72" s="63"/>
      <c r="E72" s="63"/>
      <c r="F72" s="63"/>
      <c r="G72" s="63"/>
      <c r="H72" s="63"/>
      <c r="I72" s="63"/>
      <c r="J72" s="63"/>
      <c r="K72" s="63"/>
      <c r="L72" s="63"/>
      <c r="M72" s="109"/>
      <c r="N72" s="109"/>
      <c r="O72" s="109"/>
      <c r="P72" s="109"/>
      <c r="Q72" s="109"/>
      <c r="R72" s="109"/>
      <c r="S72" s="109"/>
      <c r="T72" s="109"/>
      <c r="U72" s="109"/>
      <c r="W72" s="117"/>
      <c r="X72" s="118"/>
    </row>
    <row r="73" spans="1:24" ht="15.95" customHeight="1"/>
    <row r="74" spans="1:24" ht="15.95" customHeight="1"/>
    <row r="75" spans="1:24" ht="15.95" customHeight="1"/>
    <row r="76" spans="1:24" ht="15.95" customHeight="1"/>
    <row r="77" spans="1:24" ht="15.95" customHeight="1"/>
    <row r="78" spans="1:24" ht="15.95" customHeight="1"/>
    <row r="79" spans="1:24" ht="15.95" customHeight="1"/>
    <row r="80" spans="1:24" ht="15.95" customHeight="1"/>
    <row r="81" ht="15.95" customHeight="1"/>
    <row r="82" ht="15.95" customHeight="1"/>
    <row r="83" ht="15.6" customHeight="1"/>
    <row r="84" ht="15.6" customHeight="1"/>
  </sheetData>
  <mergeCells count="22">
    <mergeCell ref="C3:L3"/>
    <mergeCell ref="M3:U3"/>
    <mergeCell ref="C4:C9"/>
    <mergeCell ref="D4:D9"/>
    <mergeCell ref="E4:E9"/>
    <mergeCell ref="L4:L9"/>
    <mergeCell ref="M4:M9"/>
    <mergeCell ref="N4:N9"/>
    <mergeCell ref="O4:O9"/>
    <mergeCell ref="F5:F9"/>
    <mergeCell ref="I5:I9"/>
    <mergeCell ref="P5:P9"/>
    <mergeCell ref="S5:S9"/>
    <mergeCell ref="G6:G9"/>
    <mergeCell ref="H6:H9"/>
    <mergeCell ref="J6:J9"/>
    <mergeCell ref="K6:K9"/>
    <mergeCell ref="Q6:Q9"/>
    <mergeCell ref="R6:R9"/>
    <mergeCell ref="T6:T9"/>
    <mergeCell ref="U6:U9"/>
    <mergeCell ref="A3:B9"/>
  </mergeCells>
  <phoneticPr fontId="8"/>
  <conditionalFormatting sqref="A1:XEY1048558">
    <cfRule type="cellIs" dxfId="20" priority="1" operator="equal">
      <formula>0</formula>
    </cfRule>
  </conditionalFormatting>
  <hyperlinks>
    <hyperlink ref="W3" location="目次!A15"/>
  </hyperlinks>
  <printOptions horizontalCentered="1" verticalCentered="1"/>
  <pageMargins left="0.39370078740157483" right="0.39370078740157483" top="0.39370078740157483" bottom="0.39370078740157483" header="0.19685039370078741" footer="0.19685039370078741"/>
  <pageSetup paperSize="9" scale="51"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K36"/>
  <sheetViews>
    <sheetView showGridLines="0" workbookViewId="0">
      <selection activeCell="K5" sqref="K5"/>
    </sheetView>
  </sheetViews>
  <sheetFormatPr defaultRowHeight="13.5"/>
  <sheetData>
    <row r="1" spans="1:11">
      <c r="A1" s="42" t="s">
        <v>282</v>
      </c>
    </row>
    <row r="5" spans="1:11">
      <c r="K5" s="43" t="s">
        <v>118</v>
      </c>
    </row>
    <row r="34" spans="3:8">
      <c r="C34" s="133"/>
      <c r="D34" s="133"/>
      <c r="E34" s="133"/>
      <c r="F34" s="133"/>
      <c r="G34" s="133"/>
      <c r="H34" s="133"/>
    </row>
    <row r="35" spans="3:8">
      <c r="C35" s="133"/>
      <c r="D35" s="133"/>
      <c r="E35" s="133"/>
      <c r="F35" s="133"/>
      <c r="G35" s="133"/>
      <c r="H35" s="133"/>
    </row>
    <row r="36" spans="3:8">
      <c r="C36" s="133"/>
      <c r="D36" s="133"/>
      <c r="E36" s="133"/>
      <c r="F36" s="133"/>
      <c r="G36" s="133"/>
      <c r="H36" s="133"/>
    </row>
  </sheetData>
  <phoneticPr fontId="8"/>
  <hyperlinks>
    <hyperlink ref="K5" location="目次!A17"/>
  </hyperlinks>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目次</vt:lpstr>
      <vt:lpstr>表</vt:lpstr>
      <vt:lpstr>図Ⅰ－１－１</vt:lpstr>
      <vt:lpstr>表Ⅰ－１－１</vt:lpstr>
      <vt:lpstr>表Ⅰ－１－２</vt:lpstr>
      <vt:lpstr>図Ⅰ－２－１</vt:lpstr>
      <vt:lpstr>図Ⅰ－２－２</vt:lpstr>
      <vt:lpstr>表Ⅰ－２－１</vt:lpstr>
      <vt:lpstr>図Ⅰ－３－１</vt:lpstr>
      <vt:lpstr>表Ⅰ－３－１</vt:lpstr>
      <vt:lpstr>表Ⅰ－３－２</vt:lpstr>
      <vt:lpstr>表Ⅰ－４－１</vt:lpstr>
      <vt:lpstr>図Ⅰ－４－１</vt:lpstr>
      <vt:lpstr>表Ⅰ－４－２</vt:lpstr>
      <vt:lpstr>図Ⅰ－４－２</vt:lpstr>
      <vt:lpstr>表１－４－３</vt:lpstr>
      <vt:lpstr>表Ⅰ－４－４</vt:lpstr>
      <vt:lpstr>表Ⅱ－１－１</vt:lpstr>
      <vt:lpstr>表Ⅱ－１－２</vt:lpstr>
      <vt:lpstr>表Ⅱ－２－１</vt:lpstr>
      <vt:lpstr>表Ⅱ－３－１</vt:lpstr>
      <vt:lpstr>表Ⅱ－３－２</vt:lpstr>
      <vt:lpstr>表Ⅱ－３－３</vt:lpstr>
      <vt:lpstr>表Ⅱ－３－４</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柴田　敏幸</cp:lastModifiedBy>
  <dcterms:created xsi:type="dcterms:W3CDTF">2017-02-28T01:47:40Z</dcterms:created>
  <dcterms:modified xsi:type="dcterms:W3CDTF">2022-03-28T05:43:24Z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2022-03-28T05:43:24Z</vt:filetime>
  </property>
</Properties>
</file>