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13_ncr:1_{08A31A19-3408-4CC2-9FC3-7EBF33130119}" xr6:coauthVersionLast="46" xr6:coauthVersionMax="46" xr10:uidLastSave="{00000000-0000-0000-0000-000000000000}"/>
  <bookViews>
    <workbookView xWindow="10860" yWindow="885" windowWidth="14985" windowHeight="13875" tabRatio="910" xr2:uid="{891CE542-D2B9-4742-BAD2-944658600FB2}"/>
  </bookViews>
  <sheets>
    <sheet name="水道" sheetId="1" r:id="rId1"/>
    <sheet name="工業用水道" sheetId="2" r:id="rId2"/>
    <sheet name="簡易水道" sheetId="3" r:id="rId3"/>
    <sheet name="病院" sheetId="4" r:id="rId4"/>
    <sheet name="下水道（公共下水道）" sheetId="5" r:id="rId5"/>
    <sheet name="下水道（特定環境保全公共下水道）" sheetId="6" r:id="rId6"/>
    <sheet name="下水道（農業集落排水施設）" sheetId="7" r:id="rId7"/>
    <sheet name="下水道（特定地域排水処理施設）" sheetId="8" r:id="rId8"/>
    <sheet name="市場" sheetId="9" r:id="rId9"/>
    <sheet name="介護サービス（指定介護老人福祉施設）" sheetId="10" r:id="rId10"/>
    <sheet name="介護サービス（老人短期入所施設）" sheetId="11" r:id="rId11"/>
    <sheet name="介護サービス（老人デイサービスセンター）" sheetId="12" r:id="rId12"/>
    <sheet name="駐車場"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4">'下水道（公共下水道）'!$A$1:$BS$315</definedName>
    <definedName name="_xlnm.Print_Area" localSheetId="5">'下水道（特定環境保全公共下水道）'!$A$1:$BS$315</definedName>
    <definedName name="_xlnm.Print_Area" localSheetId="7">'下水道（特定地域排水処理施設）'!$A$1:$BS$315</definedName>
    <definedName name="_xlnm.Print_Area" localSheetId="6">'下水道（農業集落排水施設）'!$A$1:$BS$315</definedName>
    <definedName name="_xlnm.Print_Area" localSheetId="9">'介護サービス（指定介護老人福祉施設）'!$A$1:$BS$315</definedName>
    <definedName name="_xlnm.Print_Area" localSheetId="11">'介護サービス（老人デイサービスセンター）'!$A$1:$BS$315</definedName>
    <definedName name="_xlnm.Print_Area" localSheetId="10">'介護サービス（老人短期入所施設）'!$A$1:$BS$315</definedName>
    <definedName name="_xlnm.Print_Area" localSheetId="2">簡易水道!$A$1:$BS$315</definedName>
    <definedName name="_xlnm.Print_Area" localSheetId="1">工業用水道!$A$1:$BS$315</definedName>
    <definedName name="_xlnm.Print_Area" localSheetId="8">市場!$A$1:$BS$315</definedName>
    <definedName name="_xlnm.Print_Area" localSheetId="0">水道!$A$1:$BS$315</definedName>
    <definedName name="_xlnm.Print_Area" localSheetId="12">駐車場!$A$1:$BS$315</definedName>
    <definedName name="_xlnm.Print_Area" localSheetId="3">病院!$A$1:$BS$315</definedName>
    <definedName name="業種名" localSheetId="4">[1]選択肢!$K$2:$K$19</definedName>
    <definedName name="業種名" localSheetId="5">[2]選択肢!$K$2:$K$19</definedName>
    <definedName name="業種名" localSheetId="7">[3]選択肢!$K$2:$K$19</definedName>
    <definedName name="業種名" localSheetId="6">[4]選択肢!$K$2:$K$19</definedName>
    <definedName name="業種名" localSheetId="9">[5]選択肢!$K$2:$K$19</definedName>
    <definedName name="業種名" localSheetId="11">[6]選択肢!$K$2:$K$19</definedName>
    <definedName name="業種名" localSheetId="10">[7]選択肢!$K$2:$K$19</definedName>
    <definedName name="業種名" localSheetId="2">[8]選択肢!$K$2:$K$19</definedName>
    <definedName name="業種名" localSheetId="1">[9]選択肢!$K$2:$K$19</definedName>
    <definedName name="業種名" localSheetId="8">[10]選択肢!$K$2:$K$19</definedName>
    <definedName name="業種名" localSheetId="12">[11]選択肢!$K$2:$K$19</definedName>
    <definedName name="業種名" localSheetId="3">[12]選択肢!$K$2:$K$19</definedName>
    <definedName name="業種名">[13]選択肢!$K$2:$K$19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U51" i="8" l="1"/>
  <c r="D296" i="8"/>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U51" i="7" l="1"/>
  <c r="D296" i="7"/>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4" l="1"/>
  <c r="AM283" i="4"/>
  <c r="U283" i="4"/>
  <c r="N283" i="4"/>
  <c r="N277" i="4"/>
  <c r="BN274" i="4"/>
  <c r="BJ274" i="4"/>
  <c r="BF274" i="4"/>
  <c r="AU273" i="4"/>
  <c r="AM273" i="4"/>
  <c r="BF271" i="4"/>
  <c r="U271" i="4"/>
  <c r="N271" i="4"/>
  <c r="AM260" i="4"/>
  <c r="U260" i="4"/>
  <c r="N260" i="4"/>
  <c r="AY256" i="4"/>
  <c r="AQ256" i="4"/>
  <c r="AQ254" i="4"/>
  <c r="N254" i="4"/>
  <c r="AY253" i="4"/>
  <c r="AQ252" i="4"/>
  <c r="BN251" i="4"/>
  <c r="BJ251" i="4"/>
  <c r="BF251" i="4"/>
  <c r="AQ250" i="4"/>
  <c r="BF248" i="4"/>
  <c r="AY248" i="4"/>
  <c r="AQ248" i="4"/>
  <c r="U248" i="4"/>
  <c r="N248" i="4"/>
  <c r="AM236" i="4"/>
  <c r="U236" i="4"/>
  <c r="N236" i="4"/>
  <c r="N230" i="4"/>
  <c r="BN227" i="4"/>
  <c r="BJ227" i="4"/>
  <c r="BF227" i="4"/>
  <c r="BF224" i="4"/>
  <c r="AN224" i="4"/>
  <c r="U224" i="4"/>
  <c r="N224" i="4"/>
  <c r="AM212" i="4"/>
  <c r="U212" i="4"/>
  <c r="N212" i="4"/>
  <c r="N206" i="4"/>
  <c r="BN203" i="4"/>
  <c r="BJ203" i="4"/>
  <c r="BF203" i="4"/>
  <c r="AU203" i="4"/>
  <c r="AM203" i="4"/>
  <c r="BF200" i="4"/>
  <c r="U200" i="4"/>
  <c r="N200" i="4"/>
  <c r="AM188" i="4"/>
  <c r="U188" i="4"/>
  <c r="N188" i="4"/>
  <c r="N182" i="4"/>
  <c r="AU179" i="4"/>
  <c r="AQ179" i="4"/>
  <c r="AM179" i="4"/>
  <c r="AM176" i="4"/>
  <c r="U176" i="4"/>
  <c r="N176" i="4"/>
  <c r="AM164" i="4"/>
  <c r="U164" i="4"/>
  <c r="N164" i="4"/>
  <c r="AK159" i="4"/>
  <c r="AC159" i="4"/>
  <c r="U159" i="4"/>
  <c r="N158" i="4"/>
  <c r="BA153" i="4"/>
  <c r="AS153" i="4"/>
  <c r="AK153" i="4"/>
  <c r="AC153" i="4"/>
  <c r="U153" i="4"/>
  <c r="AC147" i="4"/>
  <c r="U147" i="4"/>
  <c r="BX142" i="4"/>
  <c r="BN142" i="4"/>
  <c r="BJ142" i="4"/>
  <c r="BF142" i="4"/>
  <c r="U141" i="4"/>
  <c r="BF139" i="4"/>
  <c r="AM139" i="4"/>
  <c r="N139" i="4"/>
  <c r="AM127" i="4"/>
  <c r="U127" i="4"/>
  <c r="N127" i="4"/>
  <c r="AY122" i="4"/>
  <c r="AS122" i="4"/>
  <c r="AM122" i="4"/>
  <c r="U122" i="4"/>
  <c r="N119" i="4"/>
  <c r="U117" i="4"/>
  <c r="BN113" i="4"/>
  <c r="BJ113" i="4"/>
  <c r="BF113" i="4"/>
  <c r="U112" i="4"/>
  <c r="N112" i="4"/>
  <c r="BF110" i="4"/>
  <c r="AM110" i="4"/>
  <c r="AM98" i="4"/>
  <c r="U98" i="4"/>
  <c r="N98" i="4"/>
  <c r="AC93" i="4"/>
  <c r="U93" i="4"/>
  <c r="N92" i="4"/>
  <c r="BN89" i="4"/>
  <c r="BJ89" i="4"/>
  <c r="BF89" i="4"/>
  <c r="AC88" i="4"/>
  <c r="U88" i="4"/>
  <c r="BF86" i="4"/>
  <c r="AM86" i="4"/>
  <c r="N86" i="4"/>
  <c r="AM74" i="4"/>
  <c r="U74" i="4"/>
  <c r="N74" i="4"/>
  <c r="N68" i="4"/>
  <c r="BN65" i="4"/>
  <c r="BJ65" i="4"/>
  <c r="BF65" i="4"/>
  <c r="AU65" i="4"/>
  <c r="AM65" i="4"/>
  <c r="BF62" i="4"/>
  <c r="U62" i="4"/>
  <c r="N62" i="4"/>
  <c r="AM51" i="4"/>
  <c r="U51" i="4"/>
  <c r="N51" i="4"/>
  <c r="AM47" i="4"/>
  <c r="AM46" i="4"/>
  <c r="AM45" i="4"/>
  <c r="AM44" i="4"/>
  <c r="N44" i="4"/>
  <c r="AM43" i="4"/>
  <c r="AM42" i="4"/>
  <c r="BN39" i="4"/>
  <c r="BJ39" i="4"/>
  <c r="BF39" i="4"/>
  <c r="AU38" i="4"/>
  <c r="AM38" i="4"/>
  <c r="BF36" i="4"/>
  <c r="U36" i="4"/>
  <c r="N36" i="4"/>
  <c r="BB24" i="4"/>
  <c r="AT24" i="4"/>
  <c r="AM24" i="4"/>
  <c r="AF24" i="4"/>
  <c r="Y24" i="4"/>
  <c r="R24" i="4"/>
  <c r="K24" i="4"/>
  <c r="D24" i="4"/>
  <c r="BG11" i="4"/>
  <c r="AO11" i="4"/>
  <c r="U11" i="4"/>
  <c r="C11" i="4"/>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<sst xmlns="http://schemas.openxmlformats.org/spreadsheetml/2006/main" count="2431" uniqueCount="85">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</sst>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3">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12" fillId="2" borderId="0" xfId="0" applyFont="1" applyFill="1" applyAlignment="1"/>
    <xf numFmtId="0" fontId="12" fillId="2" borderId="6" xfId="0" applyFont="1" applyFill="1" applyBorder="1" applyAlignment="1"/>
    <xf numFmtId="0" fontId="13" fillId="2" borderId="0" xfId="0" applyFont="1" applyFill="1">
      <alignment vertical="center"/>
    </xf>
    <xf numFmtId="0" fontId="15" fillId="0" borderId="0" xfId="0" applyFont="1" applyAlignment="1"/>
    <xf numFmtId="0" fontId="16" fillId="2" borderId="0" xfId="0" applyFont="1" applyFill="1">
      <alignment vertical="center"/>
    </xf>
    <xf numFmtId="0" fontId="17" fillId="2" borderId="0" xfId="0" applyFont="1" applyFill="1">
      <alignment vertical="center"/>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22" fillId="2" borderId="0" xfId="0" applyFont="1" applyFill="1" applyAlignment="1">
      <alignment vertical="center" wrapText="1"/>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26" fillId="2" borderId="0" xfId="0" applyFont="1" applyFill="1">
      <alignment vertical="center"/>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19" fillId="2" borderId="6" xfId="0" applyFont="1" applyFill="1" applyBorder="1">
      <alignment vertical="center"/>
    </xf>
    <xf numFmtId="0" fontId="13" fillId="2" borderId="8" xfId="0" applyFont="1" applyFill="1" applyBorder="1" applyAlignment="1">
      <alignment horizontal="center" vertical="center"/>
    </xf>
    <xf numFmtId="0" fontId="15" fillId="2" borderId="0" xfId="0" applyFont="1" applyFill="1" applyAlignment="1">
      <alignment horizontal="left" vertical="center" wrapText="1"/>
    </xf>
    <xf numFmtId="0" fontId="23" fillId="2" borderId="0" xfId="0" applyFont="1" applyFill="1" applyAlignment="1">
      <alignment horizontal="left" vertical="center"/>
    </xf>
    <xf numFmtId="0" fontId="11" fillId="2" borderId="0" xfId="0" applyFont="1" applyFill="1">
      <alignment vertical="center"/>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xf numFmtId="0" fontId="31" fillId="0" borderId="0" xfId="0" applyFont="1" applyAlignment="1">
      <alignment horizontal="left" vertical="center" wrapText="1"/>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9" xfId="0" applyFont="1" applyBorder="1" applyAlignment="1">
      <alignment horizontal="center" vertical="center" shrinkToFi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5" fillId="2" borderId="10" xfId="0" applyFont="1" applyFill="1" applyBorder="1" applyAlignment="1">
      <alignment horizontal="left" wrapText="1"/>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16" fillId="0" borderId="1" xfId="0" quotePrefix="1" applyFont="1" applyBorder="1" applyAlignment="1">
      <alignment horizontal="center" vertical="center" wrapText="1"/>
    </xf>
    <xf numFmtId="0" fontId="15" fillId="2" borderId="3" xfId="0" applyFont="1" applyFill="1" applyBorder="1" applyAlignment="1">
      <alignment horizontal="left" wrapText="1"/>
    </xf>
    <xf numFmtId="0" fontId="15" fillId="2" borderId="8" xfId="0" applyFont="1" applyFill="1" applyBorder="1" applyAlignment="1">
      <alignment horizontal="left"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13" fillId="0" borderId="1" xfId="0" applyFont="1" applyBorder="1" applyAlignment="1">
      <alignment horizontal="center" vertical="center"/>
    </xf>
    <xf numFmtId="0" fontId="13" fillId="0" borderId="11" xfId="0" applyFont="1" applyBorder="1" applyAlignment="1">
      <alignment horizontal="center" vertical="center"/>
    </xf>
    <xf numFmtId="0" fontId="15" fillId="2" borderId="0" xfId="0" applyFont="1" applyFill="1" applyAlignment="1">
      <alignment horizontal="left" wrapTex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13"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4"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6"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4"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3" fillId="0" borderId="6" xfId="0" applyFont="1" applyBorder="1" applyAlignment="1">
      <alignment horizontal="center" vertical="center" wrapText="1"/>
    </xf>
    <xf numFmtId="0" fontId="27" fillId="0" borderId="6" xfId="0" applyFont="1" applyBorder="1" applyAlignment="1">
      <alignment horizontal="center" vertical="center" wrapText="1"/>
    </xf>
    <xf numFmtId="0" fontId="23" fillId="0" borderId="1" xfId="0" applyFont="1" applyBorder="1" applyAlignment="1">
      <alignment horizontal="center" vertical="center" wrapText="1" shrinkToFit="1"/>
    </xf>
    <xf numFmtId="0" fontId="24" fillId="0" borderId="10" xfId="0" applyFont="1" applyBorder="1">
      <alignment vertical="center"/>
    </xf>
    <xf numFmtId="0" fontId="24" fillId="0" borderId="12" xfId="0" applyFont="1" applyBorder="1">
      <alignment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0" fillId="0" borderId="3" xfId="0" applyBorder="1">
      <alignment vertical="center"/>
    </xf>
    <xf numFmtId="0" fontId="0" fillId="0" borderId="4"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23" fillId="0" borderId="1" xfId="0" applyFont="1" applyBorder="1" applyAlignment="1">
      <alignment horizontal="center" vertical="center" shrinkToFi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 xfId="0" applyFont="1" applyBorder="1" applyAlignment="1">
      <alignment horizontal="center" vertical="center" shrinkToFit="1"/>
    </xf>
  </cellXfs>
  <cellStyles count="1">
    <cellStyle name="標準" xfId="0" builtinId="0"/>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513EEBF-5710-4B3C-8523-137F1E1D333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05F41B2-40EB-4FF5-BD42-054F4A94F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21E02F6-1ABB-42F7-8A2B-CD26004D03F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42ECEA4-869B-4443-B775-0169E84A341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934FDD43-B6AF-4620-9328-F2014D147ED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850C5E46-D9E7-4539-96F9-E6BCABC725F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BF0A703-D626-4002-912C-6CC5E09AFE8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705AFE0-7238-43C8-9759-DFE1F002331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4A864A7-FBD3-4146-B98B-51AA7CBEEFC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71238DFD-C5DD-4948-A99A-1063B285E4F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8C9785C3-2774-4EA1-A797-50206DD6699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98F3AB30-CF02-4681-8533-AAA99ED9CC5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A62D774D-36C0-41E7-A8C3-7F3DFA102BD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1AD7DA5A-B698-4ED6-95F4-8F7A9CF0E88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4C835D0-9F4A-43F6-B635-177C1C50B90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015EEE37-6415-4DD0-89C4-6DDCBD6CC3CF}"/>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2E3EB34-6370-4B43-A808-233B4348A4B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B83BA93-3307-4B86-9BA7-CC0A19F0DF8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C34D88C-CA5D-4E1C-A22D-C124C266530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8CF8341-69DB-455E-BDE9-270AE3DFF4B3}"/>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6DF24F6D-B525-4432-8545-004C6AD2BFC6}"/>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C3623AF-546F-43D4-9BB4-EACABA84EBE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DE26B43-CC5D-44DA-A59B-9422B1012E1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ACEC986-553D-4FF6-9A98-5BCBF5845DA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C799EE3-AC74-451C-84D9-9610B3F22C4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D7EB334-E15F-47CE-95A7-CE43111B235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A9E2EE5-BEED-44F5-BF1E-6620FD8252E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5BA2CF3-D9E1-4C20-84BB-EDA898F2EBC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4D190860-EA5D-4968-A30D-EFDB1318A53D}"/>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767D4D7-5421-4602-B545-388ABD82417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C46B058-BFB4-4960-8CCC-3E70077896D2}"/>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518CA4D-5226-4AFC-80C5-12F9D5A9675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F7353CA-2F2B-4687-89E9-3245EBF4B09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248A3D-567A-481C-BEA0-A455004941D9}"/>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D093573-F660-40F9-96BD-57E07D304408}"/>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5AFCDD9-AFCA-41EC-B43D-956FD045D9F7}"/>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C6C8205-67E6-4DC8-9813-FE030F450A6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C3B1A10-1634-4AC9-8719-190ECB881D0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8CD4B7DA-0117-4F69-AB32-FEE8C553B97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C88D994-3503-4CC5-9B90-90F0A2EA42F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D879ED9-CA1D-485B-AD30-2DF32D771BE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1431383F-3205-41E2-8240-482F1C4C074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99B5CCD-EDF4-4A5C-A536-E47789B8E28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46F255AC-E63C-4C87-B934-EE9766094B8A}"/>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06851B4-A761-448E-8A73-0D116CF2CC3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F34AAF46-C0CC-4DDA-87BB-6634C97BE396}"/>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F06A70C2-79DC-4407-B831-4B87954CCB2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5AD48DA3-CEFF-4BEC-8148-8E77B185936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660FC692-AB4B-4A1B-87BC-7BFBF90A62DC}"/>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CE6E3AB0-8F4A-4049-87A9-849644AE0207}"/>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86DA3CC-04D9-4A45-B4D3-24C3374075E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B029F0C-499B-439F-B64E-1807FF3E2AE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4EEDD6C-1458-46A4-BD36-02B000F7A54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6F05EFA1-2AA2-437D-BDEF-349CE00087D9}"/>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5C9942AD-247A-4C72-934F-A991C338811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E4A10BC-DAF3-4B52-92EB-81DE6F69016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85C10CD8-951E-4013-8DB1-D71E227C0469}"/>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AFE57E45-AB72-4D43-BF5C-353619BC55B5}"/>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4AE67A6-02D8-492B-A1E2-5A9E5DB3A42D}"/>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B5D1F524-C7A8-476E-9A01-9D8897537959}"/>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F32F8CF-4E39-4B9F-AAF2-8D64DB04AD26}"/>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2552852-0A9D-4ED9-9CB3-1D7405A9B05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F375B86-19AB-4C1C-A5A6-4FF32DFB87E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5D817D0-0EE8-45DA-9227-C4B094882C12}"/>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466E6BD-EBFF-4A7E-A6A2-3CDBB014F365}"/>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19DA7C6A-501A-4796-8F2D-6DD786BF4F9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313AA41-FA03-4927-ABF9-D4444ED46AD2}"/>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F327B71-7ACD-4411-9F8E-2D886CA2133E}"/>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090E5A8B-3DCD-40B0-B86B-9FD94FCE42E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03748CB-239F-4056-8B4B-CD111BFE3D3A}"/>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7E499C8-6D15-455B-A520-A61AA49C70F6}"/>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E15F71E-57FC-420E-91AE-D02FBAD272CE}"/>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9DDCAE3-9446-4626-813A-0211F10B72FC}"/>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DCB16492-11BB-4EFE-8B43-C630A53036C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EABB156-2D13-4673-83C9-1BB58F81990B}"/>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157C88D-A179-446A-83E9-35F4FE309D2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F76E486-7B56-4070-8B54-B61240B1981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2C51D07-0EA2-4A19-9424-B75BEA7C59B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79C9CD2B-A3E6-4D34-A2CB-FB6A75CB7D9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FE9A4DE-0730-4877-BFA8-9B469E78FAF2}"/>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B750D95-FB75-43A7-97CA-48827D4509B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5B30D85-F3F6-410C-8C7A-3D5D1A983AA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7C8AEA1-7849-4F90-A9B7-63CF60525A1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98A7EC9-0185-4A94-BA89-018B8832F4A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4649048-8E11-4DA9-A61E-1A831AD7881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39A77B9-6459-468D-9FD2-D4C23B73ABF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BAAD068-4445-42BF-B8A3-BFD9B8E487EF}"/>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9B98729E-D2F3-4453-B9D8-D972AD8B525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F4D3799D-126B-4938-9B6D-E8123F26023D}"/>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76B69D0-EE45-47D5-BB84-6C52AFC8C56F}"/>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A99E73E-7EE2-4E21-8C40-6D45E9FB7641}"/>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A3E81D2-EDB3-4075-AD2D-EE5D7A6E751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F69F88A-486E-493B-91A8-EA755B85E2D5}"/>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AFC5E85-8316-496A-B9FC-5B89A036161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28B26F2-BEEB-4583-8824-89D3B9E5A9C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D7251F3-7E85-410A-8F70-8A0C06EA2A2B}"/>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6C1F018-D750-4DD5-A758-7567E6D558BA}"/>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9BA199C4-71FC-41F9-9569-7CE24C33F8B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3B89CAC-CBEA-4F39-BC79-86F2E29466DC}"/>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1FA704D-D8AF-41E1-91C2-E626ED29A7A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4BF8BC0-7E3D-4338-9679-7E30F4E02A2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97E421C-A07F-45F1-AFA1-0C3723C3F75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1E7083C-15AA-4573-9CCA-B837489582B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F345470-1847-4364-9A75-39EA2735D50C}"/>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A6E64CA-962F-4E38-9417-24076052B8F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85512C0A-2551-4B7F-A40D-D9855CFD640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CF31EED-1906-43BD-8501-3941326AC07E}"/>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D64A620-6DF7-430C-A2D4-7BC51BB87BE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CF14F15-7DDC-4415-BB0F-C2AA42787FDE}"/>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0E25265-14F7-41C8-B57B-60F5A1412524}"/>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FC729C7-422C-4080-8031-AAE90F4024E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1EAB1D4-6113-4190-8565-A1ED9FBA62A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C161F74-1059-4ACC-8985-F7123DA676A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4E6E731-310E-4128-A36C-669D47FDDC36}"/>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A2EB8545-8422-4F7C-A375-7F04261DF585}"/>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62E8C34-30F8-4DBC-9F28-5C41ADB31F73}"/>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A07A18A-AFB5-44A0-99B7-7E4BA9C422C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BC6E37EA-8C6C-4086-A344-EE3F4AE60CE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FFE7A98-17B6-460C-A071-37AF0238A9B5}"/>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88E20B29-7BE1-45C2-8383-A6950B5BCB6B}"/>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47CB2A9-9623-4DFF-9F8B-317107BF3D0B}"/>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6D87B5B-698F-4B92-A8B1-6BEF987DA7F5}"/>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ED89E15-2570-4075-954A-232D8183C556}"/>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2FB6F6A-2213-4473-97D1-9AFAA10945BA}"/>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765B25C-224A-4061-953E-F90A45432BD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2F6F24C0-FEA2-4B2C-AF30-7502BD24205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8B7A914-91F4-472E-B1D0-585900927C3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991AC8C-EDD4-47B2-93F9-B69D0B65309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C3308E51-BE43-4FB0-9BD5-230376949D74}"/>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F1E9BEF-269A-4DB5-B0E3-1E7AC571942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892287D-8238-4A5F-BD37-C7D909D8E29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51AD574-E9EE-49FC-BC46-66ED8DAE172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838185C-050C-48EE-98C0-331E41364FE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27EB8996-7780-42F7-8C66-176983C552A4}"/>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6BAB7F6-E335-4C3B-B1E5-69B876A113F9}"/>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9117012-FE4E-4D6F-9934-26D6D49DDCE6}"/>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E0EDEAEE-E7CE-48C4-BB30-CEA555AE46D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A2C8BDA-04C1-4946-9A5A-219DA02372E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CBB2E846-398D-4BD1-A671-AF687252DC7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50042D75-8202-40DD-A3C6-E9C3CB488E19}"/>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F7C36A59-F881-4EA9-BE72-CCD0017F655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2FEBB71D-BB7F-498C-B90E-D89DB8690D63}"/>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EBDCDF58-1B8B-48AA-B63C-6480598DA6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1C88CFA-A409-4B1B-81AE-4098A4EDD93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6FFF857-AABA-4C88-8D84-F1BED10A18C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74F74A1-100C-4DC6-9FAA-50C630719E96}"/>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2039B796-DA83-4922-BA1B-8BDA22D5FDC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1535159-611C-4B9E-885F-2FBBF35693C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5BB6B127-B497-4033-A664-E7D998E6755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CF72FA0-070A-4FBC-BB5B-C63DCE1671D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540444F-8FD0-4AD0-97E0-A417325015A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8B7A962-7D31-4A77-9D2E-D3C63376ECA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D76A274-0040-4B82-B02E-EE80E89DDCB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C955F6A-EC88-4E6F-B25E-A1F89A6DA7C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C166181-C210-4EB9-8242-355252B0943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9C594DE-B7F3-4DD9-ACD0-E4EA6488424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9630909-84FA-4D1B-B250-0A952231D62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2B998F1-7D66-4338-8DC1-B774A5D1C4F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B91558BC-9FCB-4C77-B972-60F8D39EADE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9B3E756-ED12-464D-8C26-2D049D14CAB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8DDBB1C-C3E0-4D5C-A852-A1C46F4D29D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5CC415F2-0F6A-4CC5-AE55-9EE9B9FC924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B06141D9-6AFE-419F-A07C-287C3FE7991E}"/>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43D50A51-43D1-41E7-82D5-7FDD9363A6C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74C3834-FD8D-4DB8-9426-0A26F5131C05}"/>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E7CCC57-DFF5-4674-90AB-D303E3267CD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40A16411-7B98-4CB5-8CD1-0F437C02A11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13415186-D832-490C-B81A-B586A3FB381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DDF7088D-64AF-4061-B3D8-A1D9720A357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9625F48-44FD-482B-B189-8C6C181CADF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05672161-3773-4E0E-B44C-4BCCA3010BE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B9AF429E-4900-4D04-809B-B913D0DD1CD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292FF9F-2EB0-4D33-A3AF-733E74B865A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0AF6E35-5AC4-4294-BE7E-3164EC0AF955}"/>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37C69B2-D5C1-49FB-8C4D-96E8A4668DF6}"/>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9F3CCD3-C132-40CE-9EB5-7AF69D925FD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C9E2A3A-AA11-4695-8643-494CFEFA6AB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8D872F4-FA3E-4A41-BCCA-41FB76DB175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5509D869-9927-47E0-AF8A-3578E19E598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86CFCE-60FA-4AAB-A7BD-463E8779751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94D85157-30C8-40F1-9C1A-7BA1FC03C7C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AF8E59DE-4A87-48AF-AE92-282280879809}"/>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110CBEB-DD76-4F96-B618-2EE71FD050C6}"/>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B79E40D0-E327-444E-969D-783BF114885B}"/>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8D96074-1E90-40EB-90A4-6D23C16197B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BCD20CCD-0A91-45C7-8A71-E0892248BDE5}"/>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CC417CB-5C2D-404F-9C21-49370269349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3F6D550-3159-43EA-AB1A-AFD4FE1781B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E024E6C9-9D9D-447D-A57E-8B369DC539E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B896A15-F299-4908-8CBF-8D13FB55D568}"/>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FC843A7-E405-47F7-9399-254F7047B2F1}"/>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5024FA4-DF9B-406F-9F0C-5CC1EEA2457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31442900-9890-4C59-8EBA-D3F0EC7F8C36}"/>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EC675DB-461C-4288-9404-DCDD519D87F2}"/>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4D7C780-5DAB-4CAB-B91E-5090FCFE1B6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E979504-3AAB-4851-8B16-69A52C8141B6}"/>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4161A011-9E29-4988-B6D8-33B2450ACFE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CFD2C341-4B58-446E-85D6-0BA78C8E33F8}"/>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A68CA9E-A4E6-4965-9DF5-C28597BD0D2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4E6181F-64F8-43EF-906F-4642A8718EFD}"/>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0326542-DF8B-4944-919F-CD2B69C2F526}"/>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AD7AF4D-DCAE-4CA2-83F4-BEE07451BF4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226BD89-D815-4BEA-A8FD-5750C8B74FF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DF83F02E-CAA4-4065-B82F-B0B32B5F7621}"/>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19F2B50-62B3-4BEE-AED9-F2A0809D801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736B6AA-A840-40EE-9970-543A5845118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F6DB577-02B1-4667-9ECD-BD12BF9A808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E2D88BF-A9EB-457B-85B1-F969E081017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8FCB67E-AE17-4F69-BCF7-AF2072C13833}"/>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2582828E-BDEF-4148-B834-C436AA171B7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DBE918F-2E9D-469D-B46D-94FF9A3CEE21}"/>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5AF20BB-5A84-4C5C-9E37-1935DA888A6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5721FD26-7882-4179-8FD7-949F5C20E447}"/>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450D162A-3BDD-4F6E-935A-98CD9174D71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BA98440D-A05A-4DE9-A7B1-884CD06BE713}"/>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FBDC7F2-C624-43C8-8F87-FE68D697A76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EEBCF099-96A0-4740-9CE4-7EA81DE8979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306803C-4D4F-4258-BD6F-9301313A7A5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BE1B91D4-07A8-4D5E-A6EB-449469CD4F35}"/>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79D42652-8863-477D-9D63-B6D7B45F4D3E}"/>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C2CA6C2D-395D-4438-B4E7-948B7C85C472}"/>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B475744-4496-459F-8E6D-C8C991C2ED12}"/>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263AAC89-671B-4D58-94EB-ACF109F2894A}"/>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E206C661-7149-430A-A6B6-BD5563C9B58E}"/>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FA297B6-2C45-4A6C-874F-93E82C5588BE}"/>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5427BCE-EE1F-49B4-9F0D-0358E43DCFC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33CBAB04-F8AA-4BCB-BB7F-DC4022707CD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9C351CD-AF71-4E6F-8965-66309CAFCB31}"/>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D2C38E3-7642-45BA-B40B-8F027B90DC7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6169621-302B-4542-8616-FA87C7B4C153}"/>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A09D5517-9CA4-46B4-B110-3CC36CA04584}"/>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337C0072-8B67-4870-AE90-0D481FBB898A}"/>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A8ECEF13-F709-445D-A845-E3E66EAD246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EE6FF329-AA07-4977-84D7-C540EC23FE8F}"/>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C6A23AF-ABEA-45B5-A7DA-B9AFED0D8D81}"/>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D23ED2B-FA28-417B-A83F-65FA152A5A0B}"/>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A2227691-62E2-49FA-AA47-5C21F8402EC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2996C3B-5D14-4CCB-BF9A-92E0E21F82B8}"/>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9B7230C-7849-4486-AA12-EB51CC6DC84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9861438-59D8-4E07-8CC0-4FF7C48185E5}"/>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D2223B6-304E-4A79-8889-99A417070DCB}"/>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52962961-963D-4CC4-98ED-5C3C69ACED8A}"/>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0F1376B-9D7B-4D7F-91FF-FD301B780B7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3161CE8E-139A-4CA4-9DC7-E73B8CC53CEA}"/>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3CEFB5C6-6C74-4BA5-BCCC-45F6DA6DEB3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E39514D-FE57-43D8-9F48-2636333EA1F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37DCE9B-A8B0-4A60-8D1D-C92223EB1FA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C3B1ACD-E141-49A7-A32E-F3A2E53881F3}"/>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BB1F25CC-053E-4833-9DA8-CFA18374DA37}"/>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257D8823-2E98-4952-8FDA-9471CE6DE958}"/>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FEBEFCA-8FAE-4D16-8444-C0FA7109ED85}"/>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349058A-FA27-434E-8B04-A929D187E7A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F916B868-15AC-47E2-9C68-A3FF57651DC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B87658D8-B86F-41C4-A442-6A5116E08317}"/>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4D705EB-4526-496B-AB92-136C798078D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2645A78-D4AC-43EE-A35F-E3F49F229DC7}"/>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9BA8E57-D55E-4F81-9393-E5298BAB49D8}"/>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F499E20-7A74-4B93-BDC9-FE5A5134CE35}"/>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64977D2-7279-4500-BD9E-EC7AD3F4CE4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13C80226-CDA7-41A7-8EBD-C6C38807F327}"/>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95CB8907-8799-432E-A63D-95C49698BFEE}"/>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BEC635F-3470-4C93-A4A7-A96DC2CE6D2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F40CA02E-9204-46AC-8F81-4F81F6AC7A56}"/>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A5C54E6-DE80-4C38-AED8-B38D8698898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60CCDCA6-A7AF-4F35-A61F-58A842892FD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CD0A50C-4F81-4D76-BFBF-741E95BA95D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C0B44BD-E204-4AD2-A440-1BEFCD043B59}"/>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AE5CE5BD-3050-4C2A-B3C1-7F1D2A22F36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77736BD0-4DC5-4EDF-8EEB-1A565F3E90FF}"/>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9F632C9D-9C32-4112-809B-DD30C687FFFC}"/>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D2EB50C2-82AD-4221-896D-81C40FFC99B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8F1405A-733E-4ADC-AE59-D137D755F17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6771A3C-884E-4B19-92B4-EA42C2B267E1}"/>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83601EA5-CDBD-469B-9070-898751EE758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22E6550-11BD-4C81-89A1-82101B3C86D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C68F32E-97B5-4264-AD3D-60059146D95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114742B-B5E9-476D-AE73-14230E661C4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DB8D8CE-DEDD-4EE0-8C30-B3B18B4CFE2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AA043543-9094-498B-A967-077CD8A576D5}"/>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8B74610-98A8-4756-8F68-C8FF5F90454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1883CA9-D4DE-406B-A180-A5CC570E6FF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C4F39A1D-5397-49B3-B9DB-3E6AAE47D20A}"/>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3EEF36F-EDE3-409D-A03E-6FD6BB64F853}"/>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F734C27F-1B99-4BD3-9FE7-9B670A6B140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43347EAC-4B15-4867-8BA1-EE68692AC0C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B35DF2E-EBF3-4D65-A414-D0FDD9CA9EA1}"/>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29481BA-638D-42AF-8C2E-8D963BD42C5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36E63611-FA69-4912-B528-F32DEEAFC6BF}"/>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0AA6CD5-CDDC-4EF0-99E6-562D3E6F4C3C}"/>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A3C1A57-0C89-420E-AFC2-EB30EED4261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FAE9D037-67AB-4259-B1E0-7AD74A42828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F65610E-65E9-47FD-A576-4042A695136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912F7C2-9BAB-434E-8150-1E00EABB3F6C}"/>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521E48E-1901-4575-9FC7-5ABCD4D78741}"/>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6F6EE3A-1D86-4E43-B421-72111D491BA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7C777BD-63A0-4C2E-BFCF-A07905E8092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2F0B3D7-CAE6-4E83-90E8-FF704CBB254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38E7748-E3C1-41E8-8038-1585341BEBF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42A9697-24F4-4AD5-BCEF-432643FB57F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42A0255D-891A-4833-A55C-B3346C6ECEBC}"/>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40D6450-C0E3-41D2-A34F-1F432D89DB09}"/>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631DE2D-1EC9-45DC-87D5-71DE30554EA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169091C-BFF8-40D8-A861-077C4728210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817C6B5-353B-4FDE-AC6F-D6FC58992716}"/>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272E362-F1FF-4707-B4D8-B347ACDEA1F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DA6E2EC-8426-4F57-A6AF-E527EDEE6D89}"/>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2CB60F9-B5A1-47CF-A45B-9F3BB3C81D9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2F22B622-7207-4E62-8CE2-BA518E3DA49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D8D6BB9C-0B57-467E-A41A-215AF0FFBDE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8970F2C7-0993-45A8-8536-64BC6738DF5C}"/>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CC0E81DC-37AF-421A-96D5-3971252CEC9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64F95898-4A28-44C3-94C7-B337E0C04F56}"/>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D1EFCC4-47E4-4A76-B268-E79060CD6D9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5A391A87-38CA-461A-B4D6-6A5581B95FCB}"/>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29FAD7A-2AAD-48A5-9FC6-4E74A75A0E8B}"/>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37701A7A-464A-4280-A3FD-D0C72B255E7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12BC7373-D50D-437B-A1C9-91A17C0A0638}"/>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684EE354-43A8-4CF1-A575-859A8EA428F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2CF425C1-68E9-4496-BBDE-8834B3A021F7}"/>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88B7BF7-CBBF-4357-B385-B25E03D712F9}"/>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9D1906F5-6E31-4B49-84AC-83A3C825D7DE}"/>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DE48880-3793-418F-9017-EE8C3A37C46C}"/>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C9931272-E831-4282-9C70-B7C37C0CCAF4}"/>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B300284-22A0-4BA0-932C-5C4BE1976DD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840FA3F9-E31C-4797-BC24-F9F3384F428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19979;&#27700;&#36947;&#20107;&#26989;&#12539;&#20844;&#20849;&#19979;&#27700;&#36947;&#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0844;&#35373;&#21368;&#22770;&#24066;&#22580;&#20107;&#2698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39376;&#36554;&#22580;&#20107;&#2698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30149;&#38498;&#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7700;&#36947;&#20107;&#2698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20462;&#9675;03_&#35519;&#26619;&#31080;&#65288;&#22823;&#39208;&#24066;&#12539;&#19979;&#27700;&#36947;&#20107;&#26989;&#12539;&#29305;&#29872;&#19979;&#27700;&#3694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19979;&#27700;&#36947;&#20107;&#26989;&#12539;&#25144;&#2102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19979;&#27700;&#36947;&#20107;&#26989;&#12539;&#36786;&#38598;&#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0171;&#35703;&#12469;&#12540;&#12499;&#12473;&#20107;&#26989;&#12539;&#25351;&#23450;&#20171;&#3570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0171;&#35703;&#12469;&#12540;&#12499;&#12473;&#20107;&#26989;&#12539;&#32769;&#20154;&#12487;&#12452;&#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0171;&#35703;&#12469;&#12540;&#12499;&#12473;&#20107;&#26989;&#12539;&#32769;&#20154;&#30701;&#2639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31777;&#26131;&#27700;&#36947;&#20107;&#2698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04%20&#22823;&#39208;&#24066;&#9675;\&#9675;03_&#35519;&#26619;&#31080;&#65288;&#22823;&#39208;&#24066;&#12539;&#24037;&#26989;&#29992;&#27700;&#36947;&#20107;&#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下水道事業</v>
          </cell>
          <cell r="W17" t="str">
            <v>公共下水道</v>
          </cell>
          <cell r="BD17" t="str">
            <v>×</v>
          </cell>
        </row>
        <row r="19">
          <cell r="F19" t="str">
            <v>ー</v>
          </cell>
        </row>
        <row r="43">
          <cell r="X43" t="str">
            <v xml:space="preserve"> </v>
          </cell>
          <cell r="AA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6">
          <cell r="Y196" t="str">
            <v xml:space="preserve"> </v>
          </cell>
        </row>
        <row r="198">
          <cell r="Y198" t="str">
            <v xml:space="preserve"> </v>
          </cell>
        </row>
        <row r="199">
          <cell r="Y199" t="str">
            <v xml:space="preserve"> </v>
          </cell>
        </row>
        <row r="201">
          <cell r="Y201" t="str">
            <v xml:space="preserve"> </v>
          </cell>
        </row>
        <row r="202">
          <cell r="Y202" t="str">
            <v xml:space="preserve"> </v>
          </cell>
        </row>
        <row r="207">
          <cell r="Y207" t="str">
            <v xml:space="preserve"> </v>
          </cell>
        </row>
        <row r="208">
          <cell r="Y208" t="str">
            <v xml:space="preserve"> </v>
          </cell>
        </row>
        <row r="223">
          <cell r="B223" t="str">
            <v>　し尿受入施設を下水道終末処理場の大館処理センター敷地内に建設し、搬入されたし尿等を大館処理センターの汚泥処理系と共同処理をし、発生した脱水汚泥は秋田県の県北地区広域汚泥資源化施設で資源化する。これにより、現在の同等施設の更新建設事業費等と比較すると900百万円の削減が見込まれるほか、維持管理費等も70百万円/年の削減が見込まれ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2">
          <cell r="Y262" t="str">
            <v xml:space="preserve"> </v>
          </cell>
        </row>
        <row r="264">
          <cell r="Y264" t="str">
            <v xml:space="preserve"> </v>
          </cell>
        </row>
        <row r="265">
          <cell r="Y265" t="str">
            <v xml:space="preserve"> </v>
          </cell>
        </row>
        <row r="267">
          <cell r="Y267" t="str">
            <v xml:space="preserve"> </v>
          </cell>
        </row>
        <row r="268">
          <cell r="Y268" t="str">
            <v>●</v>
          </cell>
        </row>
        <row r="273">
          <cell r="Y273" t="str">
            <v>●</v>
          </cell>
        </row>
        <row r="274">
          <cell r="Y274" t="str">
            <v xml:space="preserve"> </v>
          </cell>
        </row>
        <row r="275">
          <cell r="Y275" t="str">
            <v xml:space="preserve"> </v>
          </cell>
        </row>
        <row r="278">
          <cell r="B278" t="str">
            <v>令和</v>
          </cell>
          <cell r="E278">
            <v>6</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市場事業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現行の経営体制・手法で健全な事業運営が実施できているため。
　現状の事業規模と将来的な規模拡大の可能性を鑑み、抜本的な改革の検討に至らないため。</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駐車場整備事業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特別会計を設置して公設駐車場の運営及び建設事業債の償還を行っていたが、事業廃止後に施設の管理方法を見直したことで管理運営費△4,369千円（H26年度3月補正予算後予算額とR3年度当初予算額対比）となった。</v>
          </cell>
        </row>
        <row r="65">
          <cell r="G65" t="str">
            <v>●</v>
          </cell>
          <cell r="S65" t="str">
            <v>平成</v>
          </cell>
          <cell r="V65">
            <v>27</v>
          </cell>
        </row>
        <row r="66">
          <cell r="G66" t="str">
            <v xml:space="preserve"> </v>
          </cell>
          <cell r="V66">
            <v>3</v>
          </cell>
        </row>
        <row r="67">
          <cell r="V67">
            <v>31</v>
          </cell>
        </row>
        <row r="71">
          <cell r="O71" t="str">
            <v xml:space="preserve"> </v>
          </cell>
          <cell r="AG71" t="str">
            <v xml:space="preserve"> </v>
          </cell>
        </row>
        <row r="72">
          <cell r="O72" t="str">
            <v xml:space="preserve"> </v>
          </cell>
          <cell r="AG72" t="str">
            <v>●</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病院事業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扇田病院の患者数の減少等による経営状況の悪化から資金不足が発生しており、現行の体制では収益の改善は難しく、施設の老朽化も進んでいることから、現在経営層で構成される「経営戦略会議」において将来の方向性を協議中であ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 xml:space="preserve"> </v>
          </cell>
          <cell r="AD45" t="str">
            <v>●</v>
          </cell>
        </row>
        <row r="46">
          <cell r="R46" t="str">
            <v xml:space="preserve"> </v>
          </cell>
          <cell r="X46" t="str">
            <v xml:space="preserve"> </v>
          </cell>
          <cell r="AA46" t="str">
            <v xml:space="preserve"> </v>
          </cell>
          <cell r="AD46" t="str">
            <v xml:space="preserve"> </v>
          </cell>
        </row>
        <row r="47">
          <cell r="R47" t="str">
            <v>●</v>
          </cell>
          <cell r="X47" t="str">
            <v xml:space="preserve"> </v>
          </cell>
          <cell r="AA47" t="str">
            <v xml:space="preserve"> </v>
          </cell>
          <cell r="AD47" t="str">
            <v>●</v>
          </cell>
        </row>
        <row r="48">
          <cell r="R48" t="str">
            <v>●</v>
          </cell>
          <cell r="X48" t="str">
            <v xml:space="preserve"> </v>
          </cell>
          <cell r="AA48" t="str">
            <v xml:space="preserve"> </v>
          </cell>
          <cell r="AD48" t="str">
            <v>●</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289">
          <cell r="B289" t="str">
            <v>平成２９年３月３１日に簡易水道を統合した水道事業における他市町村との経営面などソフト部門の統合</v>
          </cell>
        </row>
        <row r="295">
          <cell r="B295" t="str">
            <v>県が策定した「秋田県水道ビジョン」を基に検討している。</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392">
          <cell r="B392" t="str">
            <v>料金等徴収業務</v>
          </cell>
        </row>
        <row r="398">
          <cell r="B398" t="str">
            <v>徴収料金の適正な管理や会計システムとの連携</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439" t="str">
            <v>コンセッション方式の導入</v>
          </cell>
          <cell r="BC439" t="str">
            <v>　</v>
          </cell>
        </row>
        <row r="445">
          <cell r="B445" t="str">
            <v>研修会に参加するなど情報収集に努めているが、デメリットなど水道事業の不利益が生じないかを含めて慎重に検討している。</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下水道事業</v>
          </cell>
          <cell r="W17" t="str">
            <v>特定環境保全公共下水道</v>
          </cell>
          <cell r="BD17" t="str">
            <v>×</v>
          </cell>
        </row>
        <row r="19">
          <cell r="F19" t="str">
            <v>ー</v>
          </cell>
        </row>
        <row r="43">
          <cell r="X43" t="str">
            <v xml:space="preserve"> </v>
          </cell>
          <cell r="AA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v>
          </cell>
          <cell r="X48" t="str">
            <v>●</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6">
          <cell r="Y196" t="str">
            <v xml:space="preserve"> </v>
          </cell>
        </row>
        <row r="198">
          <cell r="Y198" t="str">
            <v xml:space="preserve"> </v>
          </cell>
        </row>
        <row r="199">
          <cell r="Y199" t="str">
            <v xml:space="preserve"> </v>
          </cell>
        </row>
        <row r="201">
          <cell r="Y201" t="str">
            <v xml:space="preserve"> </v>
          </cell>
        </row>
        <row r="202">
          <cell r="Y202" t="str">
            <v xml:space="preserve"> </v>
          </cell>
        </row>
        <row r="207">
          <cell r="Y207" t="str">
            <v xml:space="preserve"> </v>
          </cell>
        </row>
        <row r="208">
          <cell r="Y208" t="str">
            <v xml:space="preserve"> </v>
          </cell>
        </row>
        <row r="223">
          <cell r="B223" t="str">
            <v>　真中地区農業集落排水施設の終末処理場の老朽化に伴い大館処理区の終末処理場へ接続管等を整備する。現在の同等施設の更新建設事業費と大館処理区終末処理場への接続管渠等の整備事業と比較すると220百万円の削減が見込まれるほか、維持管理費等も6百万円/年の削減が見込まれ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4">
          <cell r="Y264" t="str">
            <v xml:space="preserve"> </v>
          </cell>
        </row>
        <row r="265">
          <cell r="Y265" t="str">
            <v xml:space="preserve"> </v>
          </cell>
        </row>
        <row r="266">
          <cell r="Y266" t="str">
            <v>●</v>
          </cell>
        </row>
        <row r="267">
          <cell r="Y267" t="str">
            <v xml:space="preserve"> </v>
          </cell>
        </row>
        <row r="274">
          <cell r="Y274" t="str">
            <v xml:space="preserve"> </v>
          </cell>
        </row>
        <row r="275">
          <cell r="Y275" t="str">
            <v xml:space="preserve"> </v>
          </cell>
        </row>
        <row r="278">
          <cell r="B278" t="str">
            <v>令和</v>
          </cell>
          <cell r="E278">
            <v>4</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1">
          <cell r="B411" t="str">
            <v>　大館市川口・立花地区の公共下水道未普及解消事業（管渠整備）においてＰＰＰ手法を導入し早期の完成を目指す。
 総事業費で10％の縮減、工事は約１．３倍程度のスピードが可能となるため工期短縮効果がある。</v>
          </cell>
        </row>
        <row r="417">
          <cell r="S417" t="str">
            <v>令和</v>
          </cell>
          <cell r="V417">
            <v>1</v>
          </cell>
        </row>
        <row r="418">
          <cell r="V418">
            <v>5</v>
          </cell>
          <cell r="BC418" t="str">
            <v>　</v>
          </cell>
        </row>
        <row r="419">
          <cell r="V419">
            <v>28</v>
          </cell>
          <cell r="BC419" t="str">
            <v>　</v>
          </cell>
        </row>
        <row r="420">
          <cell r="BC420" t="str">
            <v>　</v>
          </cell>
        </row>
        <row r="421">
          <cell r="BC421" t="str">
            <v>●</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下水道事業</v>
          </cell>
          <cell r="W17" t="str">
            <v>特定地域排水処理施設</v>
          </cell>
          <cell r="BD17" t="str">
            <v>×</v>
          </cell>
        </row>
        <row r="19">
          <cell r="F19" t="str">
            <v>ー</v>
          </cell>
        </row>
        <row r="43">
          <cell r="R43" t="str">
            <v>●</v>
          </cell>
          <cell r="X43" t="str">
            <v xml:space="preserve"> </v>
          </cell>
          <cell r="AA43" t="str">
            <v xml:space="preserve"> </v>
          </cell>
          <cell r="AD43" t="str">
            <v>●</v>
          </cell>
        </row>
        <row r="44">
          <cell r="R44" t="str">
            <v>●</v>
          </cell>
          <cell r="X44" t="str">
            <v xml:space="preserve"> </v>
          </cell>
          <cell r="AA44" t="str">
            <v xml:space="preserve"> </v>
          </cell>
          <cell r="AD44" t="str">
            <v>●</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99">
          <cell r="B99" t="str">
            <v xml:space="preserve">当市の特定地域生活排水処理地域の町設置浄化槽について、合併した際、他の市町は、設置費補助としてきたが1町だけ町設置浄化槽としていたため、農集の廃止が進んできた際、浄化槽を民間譲渡し事業廃止を検討
</v>
          </cell>
        </row>
        <row r="104">
          <cell r="B104" t="str">
            <v>現在、法定検査実施率９割以上であるが、民間譲渡することにより実施率が低下する。機器の更新の際に残価設定・補助対応について検討が必要</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40">
          <cell r="B140" t="str">
            <v>当市の特定地域生活排水処理地域の町設置浄化槽について、合併した際、他の市町は、設置費補助としてきたが1町だけ町設置浄化槽としていたため、農集の廃止が進んできた際、浄化槽の民間譲渡を検討</v>
          </cell>
        </row>
        <row r="146">
          <cell r="B146" t="str">
            <v>現在、法定検査実施率９割以上であるが、民間譲渡することにより実施率が低下する。機器の更新の際に残価設定・補助対応について検討が必要</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下水道事業</v>
          </cell>
          <cell r="W17" t="str">
            <v>農業集落排水施設</v>
          </cell>
          <cell r="BD17" t="str">
            <v>×</v>
          </cell>
        </row>
        <row r="19">
          <cell r="F19" t="str">
            <v>ー</v>
          </cell>
        </row>
        <row r="43">
          <cell r="R43" t="str">
            <v>●</v>
          </cell>
          <cell r="X43" t="str">
            <v xml:space="preserve"> </v>
          </cell>
          <cell r="AA43" t="str">
            <v xml:space="preserve"> </v>
          </cell>
          <cell r="AD43" t="str">
            <v>●</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99">
          <cell r="B99" t="str">
            <v xml:space="preserve">当市の農集地域、11箇所のうち、10地区について公共接続、残り1地区については、集合処理浄化槽転換を検討している。
</v>
          </cell>
        </row>
        <row r="104">
          <cell r="B104" t="str">
            <v>10地区について公共接続・処理場廃止としているが、生活排水処理整備構想で、平面地図上だけの検討のため３次元的に接続予定箇所の検討が必要</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6">
          <cell r="Y196" t="str">
            <v xml:space="preserve"> </v>
          </cell>
        </row>
        <row r="198">
          <cell r="Y198" t="str">
            <v xml:space="preserve"> </v>
          </cell>
        </row>
        <row r="199">
          <cell r="Y199" t="str">
            <v xml:space="preserve"> </v>
          </cell>
        </row>
        <row r="201">
          <cell r="Y201" t="str">
            <v xml:space="preserve"> </v>
          </cell>
        </row>
        <row r="202">
          <cell r="Y202" t="str">
            <v xml:space="preserve"> </v>
          </cell>
        </row>
        <row r="207">
          <cell r="Y207" t="str">
            <v xml:space="preserve"> </v>
          </cell>
        </row>
        <row r="208">
          <cell r="Y208" t="str">
            <v xml:space="preserve"> </v>
          </cell>
        </row>
        <row r="223">
          <cell r="B223" t="str">
            <v>10地区について公共接続・処理場廃止とし、流域処理場への流入処理を予定・検討している。うち真中地区の統合事業が実施予定で、公共接続により、農業集落排水事業で行う場合に比べて年間3,465千円の管理費減少が見込まれる。他９地区は計画段階。</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v>
          </cell>
        </row>
        <row r="267">
          <cell r="Y267" t="str">
            <v xml:space="preserve"> </v>
          </cell>
        </row>
        <row r="268">
          <cell r="Y268" t="str">
            <v xml:space="preserve"> </v>
          </cell>
        </row>
        <row r="273">
          <cell r="Y273" t="str">
            <v xml:space="preserve"> </v>
          </cell>
        </row>
        <row r="274">
          <cell r="Y274" t="str">
            <v xml:space="preserve"> </v>
          </cell>
        </row>
        <row r="275">
          <cell r="Y275" t="str">
            <v>●</v>
          </cell>
        </row>
        <row r="278">
          <cell r="B278" t="str">
            <v>令和</v>
          </cell>
          <cell r="E278">
            <v>4</v>
          </cell>
        </row>
        <row r="279">
          <cell r="E279">
            <v>4</v>
          </cell>
        </row>
        <row r="280">
          <cell r="E280">
            <v>1</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介護サービス事業</v>
          </cell>
          <cell r="W17" t="str">
            <v>指定介護老人福祉施設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v>
          </cell>
          <cell r="X44" t="str">
            <v xml:space="preserve"> </v>
          </cell>
          <cell r="AA44" t="str">
            <v xml:space="preserve"> </v>
          </cell>
          <cell r="AD44" t="str">
            <v>●</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40">
          <cell r="B140" t="str">
            <v>大館市介護保険事業計画第９期中で民間への譲渡も検討している。
公共施設等総合管理計画を策定し、議会への報告、ホームページで公開済み。</v>
          </cell>
        </row>
        <row r="146">
          <cell r="B146" t="str">
            <v>令和６年４月を目途に譲渡することで検討。
施設の老朽化もあり、経費が増大しないよう譲渡方法を検討している。</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特別養護老人ホーム（定員１１０人）の管理・運営
住民サービスの充実、介護サービスの質の向上が図られた。</v>
          </cell>
        </row>
        <row r="313">
          <cell r="G313" t="str">
            <v xml:space="preserve"> </v>
          </cell>
          <cell r="U313" t="str">
            <v>平成</v>
          </cell>
          <cell r="X313">
            <v>18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介護サービス事業</v>
          </cell>
          <cell r="W17" t="str">
            <v>老人デイサービスセンター</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v>
          </cell>
          <cell r="X44" t="str">
            <v xml:space="preserve"> </v>
          </cell>
          <cell r="AA44" t="str">
            <v xml:space="preserve"> </v>
          </cell>
          <cell r="AD44" t="str">
            <v>●</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40">
          <cell r="B140" t="str">
            <v>大館市介護保険事業計画第９期中で民間への譲渡も検討している。
公共施設等総合管理計画を策定し、議会への報告、ホームページで公開済み。</v>
          </cell>
        </row>
        <row r="146">
          <cell r="B146" t="str">
            <v>「大館市デイサービスセンター大滝」については、令和６年４月を目途に譲渡することで検討。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老人デイサービスセンター（デイサービスセンターかつら：定員２５人、デイサービスセンター大滝：定員３５人）の管理・運営
住民サービスの充実、介護サービスの質の向上が図られた。</v>
          </cell>
        </row>
        <row r="313">
          <cell r="G313" t="str">
            <v xml:space="preserve"> </v>
          </cell>
          <cell r="U313" t="str">
            <v>平成</v>
          </cell>
          <cell r="X313">
            <v>18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介護サービス事業</v>
          </cell>
          <cell r="W17" t="str">
            <v>老人短期入所施設</v>
          </cell>
          <cell r="BD17" t="str">
            <v>●</v>
          </cell>
        </row>
        <row r="19">
          <cell r="F19" t="str">
            <v>介護サービス事業特別会計</v>
          </cell>
        </row>
        <row r="43">
          <cell r="R43" t="str">
            <v xml:space="preserve"> </v>
          </cell>
          <cell r="X43" t="str">
            <v xml:space="preserve"> </v>
          </cell>
          <cell r="AA43" t="str">
            <v xml:space="preserve"> </v>
          </cell>
          <cell r="AD43" t="str">
            <v xml:space="preserve"> </v>
          </cell>
        </row>
        <row r="44">
          <cell r="R44" t="str">
            <v>●</v>
          </cell>
          <cell r="X44" t="str">
            <v xml:space="preserve"> </v>
          </cell>
          <cell r="AA44" t="str">
            <v xml:space="preserve"> </v>
          </cell>
          <cell r="AD44" t="str">
            <v>●</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40">
          <cell r="B140" t="str">
            <v>大館市介護保険事業計画第９期中で民間への譲渡も検討している。
公共施設等総合管理計画を策定し、議会への報告、ホームページで公開済み。</v>
          </cell>
        </row>
        <row r="146">
          <cell r="B146" t="str">
            <v>令和６年４月を目途に譲渡することで検討。
施設の老朽化もあり、経費が増大しないよう譲渡方法を検討している。</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老人短期入所施設（定員１０人）の管理・運営
住民サービスの充実、介護サービスの質の向上が図られた。</v>
          </cell>
        </row>
        <row r="313">
          <cell r="G313" t="str">
            <v xml:space="preserve"> </v>
          </cell>
          <cell r="U313" t="str">
            <v>平成</v>
          </cell>
          <cell r="X313">
            <v>18</v>
          </cell>
        </row>
        <row r="314">
          <cell r="G314" t="str">
            <v>●</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簡易水道事業</v>
          </cell>
          <cell r="W17" t="str">
            <v>―</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上水道と簡易水道に分かれていたため契約や決算など事務処理が繁雑であったが、統合したことにより迅速に処理できるようになった。</v>
          </cell>
        </row>
        <row r="65">
          <cell r="G65" t="str">
            <v>●</v>
          </cell>
          <cell r="S65" t="str">
            <v>平成</v>
          </cell>
          <cell r="V65">
            <v>29</v>
          </cell>
        </row>
        <row r="66">
          <cell r="G66" t="str">
            <v xml:space="preserve"> </v>
          </cell>
          <cell r="V66">
            <v>3</v>
          </cell>
        </row>
        <row r="67">
          <cell r="V67">
            <v>31</v>
          </cell>
        </row>
        <row r="71">
          <cell r="O71" t="str">
            <v xml:space="preserve"> </v>
          </cell>
          <cell r="AG71" t="str">
            <v>●</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大館市</v>
          </cell>
        </row>
        <row r="17">
          <cell r="F17" t="str">
            <v>工業用水道事業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現行の経営体制・手法で健全な事業運営が実施できているため大きな改革の予定はなし。
今後の方向性
①専門的な知識や技術を持った人材の育成とその知識や技術を継承していくために研修等を実施し、安全性を強化する。
②逓減型従量制料金制度による安価な料金体制を継続することで企業誘致に貢献し、収益の増加を図る。</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5131-C7CE-42EE-8553-C34D2BC6DD37}">
  <sheetPr>
    <pageSetUpPr fitToPage="1"/>
  </sheetPr>
  <dimension ref="A1:CN315"/>
  <sheetViews>
    <sheetView showZeros="0" tabSelected="1" view="pageBreakPreview" zoomScale="60" zoomScaleNormal="55" workbookViewId="0">
      <selection activeCell="V35" sqref="V3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IF(COUNTIF([13]回答表!K15,"*")&gt;0,[13]回答表!K15,"")</f>
        <v>大館市</v>
      </c>
      <c r="D11" s="299"/>
      <c r="E11" s="299"/>
      <c r="F11" s="299"/>
      <c r="G11" s="299"/>
      <c r="H11" s="299"/>
      <c r="I11" s="299"/>
      <c r="J11" s="299"/>
      <c r="K11" s="299"/>
      <c r="L11" s="299"/>
      <c r="M11" s="299"/>
      <c r="N11" s="299"/>
      <c r="O11" s="299"/>
      <c r="P11" s="299"/>
      <c r="Q11" s="299"/>
      <c r="R11" s="299"/>
      <c r="S11" s="299"/>
      <c r="T11" s="299"/>
      <c r="U11" s="306" t="str">
        <f>IF(COUNTIF([13]回答表!F17,"*")&gt;0,[13]回答表!F17,"")</f>
        <v>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IF(COUNTIF([13]回答表!W17,"*")&gt;0,[13]回答表!W17,"")</f>
        <v>―</v>
      </c>
      <c r="AP11" s="301"/>
      <c r="AQ11" s="301"/>
      <c r="AR11" s="301"/>
      <c r="AS11" s="301"/>
      <c r="AT11" s="301"/>
      <c r="AU11" s="301"/>
      <c r="AV11" s="301"/>
      <c r="AW11" s="301"/>
      <c r="AX11" s="301"/>
      <c r="AY11" s="301"/>
      <c r="AZ11" s="301"/>
      <c r="BA11" s="301"/>
      <c r="BB11" s="301"/>
      <c r="BC11" s="301"/>
      <c r="BD11" s="301"/>
      <c r="BE11" s="301"/>
      <c r="BF11" s="302"/>
      <c r="BG11" s="305" t="str">
        <f>IF(COUNTIF([13]回答表!F19,"*")&gt;0,[13]回答表!F19,"")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IF([13]回答表!R43="●","●","")</f>
        <v/>
      </c>
      <c r="E24" s="123"/>
      <c r="F24" s="123"/>
      <c r="G24" s="123"/>
      <c r="H24" s="123"/>
      <c r="I24" s="123"/>
      <c r="J24" s="124"/>
      <c r="K24" s="122" t="str">
        <f>IF([13]回答表!R44="●","●","")</f>
        <v/>
      </c>
      <c r="L24" s="123"/>
      <c r="M24" s="123"/>
      <c r="N24" s="123"/>
      <c r="O24" s="123"/>
      <c r="P24" s="123"/>
      <c r="Q24" s="124"/>
      <c r="R24" s="122" t="str">
        <f>IF([13]回答表!R45="●","●","")</f>
        <v>●</v>
      </c>
      <c r="S24" s="123"/>
      <c r="T24" s="123"/>
      <c r="U24" s="123"/>
      <c r="V24" s="123"/>
      <c r="W24" s="123"/>
      <c r="X24" s="124"/>
      <c r="Y24" s="122" t="str">
        <f>IF([13]回答表!R46="●","●","")</f>
        <v/>
      </c>
      <c r="Z24" s="123"/>
      <c r="AA24" s="123"/>
      <c r="AB24" s="123"/>
      <c r="AC24" s="123"/>
      <c r="AD24" s="123"/>
      <c r="AE24" s="124"/>
      <c r="AF24" s="122" t="str">
        <f>IF([13]回答表!R47="●","●","")</f>
        <v>●</v>
      </c>
      <c r="AG24" s="123"/>
      <c r="AH24" s="123"/>
      <c r="AI24" s="123"/>
      <c r="AJ24" s="123"/>
      <c r="AK24" s="123"/>
      <c r="AL24" s="124"/>
      <c r="AM24" s="122" t="str">
        <f>IF([13]回答表!R48="●","●","")</f>
        <v>●</v>
      </c>
      <c r="AN24" s="123"/>
      <c r="AO24" s="123"/>
      <c r="AP24" s="123"/>
      <c r="AQ24" s="123"/>
      <c r="AR24" s="123"/>
      <c r="AS24" s="124"/>
      <c r="AT24" s="122" t="str">
        <f>IF([13]回答表!R49="●","●","")</f>
        <v/>
      </c>
      <c r="AU24" s="123"/>
      <c r="AV24" s="123"/>
      <c r="AW24" s="123"/>
      <c r="AX24" s="123"/>
      <c r="AY24" s="123"/>
      <c r="AZ24" s="124"/>
      <c r="BA24" s="18"/>
      <c r="BB24" s="119" t="str">
        <f>IF([13]回答表!R50="●","●","")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IF([13]回答表!X43="●","●","")</f>
        <v/>
      </c>
      <c r="O36" s="99"/>
      <c r="P36" s="99"/>
      <c r="Q36" s="100"/>
      <c r="R36" s="38"/>
      <c r="S36" s="38"/>
      <c r="T36" s="38"/>
      <c r="U36" s="107" t="str">
        <f>IF([13]回答表!X43="●",[13]回答表!B59,IF([13]回答表!AA43="●",[13]回答表!B79,""))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IF([13]回答表!X43="●",[13]回答表!S65,IF([13]回答表!AA43="●",[13]回答表!S85,""))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IF([13]回答表!X43="●",[13]回答表!G65,IF([13]回答表!AA43="●",[13]回答表!G85,""))</f>
        <v/>
      </c>
      <c r="AN38" s="120"/>
      <c r="AO38" s="120"/>
      <c r="AP38" s="120"/>
      <c r="AQ38" s="120"/>
      <c r="AR38" s="120"/>
      <c r="AS38" s="120"/>
      <c r="AT38" s="121"/>
      <c r="AU38" s="119" t="str">
        <f>IF([13]回答表!X43="●",[13]回答表!G66,IF([13]回答表!AA43="●",[13]回答表!G86,""))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IF([13]回答表!X43="●",[13]回答表!V65,IF([13]回答表!AA43="●",[13]回答表!V85,""))</f>
        <v/>
      </c>
      <c r="BG39" s="249"/>
      <c r="BH39" s="249"/>
      <c r="BI39" s="250"/>
      <c r="BJ39" s="83" t="str">
        <f>IF([13]回答表!X43="●",[13]回答表!V66,IF([13]回答表!AA43="●",[13]回答表!V86,""))</f>
        <v/>
      </c>
      <c r="BK39" s="249"/>
      <c r="BL39" s="249"/>
      <c r="BM39" s="250"/>
      <c r="BN39" s="83" t="str">
        <f>IF([13]回答表!X43="●",[13]回答表!V67,IF([13]回答表!AA43="●",[13]回答表!V87,""))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IF([13]回答表!X43="●",[13]回答表!O71,IF([13]回答表!AA43="●",[13]回答表!O91,""))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IF([13]回答表!X43="●",[13]回答表!O72,IF([13]回答表!AA43="●",[13]回答表!O92,""))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IF([13]回答表!AA43="●","●","")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IF([13]回答表!X43="●",[13]回答表!O73,IF([13]回答表!AA43="●",[13]回答表!O93,""))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IF([13]回答表!X43="●",[13]回答表!O74,IF([13]回答表!AA43="●",[13]回答表!O94,""))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IF([13]回答表!X43="●",[13]回答表!AG71,IF([13]回答表!AA43="●",[13]回答表!AG91,""))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IF([13]回答表!X43="●",[13]回答表!AG72,IF([13]回答表!AA43="●",[13]回答表!AG92,""))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IF([13]回答表!AD43="●","●","")</f>
        <v/>
      </c>
      <c r="O51" s="99"/>
      <c r="P51" s="99"/>
      <c r="Q51" s="100"/>
      <c r="R51" s="38"/>
      <c r="S51" s="38"/>
      <c r="T51" s="38"/>
      <c r="U51" s="107" t="str">
        <f>IF([13]回答表!AD43="●",[13]回答表!B99,"")</f>
        <v/>
      </c>
      <c r="V51" s="108"/>
      <c r="W51" s="108"/>
      <c r="X51" s="108"/>
      <c r="Y51" s="108"/>
      <c r="Z51" s="108"/>
      <c r="AA51" s="108"/>
      <c r="AB51" s="108"/>
      <c r="AC51" s="108"/>
      <c r="AD51" s="108"/>
      <c r="AE51" s="108"/>
      <c r="AF51" s="108"/>
      <c r="AG51" s="108"/>
      <c r="AH51" s="108"/>
      <c r="AI51" s="108"/>
      <c r="AJ51" s="109"/>
      <c r="AK51" s="55"/>
      <c r="AL51" s="55"/>
      <c r="AM51" s="107" t="str">
        <f>IF([13]回答表!AD43="●",[13]回答表!B104,"")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IF([13]回答表!X44="●","●","")</f>
        <v/>
      </c>
      <c r="O62" s="99"/>
      <c r="P62" s="99"/>
      <c r="Q62" s="100"/>
      <c r="R62" s="38"/>
      <c r="S62" s="38"/>
      <c r="T62" s="38"/>
      <c r="U62" s="107" t="str">
        <f>IF([13]回答表!X44="●",[13]回答表!B115,IF([13]回答表!AA44="●",[13]回答表!B127,""))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IF([13]回答表!X44="●",[13]回答表!S121,IF([13]回答表!AA44="●",[13]回答表!S133,""))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IF([13]回答表!X44="●",[13]回答表!J121,IF([13]回答表!AA44="●",[13]回答表!J133,""))</f>
        <v/>
      </c>
      <c r="AN65" s="120"/>
      <c r="AO65" s="120"/>
      <c r="AP65" s="120"/>
      <c r="AQ65" s="120"/>
      <c r="AR65" s="120"/>
      <c r="AS65" s="120"/>
      <c r="AT65" s="121"/>
      <c r="AU65" s="119" t="str">
        <f>IF([13]回答表!X44="●",[13]回答表!J122,IF([13]回答表!AA44="●",[13]回答表!J134,""))</f>
        <v/>
      </c>
      <c r="AV65" s="120"/>
      <c r="AW65" s="120"/>
      <c r="AX65" s="120"/>
      <c r="AY65" s="120"/>
      <c r="AZ65" s="120"/>
      <c r="BA65" s="120"/>
      <c r="BB65" s="121"/>
      <c r="BC65" s="39"/>
      <c r="BD65" s="34"/>
      <c r="BE65" s="34"/>
      <c r="BF65" s="83" t="str">
        <f>IF([13]回答表!X44="●",[13]回答表!V121,IF([13]回答表!AA44="●",[13]回答表!V133,""))</f>
        <v/>
      </c>
      <c r="BG65" s="84"/>
      <c r="BH65" s="84"/>
      <c r="BI65" s="84"/>
      <c r="BJ65" s="83" t="str">
        <f>IF([13]回答表!X44="●",[13]回答表!V122,IF([13]回答表!AA44="●",[13]回答表!V134,""))</f>
        <v/>
      </c>
      <c r="BK65" s="84"/>
      <c r="BL65" s="84"/>
      <c r="BM65" s="84"/>
      <c r="BN65" s="83" t="str">
        <f>IF([13]回答表!X44="●",[13]回答表!V123,IF([13]回答表!AA44="●",[13]回答表!V135,""))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IF([13]回答表!AA44="●","●","")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IF([13]回答表!AD44="●","●","")</f>
        <v/>
      </c>
      <c r="O74" s="99"/>
      <c r="P74" s="99"/>
      <c r="Q74" s="100"/>
      <c r="R74" s="38"/>
      <c r="S74" s="38"/>
      <c r="T74" s="38"/>
      <c r="U74" s="107" t="str">
        <f>IF([13]回答表!AD44="●",[13]回答表!B140,"")</f>
        <v/>
      </c>
      <c r="V74" s="108"/>
      <c r="W74" s="108"/>
      <c r="X74" s="108"/>
      <c r="Y74" s="108"/>
      <c r="Z74" s="108"/>
      <c r="AA74" s="108"/>
      <c r="AB74" s="108"/>
      <c r="AC74" s="108"/>
      <c r="AD74" s="108"/>
      <c r="AE74" s="108"/>
      <c r="AF74" s="108"/>
      <c r="AG74" s="108"/>
      <c r="AH74" s="108"/>
      <c r="AI74" s="108"/>
      <c r="AJ74" s="109"/>
      <c r="AK74" s="55"/>
      <c r="AL74" s="55"/>
      <c r="AM74" s="107" t="str">
        <f>IF([13]回答表!AD44="●",[13]回答表!B146,"")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IF([13]回答表!F17="水道事業",IF([13]回答表!X45="●","●",""),"")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IF([13]回答表!F17="水道事業",IF([13]回答表!X45="●",[13]回答表!B158,IF([13]回答表!AA45="●",[13]回答表!B223,"")),"")</f>
        <v/>
      </c>
      <c r="AN86" s="212"/>
      <c r="AO86" s="212"/>
      <c r="AP86" s="212"/>
      <c r="AQ86" s="212"/>
      <c r="AR86" s="212"/>
      <c r="AS86" s="212"/>
      <c r="AT86" s="212"/>
      <c r="AU86" s="212"/>
      <c r="AV86" s="212"/>
      <c r="AW86" s="212"/>
      <c r="AX86" s="212"/>
      <c r="AY86" s="212"/>
      <c r="AZ86" s="212"/>
      <c r="BA86" s="212"/>
      <c r="BB86" s="212"/>
      <c r="BC86" s="213"/>
      <c r="BD86" s="34"/>
      <c r="BE86" s="34"/>
      <c r="BF86" s="116" t="str">
        <f>IF([13]回答表!F17="水道事業",IF([13]回答表!X45="●",[13]回答表!B212,IF([13]回答表!AA45="●",[13]回答表!B278,"")),"")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IF([13]回答表!F17="水道事業",IF([13]回答表!X45="●",[13]回答表!J166,IF([13]回答表!AA45="●",[13]回答表!J231,"")),"")</f>
        <v/>
      </c>
      <c r="V88" s="120"/>
      <c r="W88" s="120"/>
      <c r="X88" s="120"/>
      <c r="Y88" s="120"/>
      <c r="Z88" s="120"/>
      <c r="AA88" s="120"/>
      <c r="AB88" s="121"/>
      <c r="AC88" s="119" t="str">
        <f>IF([13]回答表!F17="水道事業",IF([13]回答表!X45="●",[13]回答表!J173,IF([13]回答表!AA45="●",[13]回答表!J238,"")),"")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IF([13]回答表!F17="水道事業",IF([13]回答表!X45="●",[13]回答表!E212,IF([13]回答表!AA45="●",[13]回答表!E278,"")),"")</f>
        <v/>
      </c>
      <c r="BG89" s="84"/>
      <c r="BH89" s="84"/>
      <c r="BI89" s="84"/>
      <c r="BJ89" s="83" t="str">
        <f>IF([13]回答表!F17="水道事業",IF([13]回答表!X45="●",[13]回答表!E213,IF([13]回答表!AA45="●",[13]回答表!E279,"")),"")</f>
        <v/>
      </c>
      <c r="BK89" s="84"/>
      <c r="BL89" s="84"/>
      <c r="BM89" s="84"/>
      <c r="BN89" s="83" t="str">
        <f>IF([13]回答表!F17="水道事業",IF([13]回答表!X45="●",[13]回答表!E214,IF([13]回答表!AA45="●",[13]回答表!E280,"")),"")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IF([13]回答表!F17="水道事業",IF([13]回答表!AA45="●","●",""),"")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IF([13]回答表!F17="水道事業",IF([13]回答表!X45="●",[13]回答表!J176,IF([13]回答表!AA45="●",[13]回答表!J241,"")),"")</f>
        <v/>
      </c>
      <c r="V93" s="120"/>
      <c r="W93" s="120"/>
      <c r="X93" s="120"/>
      <c r="Y93" s="120"/>
      <c r="Z93" s="120"/>
      <c r="AA93" s="120"/>
      <c r="AB93" s="121"/>
      <c r="AC93" s="119" t="str">
        <f>IF([13]回答表!F17="水道事業",IF([13]回答表!X45="●",[13]回答表!J180,IF([13]回答表!AA45="●",[13]回答表!J245,"")),"")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24" customHeight="1" x14ac:dyDescent="0.4">
      <c r="C98" s="32"/>
      <c r="D98" s="190" t="s">
        <v>33</v>
      </c>
      <c r="E98" s="190"/>
      <c r="F98" s="190"/>
      <c r="G98" s="190"/>
      <c r="H98" s="190"/>
      <c r="I98" s="190"/>
      <c r="J98" s="190"/>
      <c r="K98" s="190"/>
      <c r="L98" s="190"/>
      <c r="M98" s="191"/>
      <c r="N98" s="98" t="str">
        <f>IF([13]回答表!F17="水道事業",IF([13]回答表!AD45="●","●",""),"")</f>
        <v>●</v>
      </c>
      <c r="O98" s="99"/>
      <c r="P98" s="99"/>
      <c r="Q98" s="100"/>
      <c r="R98" s="38"/>
      <c r="S98" s="38"/>
      <c r="T98" s="38"/>
      <c r="U98" s="107" t="str">
        <f>IF([13]回答表!F17="水道事業",IF([13]回答表!AD45="●",[13]回答表!B289,""),"")</f>
        <v>平成２９年３月３１日に簡易水道を統合した水道事業における他市町村との経営面などソフト部門の統合</v>
      </c>
      <c r="V98" s="108"/>
      <c r="W98" s="108"/>
      <c r="X98" s="108"/>
      <c r="Y98" s="108"/>
      <c r="Z98" s="108"/>
      <c r="AA98" s="108"/>
      <c r="AB98" s="108"/>
      <c r="AC98" s="108"/>
      <c r="AD98" s="108"/>
      <c r="AE98" s="108"/>
      <c r="AF98" s="108"/>
      <c r="AG98" s="108"/>
      <c r="AH98" s="108"/>
      <c r="AI98" s="108"/>
      <c r="AJ98" s="109"/>
      <c r="AK98" s="55"/>
      <c r="AL98" s="55"/>
      <c r="AM98" s="107" t="str">
        <f>IF([13]回答表!F17="水道事業",IF([13]回答表!AD45="●",[13]回答表!B295,""),"")</f>
        <v>県が策定した「秋田県水道ビジョン」を基に検討している。</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24"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24"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24"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IF([13]回答表!F17="簡易水道事業",IF([13]回答表!X45="●",[13]回答表!B158,IF([13]回答表!AA45="●",[13]回答表!B223,"")),"")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IF([13]回答表!F17="簡易水道事業",IF([13]回答表!X45="●",[13]回答表!B212,IF([13]回答表!AA45="●",[13]回答表!B278,"")),"")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IF([13]回答表!F17="簡易水道事業",IF([13]回答表!X45="●","●",""),"")</f>
        <v/>
      </c>
      <c r="O112" s="99"/>
      <c r="P112" s="99"/>
      <c r="Q112" s="100"/>
      <c r="R112" s="38"/>
      <c r="S112" s="38"/>
      <c r="T112" s="38"/>
      <c r="U112" s="119" t="str">
        <f>IF([13]回答表!F17="簡易水道事業",IF([13]回答表!X45="●",[13]回答表!Y185,IF([13]回答表!AA45="●",[13]回答表!Y251,"")),"")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IF([13]回答表!F17="簡易水道事業",IF([13]回答表!X45="●",[13]回答表!E212,IF([13]回答表!AA45="●",[13]回答表!E278,"")),"")</f>
        <v/>
      </c>
      <c r="BG113" s="84"/>
      <c r="BH113" s="84"/>
      <c r="BI113" s="84"/>
      <c r="BJ113" s="83" t="str">
        <f>IF([13]回答表!F17="簡易水道事業",IF([13]回答表!X45="●",[13]回答表!E213,IF([13]回答表!AA45="●",[13]回答表!E279,"")),"")</f>
        <v/>
      </c>
      <c r="BK113" s="84"/>
      <c r="BL113" s="84"/>
      <c r="BM113" s="84"/>
      <c r="BN113" s="83" t="str">
        <f>IF([13]回答表!F17="簡易水道事業",IF([13]回答表!X45="●",[13]回答表!E214,IF([13]回答表!AA45="●",[13]回答表!E280,"")),"")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IF([13]回答表!F17="簡易水道事業",IF([13]回答表!X45="●",[13]回答表!Y186,IF([13]回答表!AA45="●",[13]回答表!Y252,"")),"")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IF([13]回答表!F17="簡易水道事業",IF([13]回答表!AA45="●","●",""),"")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IF([13]回答表!F17="簡易水道事業",IF([13]回答表!X45="●",[13]回答表!Y187,IF([13]回答表!AA45="●",[13]回答表!Y253,"")),"")</f>
        <v/>
      </c>
      <c r="V122" s="120"/>
      <c r="W122" s="120"/>
      <c r="X122" s="120"/>
      <c r="Y122" s="120"/>
      <c r="Z122" s="120"/>
      <c r="AA122" s="120"/>
      <c r="AB122" s="120"/>
      <c r="AC122" s="120"/>
      <c r="AD122" s="120"/>
      <c r="AE122" s="120"/>
      <c r="AF122" s="120"/>
      <c r="AG122" s="120"/>
      <c r="AH122" s="120"/>
      <c r="AI122" s="120"/>
      <c r="AJ122" s="121"/>
      <c r="AK122" s="18"/>
      <c r="AL122" s="18"/>
      <c r="AM122" s="228" t="str">
        <f>IF([13]回答表!F17="簡易水道事業",IF([13]回答表!X45="●",[13]回答表!Y189,IF([13]回答表!AA45="●",[13]回答表!Y255,"")),"")</f>
        <v/>
      </c>
      <c r="AN122" s="228"/>
      <c r="AO122" s="228"/>
      <c r="AP122" s="228"/>
      <c r="AQ122" s="228"/>
      <c r="AR122" s="228"/>
      <c r="AS122" s="228" t="str">
        <f>IF([13]回答表!F17="簡易水道事業",IF([13]回答表!X45="●",[13]回答表!Y190,IF([13]回答表!AA45="●",[13]回答表!Y256,"")),"")</f>
        <v/>
      </c>
      <c r="AT122" s="228"/>
      <c r="AU122" s="228"/>
      <c r="AV122" s="228"/>
      <c r="AW122" s="228"/>
      <c r="AX122" s="228"/>
      <c r="AY122" s="228" t="str">
        <f>IF([13]回答表!F17="簡易水道事業",IF([13]回答表!X45="●",[13]回答表!Y191,IF([13]回答表!AA45="●",[13]回答表!Y257,"")),"")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IF([13]回答表!F17="簡易水道事業",IF([13]回答表!AD45="●","●",""),"")</f>
        <v/>
      </c>
      <c r="O127" s="99"/>
      <c r="P127" s="99"/>
      <c r="Q127" s="100"/>
      <c r="R127" s="38"/>
      <c r="S127" s="38"/>
      <c r="T127" s="38"/>
      <c r="U127" s="107" t="str">
        <f>IF([13]回答表!F17="簡易水道事業",IF([13]回答表!AD45="●",[13]回答表!B289,""),"")</f>
        <v/>
      </c>
      <c r="V127" s="108"/>
      <c r="W127" s="108"/>
      <c r="X127" s="108"/>
      <c r="Y127" s="108"/>
      <c r="Z127" s="108"/>
      <c r="AA127" s="108"/>
      <c r="AB127" s="108"/>
      <c r="AC127" s="108"/>
      <c r="AD127" s="108"/>
      <c r="AE127" s="108"/>
      <c r="AF127" s="108"/>
      <c r="AG127" s="108"/>
      <c r="AH127" s="108"/>
      <c r="AI127" s="108"/>
      <c r="AJ127" s="109"/>
      <c r="AK127" s="55"/>
      <c r="AL127" s="55"/>
      <c r="AM127" s="107" t="str">
        <f>IF([13]回答表!F17="簡易水道事業",IF([13]回答表!AD45="●",[13]回答表!B295,""),"")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IF([13]回答表!F17="下水道事業",IF([13]回答表!X45="●","●",""),"")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IF([13]回答表!F17="下水道事業",IF([13]回答表!X45="●",[13]回答表!B158,IF([13]回答表!AA45="●",[13]回答表!B223,"")),"")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IF([13]回答表!F17="下水道事業",IF([13]回答表!X45="●",[13]回答表!B212,IF([13]回答表!AA45="●",[13]回答表!B278,"")),"")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IF([13]回答表!F17="下水道事業",IF([13]回答表!X45="●",[13]回答表!Y193,IF([13]回答表!AA45="●",[13]回答表!Y259,"")),"")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IF([13]回答表!F17="下水道事業",IF([13]回答表!X45="●",[13]回答表!E212,IF([13]回答表!AA45="●",[13]回答表!E278,"")),"")</f>
        <v/>
      </c>
      <c r="BG142" s="84"/>
      <c r="BH142" s="84"/>
      <c r="BI142" s="84"/>
      <c r="BJ142" s="83" t="str">
        <f>IF([13]回答表!F17="下水道事業",IF([13]回答表!X45="●",[13]回答表!E213,IF([13]回答表!AA45="●",[13]回答表!E279,"")),"")</f>
        <v/>
      </c>
      <c r="BK142" s="84"/>
      <c r="BL142" s="84"/>
      <c r="BM142" s="84"/>
      <c r="BN142" s="83" t="str">
        <f>IF([13]回答表!F17="下水道事業",IF([13]回答表!X45="●",[13]回答表!E214,IF([13]回答表!AA45="●",[13]回答表!E280,"")),"")</f>
        <v/>
      </c>
      <c r="BO142" s="84"/>
      <c r="BP142" s="84"/>
      <c r="BQ142" s="87"/>
      <c r="BR142" s="37"/>
      <c r="BX142" s="211" t="str">
        <f>IF([13]回答表!AQ20="下水道事業",IF([13]回答表!BI48="○",[13]回答表!AM161,IF([13]回答表!BL48="○",[13]回答表!AM226,"")),"")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IF([13]回答表!F17="下水道事業",IF([13]回答表!X45="●",[13]回答表!Y195,IF([13]回答表!AA45="●",[13]回答表!Y261,"")),"")</f>
        <v/>
      </c>
      <c r="V147" s="120"/>
      <c r="W147" s="120"/>
      <c r="X147" s="120"/>
      <c r="Y147" s="120"/>
      <c r="Z147" s="120"/>
      <c r="AA147" s="120"/>
      <c r="AB147" s="121"/>
      <c r="AC147" s="119" t="str">
        <f>IF([13]回答表!F17="下水道事業",IF([13]回答表!X45="●",[13]回答表!Y196,IF([13]回答表!AA45="●",[13]回答表!Y262,"")),"")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IF([13]回答表!F17="下水道事業",IF([13]回答表!X45="●",[13]回答表!Y198,IF([13]回答表!AA45="●",[13]回答表!Y264,"")),"")</f>
        <v/>
      </c>
      <c r="V153" s="120"/>
      <c r="W153" s="120"/>
      <c r="X153" s="120"/>
      <c r="Y153" s="120"/>
      <c r="Z153" s="120"/>
      <c r="AA153" s="120"/>
      <c r="AB153" s="121"/>
      <c r="AC153" s="119" t="str">
        <f>IF([13]回答表!F17="下水道事業",IF([13]回答表!X45="●",[13]回答表!Y199,IF([13]回答表!AA45="●",[13]回答表!Y265,"")),"")</f>
        <v/>
      </c>
      <c r="AD153" s="120"/>
      <c r="AE153" s="120"/>
      <c r="AF153" s="120"/>
      <c r="AG153" s="120"/>
      <c r="AH153" s="120"/>
      <c r="AI153" s="120"/>
      <c r="AJ153" s="121"/>
      <c r="AK153" s="119" t="str">
        <f>IF([13]回答表!F17="下水道事業",IF([13]回答表!X45="●",[13]回答表!Y200,IF([13]回答表!AA45="●",[13]回答表!Y266,"")),"")</f>
        <v/>
      </c>
      <c r="AL153" s="120"/>
      <c r="AM153" s="120"/>
      <c r="AN153" s="120"/>
      <c r="AO153" s="120"/>
      <c r="AP153" s="120"/>
      <c r="AQ153" s="120"/>
      <c r="AR153" s="121"/>
      <c r="AS153" s="119" t="str">
        <f>IF([13]回答表!F17="下水道事業",IF([13]回答表!X45="●",[13]回答表!Y201,IF([13]回答表!AA45="●",[13]回答表!Y267,"")),"")</f>
        <v/>
      </c>
      <c r="AT153" s="120"/>
      <c r="AU153" s="120"/>
      <c r="AV153" s="120"/>
      <c r="AW153" s="120"/>
      <c r="AX153" s="120"/>
      <c r="AY153" s="120"/>
      <c r="AZ153" s="121"/>
      <c r="BA153" s="119" t="str">
        <f>IF([13]回答表!F17="下水道事業",IF([13]回答表!X45="●",[13]回答表!Y202,IF([13]回答表!AA45="●",[13]回答表!Y268,"")),"")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IF([13]回答表!F17="下水道事業",IF([13]回答表!AA45="●","●",""),"")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IF([13]回答表!F17="下水道事業",IF([13]回答表!X45="●",[13]回答表!Y207,IF([13]回答表!AA45="●",[13]回答表!Y273,"")),"")</f>
        <v/>
      </c>
      <c r="V159" s="120"/>
      <c r="W159" s="120"/>
      <c r="X159" s="120"/>
      <c r="Y159" s="120"/>
      <c r="Z159" s="120"/>
      <c r="AA159" s="120"/>
      <c r="AB159" s="121"/>
      <c r="AC159" s="119" t="str">
        <f>IF([13]回答表!F17="下水道事業",IF([13]回答表!X45="●",[13]回答表!Y208,IF([13]回答表!AA45="●",[13]回答表!Y274,"")),"")</f>
        <v/>
      </c>
      <c r="AD159" s="120"/>
      <c r="AE159" s="120"/>
      <c r="AF159" s="120"/>
      <c r="AG159" s="120"/>
      <c r="AH159" s="120"/>
      <c r="AI159" s="120"/>
      <c r="AJ159" s="121"/>
      <c r="AK159" s="119" t="str">
        <f>IF([13]回答表!F17="下水道事業",IF([13]回答表!X45="●",[13]回答表!Y209,IF([13]回答表!AA45="●",[13]回答表!Y275,"")),"")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IF([13]回答表!F17="下水道事業",IF([13]回答表!AD45="●","●",""),"")</f>
        <v/>
      </c>
      <c r="O164" s="99"/>
      <c r="P164" s="99"/>
      <c r="Q164" s="100"/>
      <c r="R164" s="38"/>
      <c r="S164" s="38"/>
      <c r="T164" s="38"/>
      <c r="U164" s="107" t="str">
        <f>IF([13]回答表!F17="下水道事業",IF([13]回答表!AD45="●",[13]回答表!B289,""),"")</f>
        <v/>
      </c>
      <c r="V164" s="108"/>
      <c r="W164" s="108"/>
      <c r="X164" s="108"/>
      <c r="Y164" s="108"/>
      <c r="Z164" s="108"/>
      <c r="AA164" s="108"/>
      <c r="AB164" s="108"/>
      <c r="AC164" s="108"/>
      <c r="AD164" s="108"/>
      <c r="AE164" s="108"/>
      <c r="AF164" s="108"/>
      <c r="AG164" s="108"/>
      <c r="AH164" s="108"/>
      <c r="AI164" s="108"/>
      <c r="AJ164" s="109"/>
      <c r="AK164" s="55"/>
      <c r="AL164" s="55"/>
      <c r="AM164" s="107" t="str">
        <f>IF([13]回答表!F17="下水道事業",IF([13]回答表!AD45="●",[13]回答表!B295,""),"")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IF([13]回答表!BD17="●",IF([13]回答表!X45="●","●",""),"")</f>
        <v/>
      </c>
      <c r="O176" s="99"/>
      <c r="P176" s="99"/>
      <c r="Q176" s="100"/>
      <c r="R176" s="38"/>
      <c r="S176" s="38"/>
      <c r="T176" s="38"/>
      <c r="U176" s="107" t="str">
        <f>IF([13]回答表!BD17="●",IF([13]回答表!X45="●",[13]回答表!B158,IF([13]回答表!AA45="●",[13]回答表!B223,"")),"")</f>
        <v/>
      </c>
      <c r="V176" s="108"/>
      <c r="W176" s="108"/>
      <c r="X176" s="108"/>
      <c r="Y176" s="108"/>
      <c r="Z176" s="108"/>
      <c r="AA176" s="108"/>
      <c r="AB176" s="108"/>
      <c r="AC176" s="108"/>
      <c r="AD176" s="108"/>
      <c r="AE176" s="108"/>
      <c r="AF176" s="108"/>
      <c r="AG176" s="108"/>
      <c r="AH176" s="108"/>
      <c r="AI176" s="108"/>
      <c r="AJ176" s="109"/>
      <c r="AK176" s="49"/>
      <c r="AL176" s="49"/>
      <c r="AM176" s="116" t="str">
        <f>IF([13]回答表!BD17="●",IF([13]回答表!X45="●",[13]回答表!B212,IF([13]回答表!AA45="●",[13]回答表!B278,"")),"")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IF([13]回答表!BD17="●",IF([13]回答表!X45="●",[13]回答表!E212,IF([13]回答表!AA45="●",[13]回答表!E278,"")),"")</f>
        <v/>
      </c>
      <c r="AN179" s="84"/>
      <c r="AO179" s="84"/>
      <c r="AP179" s="84"/>
      <c r="AQ179" s="83" t="str">
        <f>IF([13]回答表!BD17="●",IF([13]回答表!X45="●",[13]回答表!E213,IF([13]回答表!AA45="●",[13]回答表!E279,"")),"")</f>
        <v/>
      </c>
      <c r="AR179" s="84"/>
      <c r="AS179" s="84"/>
      <c r="AT179" s="84"/>
      <c r="AU179" s="83" t="str">
        <f>IF([13]回答表!BD17="●",IF([13]回答表!X45="●",[13]回答表!E214,IF([13]回答表!AA45="●",[13]回答表!E280,"")),"")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IF([13]回答表!BD17="●",IF([13]回答表!AA45="●","●",""),"")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IF([13]回答表!BD17="●",IF([13]回答表!AD45="●","●",""),"")</f>
        <v/>
      </c>
      <c r="O188" s="99"/>
      <c r="P188" s="99"/>
      <c r="Q188" s="100"/>
      <c r="R188" s="38"/>
      <c r="S188" s="38"/>
      <c r="T188" s="38"/>
      <c r="U188" s="107" t="str">
        <f>IF([13]回答表!BD17="●",IF([13]回答表!AD45="●",[13]回答表!B289,""),"")</f>
        <v/>
      </c>
      <c r="V188" s="108"/>
      <c r="W188" s="108"/>
      <c r="X188" s="108"/>
      <c r="Y188" s="108"/>
      <c r="Z188" s="108"/>
      <c r="AA188" s="108"/>
      <c r="AB188" s="108"/>
      <c r="AC188" s="108"/>
      <c r="AD188" s="108"/>
      <c r="AE188" s="108"/>
      <c r="AF188" s="108"/>
      <c r="AG188" s="108"/>
      <c r="AH188" s="108"/>
      <c r="AI188" s="108"/>
      <c r="AJ188" s="109"/>
      <c r="AK188" s="55"/>
      <c r="AL188" s="55"/>
      <c r="AM188" s="107" t="str">
        <f>IF([13]回答表!BD17="●",IF([13]回答表!AD45="●",[13]回答表!B295,""),"")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IF([13]回答表!X46="●","●","")</f>
        <v/>
      </c>
      <c r="O200" s="99"/>
      <c r="P200" s="99"/>
      <c r="Q200" s="100"/>
      <c r="R200" s="38"/>
      <c r="S200" s="38"/>
      <c r="T200" s="38"/>
      <c r="U200" s="107" t="str">
        <f>IF([13]回答表!X46="●",[13]回答表!B307,IF([13]回答表!AA46="●",[13]回答表!B324,""))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IF([13]回答表!X46="●",[13]回答表!U313,IF([13]回答表!AA46="●",[13]回答表!U330,""))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IF([13]回答表!X46="●",[13]回答表!G313,IF([13]回答表!AA46="●",[13]回答表!G330,""))</f>
        <v/>
      </c>
      <c r="AN203" s="120"/>
      <c r="AO203" s="120"/>
      <c r="AP203" s="120"/>
      <c r="AQ203" s="120"/>
      <c r="AR203" s="120"/>
      <c r="AS203" s="120"/>
      <c r="AT203" s="121"/>
      <c r="AU203" s="119" t="str">
        <f>IF([13]回答表!X46="●",[13]回答表!G314,IF([13]回答表!AA46="●",[13]回答表!G331,""))</f>
        <v/>
      </c>
      <c r="AV203" s="120"/>
      <c r="AW203" s="120"/>
      <c r="AX203" s="120"/>
      <c r="AY203" s="120"/>
      <c r="AZ203" s="120"/>
      <c r="BA203" s="120"/>
      <c r="BB203" s="121"/>
      <c r="BC203" s="39"/>
      <c r="BD203" s="34"/>
      <c r="BE203" s="34"/>
      <c r="BF203" s="83" t="str">
        <f>IF([13]回答表!X46="●",[13]回答表!X313,IF([13]回答表!AA46="●",[13]回答表!X330,""))</f>
        <v/>
      </c>
      <c r="BG203" s="84"/>
      <c r="BH203" s="84"/>
      <c r="BI203" s="84"/>
      <c r="BJ203" s="83" t="str">
        <f>IF([13]回答表!X46="●",[13]回答表!X314,IF([13]回答表!AA46="●",[13]回答表!X331,""))</f>
        <v/>
      </c>
      <c r="BK203" s="84"/>
      <c r="BL203" s="84"/>
      <c r="BM203" s="87"/>
      <c r="BN203" s="83" t="str">
        <f>IF([13]回答表!X46="●",[13]回答表!X315,IF([13]回答表!AA46="●",[13]回答表!X332,""))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IF([13]回答表!AA46="●","●","")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IF([13]回答表!AD46="●","●","")</f>
        <v/>
      </c>
      <c r="O212" s="99"/>
      <c r="P212" s="99"/>
      <c r="Q212" s="100"/>
      <c r="R212" s="38"/>
      <c r="S212" s="38"/>
      <c r="T212" s="38"/>
      <c r="U212" s="107" t="str">
        <f>IF([13]回答表!AD46="●",[13]回答表!B337,"")</f>
        <v/>
      </c>
      <c r="V212" s="108"/>
      <c r="W212" s="108"/>
      <c r="X212" s="108"/>
      <c r="Y212" s="108"/>
      <c r="Z212" s="108"/>
      <c r="AA212" s="108"/>
      <c r="AB212" s="108"/>
      <c r="AC212" s="108"/>
      <c r="AD212" s="108"/>
      <c r="AE212" s="108"/>
      <c r="AF212" s="108"/>
      <c r="AG212" s="108"/>
      <c r="AH212" s="108"/>
      <c r="AI212" s="108"/>
      <c r="AJ212" s="109"/>
      <c r="AK212" s="62"/>
      <c r="AL212" s="62"/>
      <c r="AM212" s="107" t="str">
        <f>IF([13]回答表!AD46="●",[13]回答表!B343,"")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IF([13]回答表!X47="●","●","")</f>
        <v/>
      </c>
      <c r="O224" s="99"/>
      <c r="P224" s="99"/>
      <c r="Q224" s="100"/>
      <c r="R224" s="38"/>
      <c r="S224" s="38"/>
      <c r="T224" s="38"/>
      <c r="U224" s="107" t="str">
        <f>IF([13]回答表!X47="●",[13]回答表!B356,IF([13]回答表!AA47="●",[13]回答表!B379,""))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IF([13]回答表!X47="●",[13]回答表!B362,"")</f>
        <v/>
      </c>
      <c r="AO224" s="182"/>
      <c r="AP224" s="182"/>
      <c r="AQ224" s="182"/>
      <c r="AR224" s="182"/>
      <c r="AS224" s="182"/>
      <c r="AT224" s="182"/>
      <c r="AU224" s="182"/>
      <c r="AV224" s="182"/>
      <c r="AW224" s="182"/>
      <c r="AX224" s="182"/>
      <c r="AY224" s="182"/>
      <c r="AZ224" s="182"/>
      <c r="BA224" s="182"/>
      <c r="BB224" s="183"/>
      <c r="BC224" s="39"/>
      <c r="BD224" s="34"/>
      <c r="BE224" s="34"/>
      <c r="BF224" s="116" t="str">
        <f>IF([13]回答表!X47="●",[13]回答表!B368,IF([13]回答表!AA47="●",[13]回答表!B385,""))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IF([13]回答表!X47="●",[13]回答表!E368,IF([13]回答表!AA47="●",[13]回答表!E385,""))</f>
        <v/>
      </c>
      <c r="BG227" s="84"/>
      <c r="BH227" s="84"/>
      <c r="BI227" s="84"/>
      <c r="BJ227" s="83" t="str">
        <f>IF([13]回答表!X47="●",[13]回答表!E369,IF([13]回答表!AA47="●",[13]回答表!E386,""))</f>
        <v/>
      </c>
      <c r="BK227" s="84"/>
      <c r="BL227" s="84"/>
      <c r="BM227" s="87"/>
      <c r="BN227" s="83" t="str">
        <f>IF([13]回答表!X47="●",[13]回答表!E370,IF([13]回答表!AA47="●",[13]回答表!E387,""))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IF([13]回答表!AA47="●","●","")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IF([13]回答表!AD47="●","●","")</f>
        <v>●</v>
      </c>
      <c r="O236" s="99"/>
      <c r="P236" s="99"/>
      <c r="Q236" s="100"/>
      <c r="R236" s="38"/>
      <c r="S236" s="38"/>
      <c r="T236" s="38"/>
      <c r="U236" s="107" t="str">
        <f>IF([13]回答表!AD47="●",[13]回答表!B392,"")</f>
        <v>料金等徴収業務</v>
      </c>
      <c r="V236" s="108"/>
      <c r="W236" s="108"/>
      <c r="X236" s="108"/>
      <c r="Y236" s="108"/>
      <c r="Z236" s="108"/>
      <c r="AA236" s="108"/>
      <c r="AB236" s="108"/>
      <c r="AC236" s="108"/>
      <c r="AD236" s="108"/>
      <c r="AE236" s="108"/>
      <c r="AF236" s="108"/>
      <c r="AG236" s="108"/>
      <c r="AH236" s="108"/>
      <c r="AI236" s="108"/>
      <c r="AJ236" s="109"/>
      <c r="AK236" s="62"/>
      <c r="AL236" s="62"/>
      <c r="AM236" s="107" t="str">
        <f>IF([13]回答表!AD47="●",[13]回答表!B398,"")</f>
        <v>徴収料金の適正な管理や会計システムとの連携</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IF([13]回答表!X48="●","●","")</f>
        <v/>
      </c>
      <c r="O248" s="99"/>
      <c r="P248" s="99"/>
      <c r="Q248" s="100"/>
      <c r="R248" s="38"/>
      <c r="S248" s="38"/>
      <c r="T248" s="38"/>
      <c r="U248" s="107" t="str">
        <f>IF([13]回答表!X48="●",[13]回答表!B411,IF([13]回答表!AA48="●",[13]回答表!B425,""))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IF([13]回答表!X48="●",[13]回答表!BC418,IF([13]回答表!AA48="●",[13]回答表!BC432,""))</f>
        <v/>
      </c>
      <c r="AR248" s="151"/>
      <c r="AS248" s="151"/>
      <c r="AT248" s="151"/>
      <c r="AU248" s="173" t="s">
        <v>73</v>
      </c>
      <c r="AV248" s="174"/>
      <c r="AW248" s="174"/>
      <c r="AX248" s="175"/>
      <c r="AY248" s="151" t="str">
        <f>IF([13]回答表!X48="●",[13]回答表!BC423,IF([13]回答表!AA48="●",[13]回答表!BC437,""))</f>
        <v/>
      </c>
      <c r="AZ248" s="151"/>
      <c r="BA248" s="151"/>
      <c r="BB248" s="151"/>
      <c r="BC248" s="39"/>
      <c r="BD248" s="34"/>
      <c r="BE248" s="34"/>
      <c r="BF248" s="116" t="str">
        <f>IF([13]回答表!X48="●",[13]回答表!S417,IF([13]回答表!AA48="●",[13]回答表!S431,""))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IF([13]回答表!X48="●",[13]回答表!BC419,IF([13]回答表!AA48="●",[13]回答表!BC433,""))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IF([13]回答表!X48="●",[13]回答表!V417,IF([13]回答表!AA48="●",[13]回答表!V431,""))</f>
        <v/>
      </c>
      <c r="BG251" s="84"/>
      <c r="BH251" s="84"/>
      <c r="BI251" s="84"/>
      <c r="BJ251" s="83" t="str">
        <f>IF([13]回答表!X48="●",[13]回答表!V418,IF([13]回答表!AA48="●",[13]回答表!V432,""))</f>
        <v/>
      </c>
      <c r="BK251" s="84"/>
      <c r="BL251" s="84"/>
      <c r="BM251" s="87"/>
      <c r="BN251" s="83" t="str">
        <f>IF([13]回答表!X48="●",[13]回答表!V419,IF([13]回答表!AA48="●",[13]回答表!V433,""))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IF([13]回答表!X48="●",[13]回答表!BC420,IF([13]回答表!AA48="●",[13]回答表!BC434,""))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IF([13]回答表!X48="●",[13]回答表!BC424,IF([13]回答表!AA48="●",[13]回答表!BC438,""))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IF([13]回答表!AA48="●","●","")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IF([13]回答表!X48="●",[13]回答表!BC421,IF([13]回答表!AA48="●",[13]回答表!BC435,""))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IF([13]回答表!X48="●",[13]回答表!BC422,IF([13]回答表!AA48="●",[13]回答表!BC436,""))</f>
        <v/>
      </c>
      <c r="AR256" s="151"/>
      <c r="AS256" s="151"/>
      <c r="AT256" s="151"/>
      <c r="AU256" s="152" t="s">
        <v>79</v>
      </c>
      <c r="AV256" s="153"/>
      <c r="AW256" s="153"/>
      <c r="AX256" s="154"/>
      <c r="AY256" s="158" t="str">
        <f>IF([13]回答表!X48="●",[13]回答表!BC425,IF([13]回答表!AA48="●",[13]回答表!BC439,""))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24" customHeight="1" x14ac:dyDescent="0.4">
      <c r="A260" s="24"/>
      <c r="B260" s="24"/>
      <c r="C260" s="32"/>
      <c r="D260" s="89" t="s">
        <v>33</v>
      </c>
      <c r="E260" s="90"/>
      <c r="F260" s="90"/>
      <c r="G260" s="90"/>
      <c r="H260" s="90"/>
      <c r="I260" s="90"/>
      <c r="J260" s="90"/>
      <c r="K260" s="90"/>
      <c r="L260" s="90"/>
      <c r="M260" s="91"/>
      <c r="N260" s="98" t="str">
        <f>IF([13]回答表!AD48="●","●","")</f>
        <v>●</v>
      </c>
      <c r="O260" s="99"/>
      <c r="P260" s="99"/>
      <c r="Q260" s="100"/>
      <c r="R260" s="38"/>
      <c r="S260" s="38"/>
      <c r="T260" s="38"/>
      <c r="U260" s="107" t="str">
        <f>IF([13]回答表!AD48="●",[13]回答表!B439,"")</f>
        <v>コンセッション方式の導入</v>
      </c>
      <c r="V260" s="108"/>
      <c r="W260" s="108"/>
      <c r="X260" s="108"/>
      <c r="Y260" s="108"/>
      <c r="Z260" s="108"/>
      <c r="AA260" s="108"/>
      <c r="AB260" s="108"/>
      <c r="AC260" s="108"/>
      <c r="AD260" s="108"/>
      <c r="AE260" s="108"/>
      <c r="AF260" s="108"/>
      <c r="AG260" s="108"/>
      <c r="AH260" s="108"/>
      <c r="AI260" s="108"/>
      <c r="AJ260" s="109"/>
      <c r="AK260" s="55"/>
      <c r="AL260" s="55"/>
      <c r="AM260" s="107" t="str">
        <f>IF([13]回答表!AD48="●",[13]回答表!B445,"")</f>
        <v>研修会に参加するなど情報収集に努めているが、デメリットなど水道事業の不利益が生じないかを含めて慎重に検討している。</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24"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24"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24"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IF([13]回答表!X49="●","●","")</f>
        <v/>
      </c>
      <c r="O271" s="99"/>
      <c r="P271" s="99"/>
      <c r="Q271" s="100"/>
      <c r="R271" s="38"/>
      <c r="S271" s="38"/>
      <c r="T271" s="38"/>
      <c r="U271" s="107" t="str">
        <f>IF([13]回答表!X49="●",[13]回答表!B458,IF([13]回答表!AA49="●",[13]回答表!B475,""))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IF([13]回答表!X49="●",[13]回答表!B468,IF([13]回答表!AA49="●",[13]回答表!B485,""))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IF([13]回答表!X49="●",[13]回答表!G464,IF([13]回答表!AA49="●",[13]回答表!G481,""))</f>
        <v/>
      </c>
      <c r="AN273" s="120"/>
      <c r="AO273" s="120"/>
      <c r="AP273" s="120"/>
      <c r="AQ273" s="120"/>
      <c r="AR273" s="120"/>
      <c r="AS273" s="120"/>
      <c r="AT273" s="121"/>
      <c r="AU273" s="119" t="str">
        <f>IF([13]回答表!X49="●",[13]回答表!G465,IF([13]回答表!AA49="●",[13]回答表!G482,""))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IF([13]回答表!X49="●",[13]回答表!E468,IF([13]回答表!AA49="●",[13]回答表!E485,""))</f>
        <v/>
      </c>
      <c r="BG274" s="84"/>
      <c r="BH274" s="84"/>
      <c r="BI274" s="84"/>
      <c r="BJ274" s="83" t="str">
        <f>IF([13]回答表!X49="●",[13]回答表!E469,IF([13]回答表!AA49="●",[13]回答表!E486,""))</f>
        <v/>
      </c>
      <c r="BK274" s="84"/>
      <c r="BL274" s="84"/>
      <c r="BM274" s="87"/>
      <c r="BN274" s="83" t="str">
        <f>IF([13]回答表!X49="●",[13]回答表!E470,IF([13]回答表!AA49="●",[13]回答表!E487,""))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IF([13]回答表!AA49="●","●","")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IF([13]回答表!AD49="●","●","")</f>
        <v/>
      </c>
      <c r="O283" s="99"/>
      <c r="P283" s="99"/>
      <c r="Q283" s="100"/>
      <c r="R283" s="38"/>
      <c r="S283" s="38"/>
      <c r="T283" s="38"/>
      <c r="U283" s="107" t="str">
        <f>IF([13]回答表!AD49="●",[13]回答表!B492,"")</f>
        <v/>
      </c>
      <c r="V283" s="108"/>
      <c r="W283" s="108"/>
      <c r="X283" s="108"/>
      <c r="Y283" s="108"/>
      <c r="Z283" s="108"/>
      <c r="AA283" s="108"/>
      <c r="AB283" s="108"/>
      <c r="AC283" s="108"/>
      <c r="AD283" s="108"/>
      <c r="AE283" s="108"/>
      <c r="AF283" s="108"/>
      <c r="AG283" s="108"/>
      <c r="AH283" s="108"/>
      <c r="AI283" s="108"/>
      <c r="AJ283" s="109"/>
      <c r="AK283" s="49"/>
      <c r="AL283" s="49"/>
      <c r="AM283" s="107" t="str">
        <f>IF([13]回答表!AD49="●",[13]回答表!B498,"")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IF([13]回答表!R50="●",[13]回答表!B511,"")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5E587-990F-453B-A3E6-3B1812B3B959}">
  <sheetPr>
    <pageSetUpPr fitToPage="1"/>
  </sheetPr>
  <dimension ref="A1:CN315"/>
  <sheetViews>
    <sheetView showZeros="0" view="pageBreakPreview" zoomScale="60" zoomScaleNormal="55" workbookViewId="0">
      <selection activeCell="U74" sqref="U74:AJ7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IF(COUNTIF([5]回答表!K15,"*")&gt;0,[5]回答表!K15,"")</f>
        <v>大館市</v>
      </c>
      <c r="D11" s="299"/>
      <c r="E11" s="299"/>
      <c r="F11" s="299"/>
      <c r="G11" s="299"/>
      <c r="H11" s="299"/>
      <c r="I11" s="299"/>
      <c r="J11" s="299"/>
      <c r="K11" s="299"/>
      <c r="L11" s="299"/>
      <c r="M11" s="299"/>
      <c r="N11" s="299"/>
      <c r="O11" s="299"/>
      <c r="P11" s="299"/>
      <c r="Q11" s="299"/>
      <c r="R11" s="299"/>
      <c r="S11" s="299"/>
      <c r="T11" s="299"/>
      <c r="U11" s="306" t="str">
        <f>IF(COUNTIF([5]回答表!F17,"*")&gt;0,[5]回答表!F17,"")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IF(COUNTIF([5]回答表!W17,"*")&gt;0,[5]回答表!W17,"")</f>
        <v>指定介護老人福祉施設</v>
      </c>
      <c r="AP11" s="301"/>
      <c r="AQ11" s="301"/>
      <c r="AR11" s="301"/>
      <c r="AS11" s="301"/>
      <c r="AT11" s="301"/>
      <c r="AU11" s="301"/>
      <c r="AV11" s="301"/>
      <c r="AW11" s="301"/>
      <c r="AX11" s="301"/>
      <c r="AY11" s="301"/>
      <c r="AZ11" s="301"/>
      <c r="BA11" s="301"/>
      <c r="BB11" s="301"/>
      <c r="BC11" s="301"/>
      <c r="BD11" s="301"/>
      <c r="BE11" s="301"/>
      <c r="BF11" s="302"/>
      <c r="BG11" s="305" t="str">
        <f>IF(COUNTIF([5]回答表!F19,"*")&gt;0,[5]回答表!F19,"")</f>
        <v>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IF([5]回答表!R43="●","●","")</f>
        <v/>
      </c>
      <c r="E24" s="123"/>
      <c r="F24" s="123"/>
      <c r="G24" s="123"/>
      <c r="H24" s="123"/>
      <c r="I24" s="123"/>
      <c r="J24" s="124"/>
      <c r="K24" s="122" t="str">
        <f>IF([5]回答表!R44="●","●","")</f>
        <v>●</v>
      </c>
      <c r="L24" s="123"/>
      <c r="M24" s="123"/>
      <c r="N24" s="123"/>
      <c r="O24" s="123"/>
      <c r="P24" s="123"/>
      <c r="Q24" s="124"/>
      <c r="R24" s="122" t="str">
        <f>IF([5]回答表!R45="●","●","")</f>
        <v/>
      </c>
      <c r="S24" s="123"/>
      <c r="T24" s="123"/>
      <c r="U24" s="123"/>
      <c r="V24" s="123"/>
      <c r="W24" s="123"/>
      <c r="X24" s="124"/>
      <c r="Y24" s="122" t="str">
        <f>IF([5]回答表!R46="●","●","")</f>
        <v>●</v>
      </c>
      <c r="Z24" s="123"/>
      <c r="AA24" s="123"/>
      <c r="AB24" s="123"/>
      <c r="AC24" s="123"/>
      <c r="AD24" s="123"/>
      <c r="AE24" s="124"/>
      <c r="AF24" s="122" t="str">
        <f>IF([5]回答表!R47="●","●","")</f>
        <v/>
      </c>
      <c r="AG24" s="123"/>
      <c r="AH24" s="123"/>
      <c r="AI24" s="123"/>
      <c r="AJ24" s="123"/>
      <c r="AK24" s="123"/>
      <c r="AL24" s="124"/>
      <c r="AM24" s="122" t="str">
        <f>IF([5]回答表!R48="●","●","")</f>
        <v/>
      </c>
      <c r="AN24" s="123"/>
      <c r="AO24" s="123"/>
      <c r="AP24" s="123"/>
      <c r="AQ24" s="123"/>
      <c r="AR24" s="123"/>
      <c r="AS24" s="124"/>
      <c r="AT24" s="122" t="str">
        <f>IF([5]回答表!R49="●","●","")</f>
        <v/>
      </c>
      <c r="AU24" s="123"/>
      <c r="AV24" s="123"/>
      <c r="AW24" s="123"/>
      <c r="AX24" s="123"/>
      <c r="AY24" s="123"/>
      <c r="AZ24" s="124"/>
      <c r="BA24" s="18"/>
      <c r="BB24" s="119" t="str">
        <f>IF([5]回答表!R50="●","●","")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IF([5]回答表!X43="●","●","")</f>
        <v/>
      </c>
      <c r="O36" s="99"/>
      <c r="P36" s="99"/>
      <c r="Q36" s="100"/>
      <c r="R36" s="38"/>
      <c r="S36" s="38"/>
      <c r="T36" s="38"/>
      <c r="U36" s="107" t="str">
        <f>IF([5]回答表!X43="●",[5]回答表!B59,IF([5]回答表!AA43="●",[5]回答表!B79,""))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IF([5]回答表!X43="●",[5]回答表!S65,IF([5]回答表!AA43="●",[5]回答表!S85,""))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IF([5]回答表!X43="●",[5]回答表!G65,IF([5]回答表!AA43="●",[5]回答表!G85,""))</f>
        <v/>
      </c>
      <c r="AN38" s="120"/>
      <c r="AO38" s="120"/>
      <c r="AP38" s="120"/>
      <c r="AQ38" s="120"/>
      <c r="AR38" s="120"/>
      <c r="AS38" s="120"/>
      <c r="AT38" s="121"/>
      <c r="AU38" s="119" t="str">
        <f>IF([5]回答表!X43="●",[5]回答表!G66,IF([5]回答表!AA43="●",[5]回答表!G86,""))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IF([5]回答表!X43="●",[5]回答表!V65,IF([5]回答表!AA43="●",[5]回答表!V85,""))</f>
        <v/>
      </c>
      <c r="BG39" s="249"/>
      <c r="BH39" s="249"/>
      <c r="BI39" s="250"/>
      <c r="BJ39" s="83" t="str">
        <f>IF([5]回答表!X43="●",[5]回答表!V66,IF([5]回答表!AA43="●",[5]回答表!V86,""))</f>
        <v/>
      </c>
      <c r="BK39" s="249"/>
      <c r="BL39" s="249"/>
      <c r="BM39" s="250"/>
      <c r="BN39" s="83" t="str">
        <f>IF([5]回答表!X43="●",[5]回答表!V67,IF([5]回答表!AA43="●",[5]回答表!V87,""))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IF([5]回答表!X43="●",[5]回答表!O71,IF([5]回答表!AA43="●",[5]回答表!O91,""))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IF([5]回答表!X43="●",[5]回答表!O72,IF([5]回答表!AA43="●",[5]回答表!O92,""))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IF([5]回答表!AA43="●","●","")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IF([5]回答表!X43="●",[5]回答表!O73,IF([5]回答表!AA43="●",[5]回答表!O93,""))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IF([5]回答表!X43="●",[5]回答表!O74,IF([5]回答表!AA43="●",[5]回答表!O94,""))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IF([5]回答表!X43="●",[5]回答表!AG71,IF([5]回答表!AA43="●",[5]回答表!AG91,""))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IF([5]回答表!X43="●",[5]回答表!AG72,IF([5]回答表!AA43="●",[5]回答表!AG92,""))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IF([5]回答表!AD43="●","●","")</f>
        <v/>
      </c>
      <c r="O51" s="99"/>
      <c r="P51" s="99"/>
      <c r="Q51" s="100"/>
      <c r="R51" s="38"/>
      <c r="S51" s="38"/>
      <c r="T51" s="38"/>
      <c r="U51" s="107" t="str">
        <f>IF([5]回答表!AD43="●",[5]回答表!B99,"")</f>
        <v/>
      </c>
      <c r="V51" s="108"/>
      <c r="W51" s="108"/>
      <c r="X51" s="108"/>
      <c r="Y51" s="108"/>
      <c r="Z51" s="108"/>
      <c r="AA51" s="108"/>
      <c r="AB51" s="108"/>
      <c r="AC51" s="108"/>
      <c r="AD51" s="108"/>
      <c r="AE51" s="108"/>
      <c r="AF51" s="108"/>
      <c r="AG51" s="108"/>
      <c r="AH51" s="108"/>
      <c r="AI51" s="108"/>
      <c r="AJ51" s="109"/>
      <c r="AK51" s="55"/>
      <c r="AL51" s="55"/>
      <c r="AM51" s="107" t="str">
        <f>IF([5]回答表!AD43="●",[5]回答表!B104,"")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IF([5]回答表!X44="●","●","")</f>
        <v/>
      </c>
      <c r="O62" s="99"/>
      <c r="P62" s="99"/>
      <c r="Q62" s="100"/>
      <c r="R62" s="38"/>
      <c r="S62" s="38"/>
      <c r="T62" s="38"/>
      <c r="U62" s="107" t="str">
        <f>IF([5]回答表!X44="●",[5]回答表!B115,IF([5]回答表!AA44="●",[5]回答表!B127,""))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IF([5]回答表!X44="●",[5]回答表!S121,IF([5]回答表!AA44="●",[5]回答表!S133,""))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IF([5]回答表!X44="●",[5]回答表!J121,IF([5]回答表!AA44="●",[5]回答表!J133,""))</f>
        <v/>
      </c>
      <c r="AN65" s="120"/>
      <c r="AO65" s="120"/>
      <c r="AP65" s="120"/>
      <c r="AQ65" s="120"/>
      <c r="AR65" s="120"/>
      <c r="AS65" s="120"/>
      <c r="AT65" s="121"/>
      <c r="AU65" s="119" t="str">
        <f>IF([5]回答表!X44="●",[5]回答表!J122,IF([5]回答表!AA44="●",[5]回答表!J134,""))</f>
        <v/>
      </c>
      <c r="AV65" s="120"/>
      <c r="AW65" s="120"/>
      <c r="AX65" s="120"/>
      <c r="AY65" s="120"/>
      <c r="AZ65" s="120"/>
      <c r="BA65" s="120"/>
      <c r="BB65" s="121"/>
      <c r="BC65" s="39"/>
      <c r="BD65" s="34"/>
      <c r="BE65" s="34"/>
      <c r="BF65" s="83" t="str">
        <f>IF([5]回答表!X44="●",[5]回答表!V121,IF([5]回答表!AA44="●",[5]回答表!V133,""))</f>
        <v/>
      </c>
      <c r="BG65" s="84"/>
      <c r="BH65" s="84"/>
      <c r="BI65" s="84"/>
      <c r="BJ65" s="83" t="str">
        <f>IF([5]回答表!X44="●",[5]回答表!V122,IF([5]回答表!AA44="●",[5]回答表!V134,""))</f>
        <v/>
      </c>
      <c r="BK65" s="84"/>
      <c r="BL65" s="84"/>
      <c r="BM65" s="84"/>
      <c r="BN65" s="83" t="str">
        <f>IF([5]回答表!X44="●",[5]回答表!V123,IF([5]回答表!AA44="●",[5]回答表!V135,""))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IF([5]回答表!AA44="●","●","")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IF([5]回答表!AD44="●","●","")</f>
        <v>●</v>
      </c>
      <c r="O74" s="99"/>
      <c r="P74" s="99"/>
      <c r="Q74" s="100"/>
      <c r="R74" s="38"/>
      <c r="S74" s="38"/>
      <c r="T74" s="38"/>
      <c r="U74" s="107" t="str">
        <f>IF([5]回答表!AD44="●",[5]回答表!B140,"")</f>
        <v>大館市介護保険事業計画第９期中で民間への譲渡も検討している。
公共施設等総合管理計画を策定し、議会への報告、ホームページで公開済み。</v>
      </c>
      <c r="V74" s="108"/>
      <c r="W74" s="108"/>
      <c r="X74" s="108"/>
      <c r="Y74" s="108"/>
      <c r="Z74" s="108"/>
      <c r="AA74" s="108"/>
      <c r="AB74" s="108"/>
      <c r="AC74" s="108"/>
      <c r="AD74" s="108"/>
      <c r="AE74" s="108"/>
      <c r="AF74" s="108"/>
      <c r="AG74" s="108"/>
      <c r="AH74" s="108"/>
      <c r="AI74" s="108"/>
      <c r="AJ74" s="109"/>
      <c r="AK74" s="55"/>
      <c r="AL74" s="55"/>
      <c r="AM74" s="107" t="str">
        <f>IF([5]回答表!AD44="●",[5]回答表!B146,"")</f>
        <v>令和６年４月を目途に譲渡することで検討。
施設の老朽化もあり、経費が増大しないよう譲渡方法を検討している。</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25.5"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IF([5]回答表!F17="水道事業",IF([5]回答表!X45="●","●",""),"")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IF([5]回答表!F17="水道事業",IF([5]回答表!X45="●",[5]回答表!B158,IF([5]回答表!AA45="●",[5]回答表!B223,"")),"")</f>
        <v/>
      </c>
      <c r="AN86" s="212"/>
      <c r="AO86" s="212"/>
      <c r="AP86" s="212"/>
      <c r="AQ86" s="212"/>
      <c r="AR86" s="212"/>
      <c r="AS86" s="212"/>
      <c r="AT86" s="212"/>
      <c r="AU86" s="212"/>
      <c r="AV86" s="212"/>
      <c r="AW86" s="212"/>
      <c r="AX86" s="212"/>
      <c r="AY86" s="212"/>
      <c r="AZ86" s="212"/>
      <c r="BA86" s="212"/>
      <c r="BB86" s="212"/>
      <c r="BC86" s="213"/>
      <c r="BD86" s="34"/>
      <c r="BE86" s="34"/>
      <c r="BF86" s="116" t="str">
        <f>IF([5]回答表!F17="水道事業",IF([5]回答表!X45="●",[5]回答表!B212,IF([5]回答表!AA45="●",[5]回答表!B278,"")),"")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IF([5]回答表!F17="水道事業",IF([5]回答表!X45="●",[5]回答表!J166,IF([5]回答表!AA45="●",[5]回答表!J231,"")),"")</f>
        <v/>
      </c>
      <c r="V88" s="120"/>
      <c r="W88" s="120"/>
      <c r="X88" s="120"/>
      <c r="Y88" s="120"/>
      <c r="Z88" s="120"/>
      <c r="AA88" s="120"/>
      <c r="AB88" s="121"/>
      <c r="AC88" s="119" t="str">
        <f>IF([5]回答表!F17="水道事業",IF([5]回答表!X45="●",[5]回答表!J173,IF([5]回答表!AA45="●",[5]回答表!J238,"")),"")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IF([5]回答表!F17="水道事業",IF([5]回答表!X45="●",[5]回答表!E212,IF([5]回答表!AA45="●",[5]回答表!E278,"")),"")</f>
        <v/>
      </c>
      <c r="BG89" s="84"/>
      <c r="BH89" s="84"/>
      <c r="BI89" s="84"/>
      <c r="BJ89" s="83" t="str">
        <f>IF([5]回答表!F17="水道事業",IF([5]回答表!X45="●",[5]回答表!E213,IF([5]回答表!AA45="●",[5]回答表!E279,"")),"")</f>
        <v/>
      </c>
      <c r="BK89" s="84"/>
      <c r="BL89" s="84"/>
      <c r="BM89" s="84"/>
      <c r="BN89" s="83" t="str">
        <f>IF([5]回答表!F17="水道事業",IF([5]回答表!X45="●",[5]回答表!E214,IF([5]回答表!AA45="●",[5]回答表!E280,"")),"")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IF([5]回答表!F17="水道事業",IF([5]回答表!AA45="●","●",""),"")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IF([5]回答表!F17="水道事業",IF([5]回答表!X45="●",[5]回答表!J176,IF([5]回答表!AA45="●",[5]回答表!J241,"")),"")</f>
        <v/>
      </c>
      <c r="V93" s="120"/>
      <c r="W93" s="120"/>
      <c r="X93" s="120"/>
      <c r="Y93" s="120"/>
      <c r="Z93" s="120"/>
      <c r="AA93" s="120"/>
      <c r="AB93" s="121"/>
      <c r="AC93" s="119" t="str">
        <f>IF([5]回答表!F17="水道事業",IF([5]回答表!X45="●",[5]回答表!J180,IF([5]回答表!AA45="●",[5]回答表!J245,"")),"")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IF([5]回答表!F17="水道事業",IF([5]回答表!AD45="●","●",""),"")</f>
        <v/>
      </c>
      <c r="O98" s="99"/>
      <c r="P98" s="99"/>
      <c r="Q98" s="100"/>
      <c r="R98" s="38"/>
      <c r="S98" s="38"/>
      <c r="T98" s="38"/>
      <c r="U98" s="107" t="str">
        <f>IF([5]回答表!F17="水道事業",IF([5]回答表!AD45="●",[5]回答表!B289,""),"")</f>
        <v/>
      </c>
      <c r="V98" s="108"/>
      <c r="W98" s="108"/>
      <c r="X98" s="108"/>
      <c r="Y98" s="108"/>
      <c r="Z98" s="108"/>
      <c r="AA98" s="108"/>
      <c r="AB98" s="108"/>
      <c r="AC98" s="108"/>
      <c r="AD98" s="108"/>
      <c r="AE98" s="108"/>
      <c r="AF98" s="108"/>
      <c r="AG98" s="108"/>
      <c r="AH98" s="108"/>
      <c r="AI98" s="108"/>
      <c r="AJ98" s="109"/>
      <c r="AK98" s="55"/>
      <c r="AL98" s="55"/>
      <c r="AM98" s="107" t="str">
        <f>IF([5]回答表!F17="水道事業",IF([5]回答表!AD45="●",[5]回答表!B295,""),"")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IF([5]回答表!F17="簡易水道事業",IF([5]回答表!X45="●",[5]回答表!B158,IF([5]回答表!AA45="●",[5]回答表!B223,"")),"")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IF([5]回答表!F17="簡易水道事業",IF([5]回答表!X45="●",[5]回答表!B212,IF([5]回答表!AA45="●",[5]回答表!B278,"")),"")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IF([5]回答表!F17="簡易水道事業",IF([5]回答表!X45="●","●",""),"")</f>
        <v/>
      </c>
      <c r="O112" s="99"/>
      <c r="P112" s="99"/>
      <c r="Q112" s="100"/>
      <c r="R112" s="38"/>
      <c r="S112" s="38"/>
      <c r="T112" s="38"/>
      <c r="U112" s="119" t="str">
        <f>IF([5]回答表!F17="簡易水道事業",IF([5]回答表!X45="●",[5]回答表!Y185,IF([5]回答表!AA45="●",[5]回答表!Y251,"")),"")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IF([5]回答表!F17="簡易水道事業",IF([5]回答表!X45="●",[5]回答表!E212,IF([5]回答表!AA45="●",[5]回答表!E278,"")),"")</f>
        <v/>
      </c>
      <c r="BG113" s="84"/>
      <c r="BH113" s="84"/>
      <c r="BI113" s="84"/>
      <c r="BJ113" s="83" t="str">
        <f>IF([5]回答表!F17="簡易水道事業",IF([5]回答表!X45="●",[5]回答表!E213,IF([5]回答表!AA45="●",[5]回答表!E279,"")),"")</f>
        <v/>
      </c>
      <c r="BK113" s="84"/>
      <c r="BL113" s="84"/>
      <c r="BM113" s="84"/>
      <c r="BN113" s="83" t="str">
        <f>IF([5]回答表!F17="簡易水道事業",IF([5]回答表!X45="●",[5]回答表!E214,IF([5]回答表!AA45="●",[5]回答表!E280,"")),"")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IF([5]回答表!F17="簡易水道事業",IF([5]回答表!X45="●",[5]回答表!Y186,IF([5]回答表!AA45="●",[5]回答表!Y252,"")),"")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IF([5]回答表!F17="簡易水道事業",IF([5]回答表!AA45="●","●",""),"")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IF([5]回答表!F17="簡易水道事業",IF([5]回答表!X45="●",[5]回答表!Y187,IF([5]回答表!AA45="●",[5]回答表!Y253,"")),"")</f>
        <v/>
      </c>
      <c r="V122" s="120"/>
      <c r="W122" s="120"/>
      <c r="X122" s="120"/>
      <c r="Y122" s="120"/>
      <c r="Z122" s="120"/>
      <c r="AA122" s="120"/>
      <c r="AB122" s="120"/>
      <c r="AC122" s="120"/>
      <c r="AD122" s="120"/>
      <c r="AE122" s="120"/>
      <c r="AF122" s="120"/>
      <c r="AG122" s="120"/>
      <c r="AH122" s="120"/>
      <c r="AI122" s="120"/>
      <c r="AJ122" s="121"/>
      <c r="AK122" s="18"/>
      <c r="AL122" s="18"/>
      <c r="AM122" s="228" t="str">
        <f>IF([5]回答表!F17="簡易水道事業",IF([5]回答表!X45="●",[5]回答表!Y189,IF([5]回答表!AA45="●",[5]回答表!Y255,"")),"")</f>
        <v/>
      </c>
      <c r="AN122" s="228"/>
      <c r="AO122" s="228"/>
      <c r="AP122" s="228"/>
      <c r="AQ122" s="228"/>
      <c r="AR122" s="228"/>
      <c r="AS122" s="228" t="str">
        <f>IF([5]回答表!F17="簡易水道事業",IF([5]回答表!X45="●",[5]回答表!Y190,IF([5]回答表!AA45="●",[5]回答表!Y256,"")),"")</f>
        <v/>
      </c>
      <c r="AT122" s="228"/>
      <c r="AU122" s="228"/>
      <c r="AV122" s="228"/>
      <c r="AW122" s="228"/>
      <c r="AX122" s="228"/>
      <c r="AY122" s="228" t="str">
        <f>IF([5]回答表!F17="簡易水道事業",IF([5]回答表!X45="●",[5]回答表!Y191,IF([5]回答表!AA45="●",[5]回答表!Y257,"")),"")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IF([5]回答表!F17="簡易水道事業",IF([5]回答表!AD45="●","●",""),"")</f>
        <v/>
      </c>
      <c r="O127" s="99"/>
      <c r="P127" s="99"/>
      <c r="Q127" s="100"/>
      <c r="R127" s="38"/>
      <c r="S127" s="38"/>
      <c r="T127" s="38"/>
      <c r="U127" s="107" t="str">
        <f>IF([5]回答表!F17="簡易水道事業",IF([5]回答表!AD45="●",[5]回答表!B289,""),"")</f>
        <v/>
      </c>
      <c r="V127" s="108"/>
      <c r="W127" s="108"/>
      <c r="X127" s="108"/>
      <c r="Y127" s="108"/>
      <c r="Z127" s="108"/>
      <c r="AA127" s="108"/>
      <c r="AB127" s="108"/>
      <c r="AC127" s="108"/>
      <c r="AD127" s="108"/>
      <c r="AE127" s="108"/>
      <c r="AF127" s="108"/>
      <c r="AG127" s="108"/>
      <c r="AH127" s="108"/>
      <c r="AI127" s="108"/>
      <c r="AJ127" s="109"/>
      <c r="AK127" s="55"/>
      <c r="AL127" s="55"/>
      <c r="AM127" s="107" t="str">
        <f>IF([5]回答表!F17="簡易水道事業",IF([5]回答表!AD45="●",[5]回答表!B295,""),"")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IF([5]回答表!F17="下水道事業",IF([5]回答表!X45="●","●",""),"")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IF([5]回答表!F17="下水道事業",IF([5]回答表!X45="●",[5]回答表!B158,IF([5]回答表!AA45="●",[5]回答表!B223,"")),"")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IF([5]回答表!F17="下水道事業",IF([5]回答表!X45="●",[5]回答表!B212,IF([5]回答表!AA45="●",[5]回答表!B278,"")),"")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IF([5]回答表!F17="下水道事業",IF([5]回答表!X45="●",[5]回答表!Y193,IF([5]回答表!AA45="●",[5]回答表!Y259,"")),"")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IF([5]回答表!F17="下水道事業",IF([5]回答表!X45="●",[5]回答表!E212,IF([5]回答表!AA45="●",[5]回答表!E278,"")),"")</f>
        <v/>
      </c>
      <c r="BG142" s="84"/>
      <c r="BH142" s="84"/>
      <c r="BI142" s="84"/>
      <c r="BJ142" s="83" t="str">
        <f>IF([5]回答表!F17="下水道事業",IF([5]回答表!X45="●",[5]回答表!E213,IF([5]回答表!AA45="●",[5]回答表!E279,"")),"")</f>
        <v/>
      </c>
      <c r="BK142" s="84"/>
      <c r="BL142" s="84"/>
      <c r="BM142" s="84"/>
      <c r="BN142" s="83" t="str">
        <f>IF([5]回答表!F17="下水道事業",IF([5]回答表!X45="●",[5]回答表!E214,IF([5]回答表!AA45="●",[5]回答表!E280,"")),"")</f>
        <v/>
      </c>
      <c r="BO142" s="84"/>
      <c r="BP142" s="84"/>
      <c r="BQ142" s="87"/>
      <c r="BR142" s="37"/>
      <c r="BX142" s="211" t="str">
        <f>IF([5]回答表!AQ20="下水道事業",IF([5]回答表!BI48="○",[5]回答表!AM161,IF([5]回答表!BL48="○",[5]回答表!AM226,"")),"")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IF([5]回答表!F17="下水道事業",IF([5]回答表!X45="●",[5]回答表!Y195,IF([5]回答表!AA45="●",[5]回答表!Y261,"")),"")</f>
        <v/>
      </c>
      <c r="V147" s="120"/>
      <c r="W147" s="120"/>
      <c r="X147" s="120"/>
      <c r="Y147" s="120"/>
      <c r="Z147" s="120"/>
      <c r="AA147" s="120"/>
      <c r="AB147" s="121"/>
      <c r="AC147" s="119" t="str">
        <f>IF([5]回答表!F17="下水道事業",IF([5]回答表!X45="●",[5]回答表!Y196,IF([5]回答表!AA45="●",[5]回答表!Y262,"")),"")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IF([5]回答表!F17="下水道事業",IF([5]回答表!X45="●",[5]回答表!Y198,IF([5]回答表!AA45="●",[5]回答表!Y264,"")),"")</f>
        <v/>
      </c>
      <c r="V153" s="120"/>
      <c r="W153" s="120"/>
      <c r="X153" s="120"/>
      <c r="Y153" s="120"/>
      <c r="Z153" s="120"/>
      <c r="AA153" s="120"/>
      <c r="AB153" s="121"/>
      <c r="AC153" s="119" t="str">
        <f>IF([5]回答表!F17="下水道事業",IF([5]回答表!X45="●",[5]回答表!Y199,IF([5]回答表!AA45="●",[5]回答表!Y265,"")),"")</f>
        <v/>
      </c>
      <c r="AD153" s="120"/>
      <c r="AE153" s="120"/>
      <c r="AF153" s="120"/>
      <c r="AG153" s="120"/>
      <c r="AH153" s="120"/>
      <c r="AI153" s="120"/>
      <c r="AJ153" s="121"/>
      <c r="AK153" s="119" t="str">
        <f>IF([5]回答表!F17="下水道事業",IF([5]回答表!X45="●",[5]回答表!Y200,IF([5]回答表!AA45="●",[5]回答表!Y266,"")),"")</f>
        <v/>
      </c>
      <c r="AL153" s="120"/>
      <c r="AM153" s="120"/>
      <c r="AN153" s="120"/>
      <c r="AO153" s="120"/>
      <c r="AP153" s="120"/>
      <c r="AQ153" s="120"/>
      <c r="AR153" s="121"/>
      <c r="AS153" s="119" t="str">
        <f>IF([5]回答表!F17="下水道事業",IF([5]回答表!X45="●",[5]回答表!Y201,IF([5]回答表!AA45="●",[5]回答表!Y267,"")),"")</f>
        <v/>
      </c>
      <c r="AT153" s="120"/>
      <c r="AU153" s="120"/>
      <c r="AV153" s="120"/>
      <c r="AW153" s="120"/>
      <c r="AX153" s="120"/>
      <c r="AY153" s="120"/>
      <c r="AZ153" s="121"/>
      <c r="BA153" s="119" t="str">
        <f>IF([5]回答表!F17="下水道事業",IF([5]回答表!X45="●",[5]回答表!Y202,IF([5]回答表!AA45="●",[5]回答表!Y268,"")),"")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IF([5]回答表!F17="下水道事業",IF([5]回答表!AA45="●","●",""),"")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IF([5]回答表!F17="下水道事業",IF([5]回答表!X45="●",[5]回答表!Y207,IF([5]回答表!AA45="●",[5]回答表!Y273,"")),"")</f>
        <v/>
      </c>
      <c r="V159" s="120"/>
      <c r="W159" s="120"/>
      <c r="X159" s="120"/>
      <c r="Y159" s="120"/>
      <c r="Z159" s="120"/>
      <c r="AA159" s="120"/>
      <c r="AB159" s="121"/>
      <c r="AC159" s="119" t="str">
        <f>IF([5]回答表!F17="下水道事業",IF([5]回答表!X45="●",[5]回答表!Y208,IF([5]回答表!AA45="●",[5]回答表!Y274,"")),"")</f>
        <v/>
      </c>
      <c r="AD159" s="120"/>
      <c r="AE159" s="120"/>
      <c r="AF159" s="120"/>
      <c r="AG159" s="120"/>
      <c r="AH159" s="120"/>
      <c r="AI159" s="120"/>
      <c r="AJ159" s="121"/>
      <c r="AK159" s="119" t="str">
        <f>IF([5]回答表!F17="下水道事業",IF([5]回答表!X45="●",[5]回答表!Y209,IF([5]回答表!AA45="●",[5]回答表!Y275,"")),"")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IF([5]回答表!F17="下水道事業",IF([5]回答表!AD45="●","●",""),"")</f>
        <v/>
      </c>
      <c r="O164" s="99"/>
      <c r="P164" s="99"/>
      <c r="Q164" s="100"/>
      <c r="R164" s="38"/>
      <c r="S164" s="38"/>
      <c r="T164" s="38"/>
      <c r="U164" s="107" t="str">
        <f>IF([5]回答表!F17="下水道事業",IF([5]回答表!AD45="●",[5]回答表!B289,""),"")</f>
        <v/>
      </c>
      <c r="V164" s="108"/>
      <c r="W164" s="108"/>
      <c r="X164" s="108"/>
      <c r="Y164" s="108"/>
      <c r="Z164" s="108"/>
      <c r="AA164" s="108"/>
      <c r="AB164" s="108"/>
      <c r="AC164" s="108"/>
      <c r="AD164" s="108"/>
      <c r="AE164" s="108"/>
      <c r="AF164" s="108"/>
      <c r="AG164" s="108"/>
      <c r="AH164" s="108"/>
      <c r="AI164" s="108"/>
      <c r="AJ164" s="109"/>
      <c r="AK164" s="55"/>
      <c r="AL164" s="55"/>
      <c r="AM164" s="107" t="str">
        <f>IF([5]回答表!F17="下水道事業",IF([5]回答表!AD45="●",[5]回答表!B295,""),"")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IF([5]回答表!BD17="●",IF([5]回答表!X45="●","●",""),"")</f>
        <v/>
      </c>
      <c r="O176" s="99"/>
      <c r="P176" s="99"/>
      <c r="Q176" s="100"/>
      <c r="R176" s="38"/>
      <c r="S176" s="38"/>
      <c r="T176" s="38"/>
      <c r="U176" s="107" t="str">
        <f>IF([5]回答表!BD17="●",IF([5]回答表!X45="●",[5]回答表!B158,IF([5]回答表!AA45="●",[5]回答表!B223,"")),"")</f>
        <v/>
      </c>
      <c r="V176" s="108"/>
      <c r="W176" s="108"/>
      <c r="X176" s="108"/>
      <c r="Y176" s="108"/>
      <c r="Z176" s="108"/>
      <c r="AA176" s="108"/>
      <c r="AB176" s="108"/>
      <c r="AC176" s="108"/>
      <c r="AD176" s="108"/>
      <c r="AE176" s="108"/>
      <c r="AF176" s="108"/>
      <c r="AG176" s="108"/>
      <c r="AH176" s="108"/>
      <c r="AI176" s="108"/>
      <c r="AJ176" s="109"/>
      <c r="AK176" s="49"/>
      <c r="AL176" s="49"/>
      <c r="AM176" s="116" t="str">
        <f>IF([5]回答表!BD17="●",IF([5]回答表!X45="●",[5]回答表!B212,IF([5]回答表!AA45="●",[5]回答表!B278,"")),"")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IF([5]回答表!BD17="●",IF([5]回答表!X45="●",[5]回答表!E212,IF([5]回答表!AA45="●",[5]回答表!E278,"")),"")</f>
        <v/>
      </c>
      <c r="AN179" s="84"/>
      <c r="AO179" s="84"/>
      <c r="AP179" s="84"/>
      <c r="AQ179" s="83" t="str">
        <f>IF([5]回答表!BD17="●",IF([5]回答表!X45="●",[5]回答表!E213,IF([5]回答表!AA45="●",[5]回答表!E279,"")),"")</f>
        <v/>
      </c>
      <c r="AR179" s="84"/>
      <c r="AS179" s="84"/>
      <c r="AT179" s="84"/>
      <c r="AU179" s="83" t="str">
        <f>IF([5]回答表!BD17="●",IF([5]回答表!X45="●",[5]回答表!E214,IF([5]回答表!AA45="●",[5]回答表!E280,"")),"")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IF([5]回答表!BD17="●",IF([5]回答表!AA45="●","●",""),"")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IF([5]回答表!BD17="●",IF([5]回答表!AD45="●","●",""),"")</f>
        <v/>
      </c>
      <c r="O188" s="99"/>
      <c r="P188" s="99"/>
      <c r="Q188" s="100"/>
      <c r="R188" s="38"/>
      <c r="S188" s="38"/>
      <c r="T188" s="38"/>
      <c r="U188" s="107" t="str">
        <f>IF([5]回答表!BD17="●",IF([5]回答表!AD45="●",[5]回答表!B289,""),"")</f>
        <v/>
      </c>
      <c r="V188" s="108"/>
      <c r="W188" s="108"/>
      <c r="X188" s="108"/>
      <c r="Y188" s="108"/>
      <c r="Z188" s="108"/>
      <c r="AA188" s="108"/>
      <c r="AB188" s="108"/>
      <c r="AC188" s="108"/>
      <c r="AD188" s="108"/>
      <c r="AE188" s="108"/>
      <c r="AF188" s="108"/>
      <c r="AG188" s="108"/>
      <c r="AH188" s="108"/>
      <c r="AI188" s="108"/>
      <c r="AJ188" s="109"/>
      <c r="AK188" s="55"/>
      <c r="AL188" s="55"/>
      <c r="AM188" s="107" t="str">
        <f>IF([5]回答表!BD17="●",IF([5]回答表!AD45="●",[5]回答表!B295,""),"")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IF([5]回答表!X46="●","●","")</f>
        <v>●</v>
      </c>
      <c r="O200" s="99"/>
      <c r="P200" s="99"/>
      <c r="Q200" s="100"/>
      <c r="R200" s="38"/>
      <c r="S200" s="38"/>
      <c r="T200" s="38"/>
      <c r="U200" s="107" t="str">
        <f>IF([5]回答表!X46="●",[5]回答表!B307,IF([5]回答表!AA46="●",[5]回答表!B324,""))</f>
        <v>特別養護老人ホーム（定員１１０人）の管理・運営
住民サービスの充実、介護サービスの質の向上が図られた。</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IF([5]回答表!X46="●",[5]回答表!U313,IF([5]回答表!AA46="●",[5]回答表!U330,""))</f>
        <v>平成</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IF([5]回答表!X46="●",[5]回答表!G313,IF([5]回答表!AA46="●",[5]回答表!G330,""))</f>
        <v xml:space="preserve"> </v>
      </c>
      <c r="AN203" s="120"/>
      <c r="AO203" s="120"/>
      <c r="AP203" s="120"/>
      <c r="AQ203" s="120"/>
      <c r="AR203" s="120"/>
      <c r="AS203" s="120"/>
      <c r="AT203" s="121"/>
      <c r="AU203" s="119" t="str">
        <f>IF([5]回答表!X46="●",[5]回答表!G314,IF([5]回答表!AA46="●",[5]回答表!G331,""))</f>
        <v>●</v>
      </c>
      <c r="AV203" s="120"/>
      <c r="AW203" s="120"/>
      <c r="AX203" s="120"/>
      <c r="AY203" s="120"/>
      <c r="AZ203" s="120"/>
      <c r="BA203" s="120"/>
      <c r="BB203" s="121"/>
      <c r="BC203" s="39"/>
      <c r="BD203" s="34"/>
      <c r="BE203" s="34"/>
      <c r="BF203" s="83">
        <f>IF([5]回答表!X46="●",[5]回答表!X313,IF([5]回答表!AA46="●",[5]回答表!X330,""))</f>
        <v>18</v>
      </c>
      <c r="BG203" s="84"/>
      <c r="BH203" s="84"/>
      <c r="BI203" s="84"/>
      <c r="BJ203" s="83">
        <f>IF([5]回答表!X46="●",[5]回答表!X314,IF([5]回答表!AA46="●",[5]回答表!X331,""))</f>
        <v>4</v>
      </c>
      <c r="BK203" s="84"/>
      <c r="BL203" s="84"/>
      <c r="BM203" s="87"/>
      <c r="BN203" s="83">
        <f>IF([5]回答表!X46="●",[5]回答表!X315,IF([5]回答表!AA46="●",[5]回答表!X332,""))</f>
        <v>1</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IF([5]回答表!AA46="●","●","")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IF([5]回答表!AD46="●","●","")</f>
        <v/>
      </c>
      <c r="O212" s="99"/>
      <c r="P212" s="99"/>
      <c r="Q212" s="100"/>
      <c r="R212" s="38"/>
      <c r="S212" s="38"/>
      <c r="T212" s="38"/>
      <c r="U212" s="107" t="str">
        <f>IF([5]回答表!AD46="●",[5]回答表!B337,"")</f>
        <v/>
      </c>
      <c r="V212" s="108"/>
      <c r="W212" s="108"/>
      <c r="X212" s="108"/>
      <c r="Y212" s="108"/>
      <c r="Z212" s="108"/>
      <c r="AA212" s="108"/>
      <c r="AB212" s="108"/>
      <c r="AC212" s="108"/>
      <c r="AD212" s="108"/>
      <c r="AE212" s="108"/>
      <c r="AF212" s="108"/>
      <c r="AG212" s="108"/>
      <c r="AH212" s="108"/>
      <c r="AI212" s="108"/>
      <c r="AJ212" s="109"/>
      <c r="AK212" s="62"/>
      <c r="AL212" s="62"/>
      <c r="AM212" s="107" t="str">
        <f>IF([5]回答表!AD46="●",[5]回答表!B343,"")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IF([5]回答表!X47="●","●","")</f>
        <v/>
      </c>
      <c r="O224" s="99"/>
      <c r="P224" s="99"/>
      <c r="Q224" s="100"/>
      <c r="R224" s="38"/>
      <c r="S224" s="38"/>
      <c r="T224" s="38"/>
      <c r="U224" s="107" t="str">
        <f>IF([5]回答表!X47="●",[5]回答表!B356,IF([5]回答表!AA47="●",[5]回答表!B379,""))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IF([5]回答表!X47="●",[5]回答表!B362,"")</f>
        <v/>
      </c>
      <c r="AO224" s="182"/>
      <c r="AP224" s="182"/>
      <c r="AQ224" s="182"/>
      <c r="AR224" s="182"/>
      <c r="AS224" s="182"/>
      <c r="AT224" s="182"/>
      <c r="AU224" s="182"/>
      <c r="AV224" s="182"/>
      <c r="AW224" s="182"/>
      <c r="AX224" s="182"/>
      <c r="AY224" s="182"/>
      <c r="AZ224" s="182"/>
      <c r="BA224" s="182"/>
      <c r="BB224" s="183"/>
      <c r="BC224" s="39"/>
      <c r="BD224" s="34"/>
      <c r="BE224" s="34"/>
      <c r="BF224" s="116" t="str">
        <f>IF([5]回答表!X47="●",[5]回答表!B368,IF([5]回答表!AA47="●",[5]回答表!B385,""))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IF([5]回答表!X47="●",[5]回答表!E368,IF([5]回答表!AA47="●",[5]回答表!E385,""))</f>
        <v/>
      </c>
      <c r="BG227" s="84"/>
      <c r="BH227" s="84"/>
      <c r="BI227" s="84"/>
      <c r="BJ227" s="83" t="str">
        <f>IF([5]回答表!X47="●",[5]回答表!E369,IF([5]回答表!AA47="●",[5]回答表!E386,""))</f>
        <v/>
      </c>
      <c r="BK227" s="84"/>
      <c r="BL227" s="84"/>
      <c r="BM227" s="87"/>
      <c r="BN227" s="83" t="str">
        <f>IF([5]回答表!X47="●",[5]回答表!E370,IF([5]回答表!AA47="●",[5]回答表!E387,""))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IF([5]回答表!AA47="●","●","")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IF([5]回答表!AD47="●","●","")</f>
        <v/>
      </c>
      <c r="O236" s="99"/>
      <c r="P236" s="99"/>
      <c r="Q236" s="100"/>
      <c r="R236" s="38"/>
      <c r="S236" s="38"/>
      <c r="T236" s="38"/>
      <c r="U236" s="107" t="str">
        <f>IF([5]回答表!AD47="●",[5]回答表!B392,"")</f>
        <v/>
      </c>
      <c r="V236" s="108"/>
      <c r="W236" s="108"/>
      <c r="X236" s="108"/>
      <c r="Y236" s="108"/>
      <c r="Z236" s="108"/>
      <c r="AA236" s="108"/>
      <c r="AB236" s="108"/>
      <c r="AC236" s="108"/>
      <c r="AD236" s="108"/>
      <c r="AE236" s="108"/>
      <c r="AF236" s="108"/>
      <c r="AG236" s="108"/>
      <c r="AH236" s="108"/>
      <c r="AI236" s="108"/>
      <c r="AJ236" s="109"/>
      <c r="AK236" s="62"/>
      <c r="AL236" s="62"/>
      <c r="AM236" s="107" t="str">
        <f>IF([5]回答表!AD47="●",[5]回答表!B398,"")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IF([5]回答表!X48="●","●","")</f>
        <v/>
      </c>
      <c r="O248" s="99"/>
      <c r="P248" s="99"/>
      <c r="Q248" s="100"/>
      <c r="R248" s="38"/>
      <c r="S248" s="38"/>
      <c r="T248" s="38"/>
      <c r="U248" s="107" t="str">
        <f>IF([5]回答表!X48="●",[5]回答表!B411,IF([5]回答表!AA48="●",[5]回答表!B425,""))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IF([5]回答表!X48="●",[5]回答表!BC418,IF([5]回答表!AA48="●",[5]回答表!BC432,""))</f>
        <v/>
      </c>
      <c r="AR248" s="151"/>
      <c r="AS248" s="151"/>
      <c r="AT248" s="151"/>
      <c r="AU248" s="173" t="s">
        <v>73</v>
      </c>
      <c r="AV248" s="174"/>
      <c r="AW248" s="174"/>
      <c r="AX248" s="175"/>
      <c r="AY248" s="151" t="str">
        <f>IF([5]回答表!X48="●",[5]回答表!BC423,IF([5]回答表!AA48="●",[5]回答表!BC437,""))</f>
        <v/>
      </c>
      <c r="AZ248" s="151"/>
      <c r="BA248" s="151"/>
      <c r="BB248" s="151"/>
      <c r="BC248" s="39"/>
      <c r="BD248" s="34"/>
      <c r="BE248" s="34"/>
      <c r="BF248" s="116" t="str">
        <f>IF([5]回答表!X48="●",[5]回答表!S417,IF([5]回答表!AA48="●",[5]回答表!S431,""))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IF([5]回答表!X48="●",[5]回答表!BC419,IF([5]回答表!AA48="●",[5]回答表!BC433,""))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IF([5]回答表!X48="●",[5]回答表!V417,IF([5]回答表!AA48="●",[5]回答表!V431,""))</f>
        <v/>
      </c>
      <c r="BG251" s="84"/>
      <c r="BH251" s="84"/>
      <c r="BI251" s="84"/>
      <c r="BJ251" s="83" t="str">
        <f>IF([5]回答表!X48="●",[5]回答表!V418,IF([5]回答表!AA48="●",[5]回答表!V432,""))</f>
        <v/>
      </c>
      <c r="BK251" s="84"/>
      <c r="BL251" s="84"/>
      <c r="BM251" s="87"/>
      <c r="BN251" s="83" t="str">
        <f>IF([5]回答表!X48="●",[5]回答表!V419,IF([5]回答表!AA48="●",[5]回答表!V433,""))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IF([5]回答表!X48="●",[5]回答表!BC420,IF([5]回答表!AA48="●",[5]回答表!BC434,""))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IF([5]回答表!X48="●",[5]回答表!BC424,IF([5]回答表!AA48="●",[5]回答表!BC438,""))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IF([5]回答表!AA48="●","●","")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IF([5]回答表!X48="●",[5]回答表!BC421,IF([5]回答表!AA48="●",[5]回答表!BC435,""))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IF([5]回答表!X48="●",[5]回答表!BC422,IF([5]回答表!AA48="●",[5]回答表!BC436,""))</f>
        <v/>
      </c>
      <c r="AR256" s="151"/>
      <c r="AS256" s="151"/>
      <c r="AT256" s="151"/>
      <c r="AU256" s="152" t="s">
        <v>79</v>
      </c>
      <c r="AV256" s="153"/>
      <c r="AW256" s="153"/>
      <c r="AX256" s="154"/>
      <c r="AY256" s="158" t="str">
        <f>IF([5]回答表!X48="●",[5]回答表!BC425,IF([5]回答表!AA48="●",[5]回答表!BC439,""))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IF([5]回答表!AD48="●","●","")</f>
        <v/>
      </c>
      <c r="O260" s="99"/>
      <c r="P260" s="99"/>
      <c r="Q260" s="100"/>
      <c r="R260" s="38"/>
      <c r="S260" s="38"/>
      <c r="T260" s="38"/>
      <c r="U260" s="107" t="str">
        <f>IF([5]回答表!AD48="●",[5]回答表!B439,"")</f>
        <v/>
      </c>
      <c r="V260" s="108"/>
      <c r="W260" s="108"/>
      <c r="X260" s="108"/>
      <c r="Y260" s="108"/>
      <c r="Z260" s="108"/>
      <c r="AA260" s="108"/>
      <c r="AB260" s="108"/>
      <c r="AC260" s="108"/>
      <c r="AD260" s="108"/>
      <c r="AE260" s="108"/>
      <c r="AF260" s="108"/>
      <c r="AG260" s="108"/>
      <c r="AH260" s="108"/>
      <c r="AI260" s="108"/>
      <c r="AJ260" s="109"/>
      <c r="AK260" s="55"/>
      <c r="AL260" s="55"/>
      <c r="AM260" s="107" t="str">
        <f>IF([5]回答表!AD48="●",[5]回答表!B445,"")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IF([5]回答表!X49="●","●","")</f>
        <v/>
      </c>
      <c r="O271" s="99"/>
      <c r="P271" s="99"/>
      <c r="Q271" s="100"/>
      <c r="R271" s="38"/>
      <c r="S271" s="38"/>
      <c r="T271" s="38"/>
      <c r="U271" s="107" t="str">
        <f>IF([5]回答表!X49="●",[5]回答表!B458,IF([5]回答表!AA49="●",[5]回答表!B475,""))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IF([5]回答表!X49="●",[5]回答表!B468,IF([5]回答表!AA49="●",[5]回答表!B485,""))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IF([5]回答表!X49="●",[5]回答表!G464,IF([5]回答表!AA49="●",[5]回答表!G481,""))</f>
        <v/>
      </c>
      <c r="AN273" s="120"/>
      <c r="AO273" s="120"/>
      <c r="AP273" s="120"/>
      <c r="AQ273" s="120"/>
      <c r="AR273" s="120"/>
      <c r="AS273" s="120"/>
      <c r="AT273" s="121"/>
      <c r="AU273" s="119" t="str">
        <f>IF([5]回答表!X49="●",[5]回答表!G465,IF([5]回答表!AA49="●",[5]回答表!G482,""))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IF([5]回答表!X49="●",[5]回答表!E468,IF([5]回答表!AA49="●",[5]回答表!E485,""))</f>
        <v/>
      </c>
      <c r="BG274" s="84"/>
      <c r="BH274" s="84"/>
      <c r="BI274" s="84"/>
      <c r="BJ274" s="83" t="str">
        <f>IF([5]回答表!X49="●",[5]回答表!E469,IF([5]回答表!AA49="●",[5]回答表!E486,""))</f>
        <v/>
      </c>
      <c r="BK274" s="84"/>
      <c r="BL274" s="84"/>
      <c r="BM274" s="87"/>
      <c r="BN274" s="83" t="str">
        <f>IF([5]回答表!X49="●",[5]回答表!E470,IF([5]回答表!AA49="●",[5]回答表!E487,""))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IF([5]回答表!AA49="●","●","")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IF([5]回答表!AD49="●","●","")</f>
        <v/>
      </c>
      <c r="O283" s="99"/>
      <c r="P283" s="99"/>
      <c r="Q283" s="100"/>
      <c r="R283" s="38"/>
      <c r="S283" s="38"/>
      <c r="T283" s="38"/>
      <c r="U283" s="107" t="str">
        <f>IF([5]回答表!AD49="●",[5]回答表!B492,"")</f>
        <v/>
      </c>
      <c r="V283" s="108"/>
      <c r="W283" s="108"/>
      <c r="X283" s="108"/>
      <c r="Y283" s="108"/>
      <c r="Z283" s="108"/>
      <c r="AA283" s="108"/>
      <c r="AB283" s="108"/>
      <c r="AC283" s="108"/>
      <c r="AD283" s="108"/>
      <c r="AE283" s="108"/>
      <c r="AF283" s="108"/>
      <c r="AG283" s="108"/>
      <c r="AH283" s="108"/>
      <c r="AI283" s="108"/>
      <c r="AJ283" s="109"/>
      <c r="AK283" s="49"/>
      <c r="AL283" s="49"/>
      <c r="AM283" s="107" t="str">
        <f>IF([5]回答表!AD49="●",[5]回答表!B498,"")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IF([5]回答表!R50="●",[5]回答表!B511,"")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45399-CBF0-4F61-A930-48CD13F43651}">
  <sheetPr>
    <pageSetUpPr fitToPage="1"/>
  </sheetPr>
  <dimension ref="A1:CN315"/>
  <sheetViews>
    <sheetView showZeros="0" view="pageBreakPreview" zoomScale="60" zoomScaleNormal="55" workbookViewId="0">
      <selection activeCell="AR104" sqref="AR104:BB10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IF(COUNTIF([7]回答表!K15,"*")&gt;0,[7]回答表!K15,"")</f>
        <v>大館市</v>
      </c>
      <c r="D11" s="299"/>
      <c r="E11" s="299"/>
      <c r="F11" s="299"/>
      <c r="G11" s="299"/>
      <c r="H11" s="299"/>
      <c r="I11" s="299"/>
      <c r="J11" s="299"/>
      <c r="K11" s="299"/>
      <c r="L11" s="299"/>
      <c r="M11" s="299"/>
      <c r="N11" s="299"/>
      <c r="O11" s="299"/>
      <c r="P11" s="299"/>
      <c r="Q11" s="299"/>
      <c r="R11" s="299"/>
      <c r="S11" s="299"/>
      <c r="T11" s="299"/>
      <c r="U11" s="306" t="str">
        <f>IF(COUNTIF([7]回答表!F17,"*")&gt;0,[7]回答表!F17,"")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IF(COUNTIF([7]回答表!W17,"*")&gt;0,[7]回答表!W17,"")</f>
        <v>老人短期入所施設</v>
      </c>
      <c r="AP11" s="301"/>
      <c r="AQ11" s="301"/>
      <c r="AR11" s="301"/>
      <c r="AS11" s="301"/>
      <c r="AT11" s="301"/>
      <c r="AU11" s="301"/>
      <c r="AV11" s="301"/>
      <c r="AW11" s="301"/>
      <c r="AX11" s="301"/>
      <c r="AY11" s="301"/>
      <c r="AZ11" s="301"/>
      <c r="BA11" s="301"/>
      <c r="BB11" s="301"/>
      <c r="BC11" s="301"/>
      <c r="BD11" s="301"/>
      <c r="BE11" s="301"/>
      <c r="BF11" s="302"/>
      <c r="BG11" s="305" t="str">
        <f>IF(COUNTIF([7]回答表!F19,"*")&gt;0,[7]回答表!F19,"")</f>
        <v>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IF([7]回答表!R43="●","●","")</f>
        <v/>
      </c>
      <c r="E24" s="123"/>
      <c r="F24" s="123"/>
      <c r="G24" s="123"/>
      <c r="H24" s="123"/>
      <c r="I24" s="123"/>
      <c r="J24" s="124"/>
      <c r="K24" s="122" t="str">
        <f>IF([7]回答表!R44="●","●","")</f>
        <v>●</v>
      </c>
      <c r="L24" s="123"/>
      <c r="M24" s="123"/>
      <c r="N24" s="123"/>
      <c r="O24" s="123"/>
      <c r="P24" s="123"/>
      <c r="Q24" s="124"/>
      <c r="R24" s="122" t="str">
        <f>IF([7]回答表!R45="●","●","")</f>
        <v/>
      </c>
      <c r="S24" s="123"/>
      <c r="T24" s="123"/>
      <c r="U24" s="123"/>
      <c r="V24" s="123"/>
      <c r="W24" s="123"/>
      <c r="X24" s="124"/>
      <c r="Y24" s="122" t="str">
        <f>IF([7]回答表!R46="●","●","")</f>
        <v>●</v>
      </c>
      <c r="Z24" s="123"/>
      <c r="AA24" s="123"/>
      <c r="AB24" s="123"/>
      <c r="AC24" s="123"/>
      <c r="AD24" s="123"/>
      <c r="AE24" s="124"/>
      <c r="AF24" s="122" t="str">
        <f>IF([7]回答表!R47="●","●","")</f>
        <v/>
      </c>
      <c r="AG24" s="123"/>
      <c r="AH24" s="123"/>
      <c r="AI24" s="123"/>
      <c r="AJ24" s="123"/>
      <c r="AK24" s="123"/>
      <c r="AL24" s="124"/>
      <c r="AM24" s="122" t="str">
        <f>IF([7]回答表!R48="●","●","")</f>
        <v/>
      </c>
      <c r="AN24" s="123"/>
      <c r="AO24" s="123"/>
      <c r="AP24" s="123"/>
      <c r="AQ24" s="123"/>
      <c r="AR24" s="123"/>
      <c r="AS24" s="124"/>
      <c r="AT24" s="122" t="str">
        <f>IF([7]回答表!R49="●","●","")</f>
        <v/>
      </c>
      <c r="AU24" s="123"/>
      <c r="AV24" s="123"/>
      <c r="AW24" s="123"/>
      <c r="AX24" s="123"/>
      <c r="AY24" s="123"/>
      <c r="AZ24" s="124"/>
      <c r="BA24" s="18"/>
      <c r="BB24" s="119" t="str">
        <f>IF([7]回答表!R50="●","●","")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IF([7]回答表!X43="●","●","")</f>
        <v/>
      </c>
      <c r="O36" s="99"/>
      <c r="P36" s="99"/>
      <c r="Q36" s="100"/>
      <c r="R36" s="38"/>
      <c r="S36" s="38"/>
      <c r="T36" s="38"/>
      <c r="U36" s="107" t="str">
        <f>IF([7]回答表!X43="●",[7]回答表!B59,IF([7]回答表!AA43="●",[7]回答表!B79,""))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IF([7]回答表!X43="●",[7]回答表!S65,IF([7]回答表!AA43="●",[7]回答表!S85,""))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IF([7]回答表!X43="●",[7]回答表!G65,IF([7]回答表!AA43="●",[7]回答表!G85,""))</f>
        <v/>
      </c>
      <c r="AN38" s="120"/>
      <c r="AO38" s="120"/>
      <c r="AP38" s="120"/>
      <c r="AQ38" s="120"/>
      <c r="AR38" s="120"/>
      <c r="AS38" s="120"/>
      <c r="AT38" s="121"/>
      <c r="AU38" s="119" t="str">
        <f>IF([7]回答表!X43="●",[7]回答表!G66,IF([7]回答表!AA43="●",[7]回答表!G86,""))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IF([7]回答表!X43="●",[7]回答表!V65,IF([7]回答表!AA43="●",[7]回答表!V85,""))</f>
        <v/>
      </c>
      <c r="BG39" s="249"/>
      <c r="BH39" s="249"/>
      <c r="BI39" s="250"/>
      <c r="BJ39" s="83" t="str">
        <f>IF([7]回答表!X43="●",[7]回答表!V66,IF([7]回答表!AA43="●",[7]回答表!V86,""))</f>
        <v/>
      </c>
      <c r="BK39" s="249"/>
      <c r="BL39" s="249"/>
      <c r="BM39" s="250"/>
      <c r="BN39" s="83" t="str">
        <f>IF([7]回答表!X43="●",[7]回答表!V67,IF([7]回答表!AA43="●",[7]回答表!V87,""))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IF([7]回答表!X43="●",[7]回答表!O71,IF([7]回答表!AA43="●",[7]回答表!O91,""))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IF([7]回答表!X43="●",[7]回答表!O72,IF([7]回答表!AA43="●",[7]回答表!O92,""))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IF([7]回答表!AA43="●","●","")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IF([7]回答表!X43="●",[7]回答表!O73,IF([7]回答表!AA43="●",[7]回答表!O93,""))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IF([7]回答表!X43="●",[7]回答表!O74,IF([7]回答表!AA43="●",[7]回答表!O94,""))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IF([7]回答表!X43="●",[7]回答表!AG71,IF([7]回答表!AA43="●",[7]回答表!AG91,""))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IF([7]回答表!X43="●",[7]回答表!AG72,IF([7]回答表!AA43="●",[7]回答表!AG92,""))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IF([7]回答表!AD43="●","●","")</f>
        <v/>
      </c>
      <c r="O51" s="99"/>
      <c r="P51" s="99"/>
      <c r="Q51" s="100"/>
      <c r="R51" s="38"/>
      <c r="S51" s="38"/>
      <c r="T51" s="38"/>
      <c r="U51" s="107" t="str">
        <f>IF([7]回答表!AD43="●",[7]回答表!B99,"")</f>
        <v/>
      </c>
      <c r="V51" s="108"/>
      <c r="W51" s="108"/>
      <c r="X51" s="108"/>
      <c r="Y51" s="108"/>
      <c r="Z51" s="108"/>
      <c r="AA51" s="108"/>
      <c r="AB51" s="108"/>
      <c r="AC51" s="108"/>
      <c r="AD51" s="108"/>
      <c r="AE51" s="108"/>
      <c r="AF51" s="108"/>
      <c r="AG51" s="108"/>
      <c r="AH51" s="108"/>
      <c r="AI51" s="108"/>
      <c r="AJ51" s="109"/>
      <c r="AK51" s="55"/>
      <c r="AL51" s="55"/>
      <c r="AM51" s="107" t="str">
        <f>IF([7]回答表!AD43="●",[7]回答表!B104,"")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IF([7]回答表!X44="●","●","")</f>
        <v/>
      </c>
      <c r="O62" s="99"/>
      <c r="P62" s="99"/>
      <c r="Q62" s="100"/>
      <c r="R62" s="38"/>
      <c r="S62" s="38"/>
      <c r="T62" s="38"/>
      <c r="U62" s="107" t="str">
        <f>IF([7]回答表!X44="●",[7]回答表!B115,IF([7]回答表!AA44="●",[7]回答表!B127,""))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IF([7]回答表!X44="●",[7]回答表!S121,IF([7]回答表!AA44="●",[7]回答表!S133,""))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IF([7]回答表!X44="●",[7]回答表!J121,IF([7]回答表!AA44="●",[7]回答表!J133,""))</f>
        <v/>
      </c>
      <c r="AN65" s="120"/>
      <c r="AO65" s="120"/>
      <c r="AP65" s="120"/>
      <c r="AQ65" s="120"/>
      <c r="AR65" s="120"/>
      <c r="AS65" s="120"/>
      <c r="AT65" s="121"/>
      <c r="AU65" s="119" t="str">
        <f>IF([7]回答表!X44="●",[7]回答表!J122,IF([7]回答表!AA44="●",[7]回答表!J134,""))</f>
        <v/>
      </c>
      <c r="AV65" s="120"/>
      <c r="AW65" s="120"/>
      <c r="AX65" s="120"/>
      <c r="AY65" s="120"/>
      <c r="AZ65" s="120"/>
      <c r="BA65" s="120"/>
      <c r="BB65" s="121"/>
      <c r="BC65" s="39"/>
      <c r="BD65" s="34"/>
      <c r="BE65" s="34"/>
      <c r="BF65" s="83" t="str">
        <f>IF([7]回答表!X44="●",[7]回答表!V121,IF([7]回答表!AA44="●",[7]回答表!V133,""))</f>
        <v/>
      </c>
      <c r="BG65" s="84"/>
      <c r="BH65" s="84"/>
      <c r="BI65" s="84"/>
      <c r="BJ65" s="83" t="str">
        <f>IF([7]回答表!X44="●",[7]回答表!V122,IF([7]回答表!AA44="●",[7]回答表!V134,""))</f>
        <v/>
      </c>
      <c r="BK65" s="84"/>
      <c r="BL65" s="84"/>
      <c r="BM65" s="84"/>
      <c r="BN65" s="83" t="str">
        <f>IF([7]回答表!X44="●",[7]回答表!V123,IF([7]回答表!AA44="●",[7]回答表!V135,""))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IF([7]回答表!AA44="●","●","")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IF([7]回答表!AD44="●","●","")</f>
        <v>●</v>
      </c>
      <c r="O74" s="99"/>
      <c r="P74" s="99"/>
      <c r="Q74" s="100"/>
      <c r="R74" s="38"/>
      <c r="S74" s="38"/>
      <c r="T74" s="38"/>
      <c r="U74" s="107" t="str">
        <f>IF([7]回答表!AD44="●",[7]回答表!B140,"")</f>
        <v>大館市介護保険事業計画第９期中で民間への譲渡も検討している。
公共施設等総合管理計画を策定し、議会への報告、ホームページで公開済み。</v>
      </c>
      <c r="V74" s="108"/>
      <c r="W74" s="108"/>
      <c r="X74" s="108"/>
      <c r="Y74" s="108"/>
      <c r="Z74" s="108"/>
      <c r="AA74" s="108"/>
      <c r="AB74" s="108"/>
      <c r="AC74" s="108"/>
      <c r="AD74" s="108"/>
      <c r="AE74" s="108"/>
      <c r="AF74" s="108"/>
      <c r="AG74" s="108"/>
      <c r="AH74" s="108"/>
      <c r="AI74" s="108"/>
      <c r="AJ74" s="109"/>
      <c r="AK74" s="55"/>
      <c r="AL74" s="55"/>
      <c r="AM74" s="107" t="str">
        <f>IF([7]回答表!AD44="●",[7]回答表!B146,"")</f>
        <v>令和６年４月を目途に譲渡することで検討。
施設の老朽化もあり、経費が増大しないよう譲渡方法を検討している。</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26.25"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IF([7]回答表!F17="水道事業",IF([7]回答表!X45="●","●",""),"")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IF([7]回答表!F17="水道事業",IF([7]回答表!X45="●",[7]回答表!B158,IF([7]回答表!AA45="●",[7]回答表!B223,"")),"")</f>
        <v/>
      </c>
      <c r="AN86" s="212"/>
      <c r="AO86" s="212"/>
      <c r="AP86" s="212"/>
      <c r="AQ86" s="212"/>
      <c r="AR86" s="212"/>
      <c r="AS86" s="212"/>
      <c r="AT86" s="212"/>
      <c r="AU86" s="212"/>
      <c r="AV86" s="212"/>
      <c r="AW86" s="212"/>
      <c r="AX86" s="212"/>
      <c r="AY86" s="212"/>
      <c r="AZ86" s="212"/>
      <c r="BA86" s="212"/>
      <c r="BB86" s="212"/>
      <c r="BC86" s="213"/>
      <c r="BD86" s="34"/>
      <c r="BE86" s="34"/>
      <c r="BF86" s="116" t="str">
        <f>IF([7]回答表!F17="水道事業",IF([7]回答表!X45="●",[7]回答表!B212,IF([7]回答表!AA45="●",[7]回答表!B278,"")),"")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IF([7]回答表!F17="水道事業",IF([7]回答表!X45="●",[7]回答表!J166,IF([7]回答表!AA45="●",[7]回答表!J231,"")),"")</f>
        <v/>
      </c>
      <c r="V88" s="120"/>
      <c r="W88" s="120"/>
      <c r="X88" s="120"/>
      <c r="Y88" s="120"/>
      <c r="Z88" s="120"/>
      <c r="AA88" s="120"/>
      <c r="AB88" s="121"/>
      <c r="AC88" s="119" t="str">
        <f>IF([7]回答表!F17="水道事業",IF([7]回答表!X45="●",[7]回答表!J173,IF([7]回答表!AA45="●",[7]回答表!J238,"")),"")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IF([7]回答表!F17="水道事業",IF([7]回答表!X45="●",[7]回答表!E212,IF([7]回答表!AA45="●",[7]回答表!E278,"")),"")</f>
        <v/>
      </c>
      <c r="BG89" s="84"/>
      <c r="BH89" s="84"/>
      <c r="BI89" s="84"/>
      <c r="BJ89" s="83" t="str">
        <f>IF([7]回答表!F17="水道事業",IF([7]回答表!X45="●",[7]回答表!E213,IF([7]回答表!AA45="●",[7]回答表!E279,"")),"")</f>
        <v/>
      </c>
      <c r="BK89" s="84"/>
      <c r="BL89" s="84"/>
      <c r="BM89" s="84"/>
      <c r="BN89" s="83" t="str">
        <f>IF([7]回答表!F17="水道事業",IF([7]回答表!X45="●",[7]回答表!E214,IF([7]回答表!AA45="●",[7]回答表!E280,"")),"")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IF([7]回答表!F17="水道事業",IF([7]回答表!AA45="●","●",""),"")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IF([7]回答表!F17="水道事業",IF([7]回答表!X45="●",[7]回答表!J176,IF([7]回答表!AA45="●",[7]回答表!J241,"")),"")</f>
        <v/>
      </c>
      <c r="V93" s="120"/>
      <c r="W93" s="120"/>
      <c r="X93" s="120"/>
      <c r="Y93" s="120"/>
      <c r="Z93" s="120"/>
      <c r="AA93" s="120"/>
      <c r="AB93" s="121"/>
      <c r="AC93" s="119" t="str">
        <f>IF([7]回答表!F17="水道事業",IF([7]回答表!X45="●",[7]回答表!J180,IF([7]回答表!AA45="●",[7]回答表!J245,"")),"")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IF([7]回答表!F17="水道事業",IF([7]回答表!AD45="●","●",""),"")</f>
        <v/>
      </c>
      <c r="O98" s="99"/>
      <c r="P98" s="99"/>
      <c r="Q98" s="100"/>
      <c r="R98" s="38"/>
      <c r="S98" s="38"/>
      <c r="T98" s="38"/>
      <c r="U98" s="107" t="str">
        <f>IF([7]回答表!F17="水道事業",IF([7]回答表!AD45="●",[7]回答表!B289,""),"")</f>
        <v/>
      </c>
      <c r="V98" s="108"/>
      <c r="W98" s="108"/>
      <c r="X98" s="108"/>
      <c r="Y98" s="108"/>
      <c r="Z98" s="108"/>
      <c r="AA98" s="108"/>
      <c r="AB98" s="108"/>
      <c r="AC98" s="108"/>
      <c r="AD98" s="108"/>
      <c r="AE98" s="108"/>
      <c r="AF98" s="108"/>
      <c r="AG98" s="108"/>
      <c r="AH98" s="108"/>
      <c r="AI98" s="108"/>
      <c r="AJ98" s="109"/>
      <c r="AK98" s="55"/>
      <c r="AL98" s="55"/>
      <c r="AM98" s="107" t="str">
        <f>IF([7]回答表!F17="水道事業",IF([7]回答表!AD45="●",[7]回答表!B295,""),"")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IF([7]回答表!F17="簡易水道事業",IF([7]回答表!X45="●",[7]回答表!B158,IF([7]回答表!AA45="●",[7]回答表!B223,"")),"")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IF([7]回答表!F17="簡易水道事業",IF([7]回答表!X45="●",[7]回答表!B212,IF([7]回答表!AA45="●",[7]回答表!B278,"")),"")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IF([7]回答表!F17="簡易水道事業",IF([7]回答表!X45="●","●",""),"")</f>
        <v/>
      </c>
      <c r="O112" s="99"/>
      <c r="P112" s="99"/>
      <c r="Q112" s="100"/>
      <c r="R112" s="38"/>
      <c r="S112" s="38"/>
      <c r="T112" s="38"/>
      <c r="U112" s="119" t="str">
        <f>IF([7]回答表!F17="簡易水道事業",IF([7]回答表!X45="●",[7]回答表!Y185,IF([7]回答表!AA45="●",[7]回答表!Y251,"")),"")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IF([7]回答表!F17="簡易水道事業",IF([7]回答表!X45="●",[7]回答表!E212,IF([7]回答表!AA45="●",[7]回答表!E278,"")),"")</f>
        <v/>
      </c>
      <c r="BG113" s="84"/>
      <c r="BH113" s="84"/>
      <c r="BI113" s="84"/>
      <c r="BJ113" s="83" t="str">
        <f>IF([7]回答表!F17="簡易水道事業",IF([7]回答表!X45="●",[7]回答表!E213,IF([7]回答表!AA45="●",[7]回答表!E279,"")),"")</f>
        <v/>
      </c>
      <c r="BK113" s="84"/>
      <c r="BL113" s="84"/>
      <c r="BM113" s="84"/>
      <c r="BN113" s="83" t="str">
        <f>IF([7]回答表!F17="簡易水道事業",IF([7]回答表!X45="●",[7]回答表!E214,IF([7]回答表!AA45="●",[7]回答表!E280,"")),"")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IF([7]回答表!F17="簡易水道事業",IF([7]回答表!X45="●",[7]回答表!Y186,IF([7]回答表!AA45="●",[7]回答表!Y252,"")),"")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IF([7]回答表!F17="簡易水道事業",IF([7]回答表!AA45="●","●",""),"")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IF([7]回答表!F17="簡易水道事業",IF([7]回答表!X45="●",[7]回答表!Y187,IF([7]回答表!AA45="●",[7]回答表!Y253,"")),"")</f>
        <v/>
      </c>
      <c r="V122" s="120"/>
      <c r="W122" s="120"/>
      <c r="X122" s="120"/>
      <c r="Y122" s="120"/>
      <c r="Z122" s="120"/>
      <c r="AA122" s="120"/>
      <c r="AB122" s="120"/>
      <c r="AC122" s="120"/>
      <c r="AD122" s="120"/>
      <c r="AE122" s="120"/>
      <c r="AF122" s="120"/>
      <c r="AG122" s="120"/>
      <c r="AH122" s="120"/>
      <c r="AI122" s="120"/>
      <c r="AJ122" s="121"/>
      <c r="AK122" s="18"/>
      <c r="AL122" s="18"/>
      <c r="AM122" s="228" t="str">
        <f>IF([7]回答表!F17="簡易水道事業",IF([7]回答表!X45="●",[7]回答表!Y189,IF([7]回答表!AA45="●",[7]回答表!Y255,"")),"")</f>
        <v/>
      </c>
      <c r="AN122" s="228"/>
      <c r="AO122" s="228"/>
      <c r="AP122" s="228"/>
      <c r="AQ122" s="228"/>
      <c r="AR122" s="228"/>
      <c r="AS122" s="228" t="str">
        <f>IF([7]回答表!F17="簡易水道事業",IF([7]回答表!X45="●",[7]回答表!Y190,IF([7]回答表!AA45="●",[7]回答表!Y256,"")),"")</f>
        <v/>
      </c>
      <c r="AT122" s="228"/>
      <c r="AU122" s="228"/>
      <c r="AV122" s="228"/>
      <c r="AW122" s="228"/>
      <c r="AX122" s="228"/>
      <c r="AY122" s="228" t="str">
        <f>IF([7]回答表!F17="簡易水道事業",IF([7]回答表!X45="●",[7]回答表!Y191,IF([7]回答表!AA45="●",[7]回答表!Y257,"")),"")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IF([7]回答表!F17="簡易水道事業",IF([7]回答表!AD45="●","●",""),"")</f>
        <v/>
      </c>
      <c r="O127" s="99"/>
      <c r="P127" s="99"/>
      <c r="Q127" s="100"/>
      <c r="R127" s="38"/>
      <c r="S127" s="38"/>
      <c r="T127" s="38"/>
      <c r="U127" s="107" t="str">
        <f>IF([7]回答表!F17="簡易水道事業",IF([7]回答表!AD45="●",[7]回答表!B289,""),"")</f>
        <v/>
      </c>
      <c r="V127" s="108"/>
      <c r="W127" s="108"/>
      <c r="X127" s="108"/>
      <c r="Y127" s="108"/>
      <c r="Z127" s="108"/>
      <c r="AA127" s="108"/>
      <c r="AB127" s="108"/>
      <c r="AC127" s="108"/>
      <c r="AD127" s="108"/>
      <c r="AE127" s="108"/>
      <c r="AF127" s="108"/>
      <c r="AG127" s="108"/>
      <c r="AH127" s="108"/>
      <c r="AI127" s="108"/>
      <c r="AJ127" s="109"/>
      <c r="AK127" s="55"/>
      <c r="AL127" s="55"/>
      <c r="AM127" s="107" t="str">
        <f>IF([7]回答表!F17="簡易水道事業",IF([7]回答表!AD45="●",[7]回答表!B295,""),"")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IF([7]回答表!F17="下水道事業",IF([7]回答表!X45="●","●",""),"")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IF([7]回答表!F17="下水道事業",IF([7]回答表!X45="●",[7]回答表!B158,IF([7]回答表!AA45="●",[7]回答表!B223,"")),"")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IF([7]回答表!F17="下水道事業",IF([7]回答表!X45="●",[7]回答表!B212,IF([7]回答表!AA45="●",[7]回答表!B278,"")),"")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IF([7]回答表!F17="下水道事業",IF([7]回答表!X45="●",[7]回答表!Y193,IF([7]回答表!AA45="●",[7]回答表!Y259,"")),"")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IF([7]回答表!F17="下水道事業",IF([7]回答表!X45="●",[7]回答表!E212,IF([7]回答表!AA45="●",[7]回答表!E278,"")),"")</f>
        <v/>
      </c>
      <c r="BG142" s="84"/>
      <c r="BH142" s="84"/>
      <c r="BI142" s="84"/>
      <c r="BJ142" s="83" t="str">
        <f>IF([7]回答表!F17="下水道事業",IF([7]回答表!X45="●",[7]回答表!E213,IF([7]回答表!AA45="●",[7]回答表!E279,"")),"")</f>
        <v/>
      </c>
      <c r="BK142" s="84"/>
      <c r="BL142" s="84"/>
      <c r="BM142" s="84"/>
      <c r="BN142" s="83" t="str">
        <f>IF([7]回答表!F17="下水道事業",IF([7]回答表!X45="●",[7]回答表!E214,IF([7]回答表!AA45="●",[7]回答表!E280,"")),"")</f>
        <v/>
      </c>
      <c r="BO142" s="84"/>
      <c r="BP142" s="84"/>
      <c r="BQ142" s="87"/>
      <c r="BR142" s="37"/>
      <c r="BX142" s="211" t="str">
        <f>IF([7]回答表!AQ20="下水道事業",IF([7]回答表!BI48="○",[7]回答表!AM161,IF([7]回答表!BL48="○",[7]回答表!AM226,"")),"")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IF([7]回答表!F17="下水道事業",IF([7]回答表!X45="●",[7]回答表!Y195,IF([7]回答表!AA45="●",[7]回答表!Y261,"")),"")</f>
        <v/>
      </c>
      <c r="V147" s="120"/>
      <c r="W147" s="120"/>
      <c r="X147" s="120"/>
      <c r="Y147" s="120"/>
      <c r="Z147" s="120"/>
      <c r="AA147" s="120"/>
      <c r="AB147" s="121"/>
      <c r="AC147" s="119" t="str">
        <f>IF([7]回答表!F17="下水道事業",IF([7]回答表!X45="●",[7]回答表!Y196,IF([7]回答表!AA45="●",[7]回答表!Y262,"")),"")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IF([7]回答表!F17="下水道事業",IF([7]回答表!X45="●",[7]回答表!Y198,IF([7]回答表!AA45="●",[7]回答表!Y264,"")),"")</f>
        <v/>
      </c>
      <c r="V153" s="120"/>
      <c r="W153" s="120"/>
      <c r="X153" s="120"/>
      <c r="Y153" s="120"/>
      <c r="Z153" s="120"/>
      <c r="AA153" s="120"/>
      <c r="AB153" s="121"/>
      <c r="AC153" s="119" t="str">
        <f>IF([7]回答表!F17="下水道事業",IF([7]回答表!X45="●",[7]回答表!Y199,IF([7]回答表!AA45="●",[7]回答表!Y265,"")),"")</f>
        <v/>
      </c>
      <c r="AD153" s="120"/>
      <c r="AE153" s="120"/>
      <c r="AF153" s="120"/>
      <c r="AG153" s="120"/>
      <c r="AH153" s="120"/>
      <c r="AI153" s="120"/>
      <c r="AJ153" s="121"/>
      <c r="AK153" s="119" t="str">
        <f>IF([7]回答表!F17="下水道事業",IF([7]回答表!X45="●",[7]回答表!Y200,IF([7]回答表!AA45="●",[7]回答表!Y266,"")),"")</f>
        <v/>
      </c>
      <c r="AL153" s="120"/>
      <c r="AM153" s="120"/>
      <c r="AN153" s="120"/>
      <c r="AO153" s="120"/>
      <c r="AP153" s="120"/>
      <c r="AQ153" s="120"/>
      <c r="AR153" s="121"/>
      <c r="AS153" s="119" t="str">
        <f>IF([7]回答表!F17="下水道事業",IF([7]回答表!X45="●",[7]回答表!Y201,IF([7]回答表!AA45="●",[7]回答表!Y267,"")),"")</f>
        <v/>
      </c>
      <c r="AT153" s="120"/>
      <c r="AU153" s="120"/>
      <c r="AV153" s="120"/>
      <c r="AW153" s="120"/>
      <c r="AX153" s="120"/>
      <c r="AY153" s="120"/>
      <c r="AZ153" s="121"/>
      <c r="BA153" s="119" t="str">
        <f>IF([7]回答表!F17="下水道事業",IF([7]回答表!X45="●",[7]回答表!Y202,IF([7]回答表!AA45="●",[7]回答表!Y268,"")),"")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IF([7]回答表!F17="下水道事業",IF([7]回答表!AA45="●","●",""),"")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IF([7]回答表!F17="下水道事業",IF([7]回答表!X45="●",[7]回答表!Y207,IF([7]回答表!AA45="●",[7]回答表!Y273,"")),"")</f>
        <v/>
      </c>
      <c r="V159" s="120"/>
      <c r="W159" s="120"/>
      <c r="X159" s="120"/>
      <c r="Y159" s="120"/>
      <c r="Z159" s="120"/>
      <c r="AA159" s="120"/>
      <c r="AB159" s="121"/>
      <c r="AC159" s="119" t="str">
        <f>IF([7]回答表!F17="下水道事業",IF([7]回答表!X45="●",[7]回答表!Y208,IF([7]回答表!AA45="●",[7]回答表!Y274,"")),"")</f>
        <v/>
      </c>
      <c r="AD159" s="120"/>
      <c r="AE159" s="120"/>
      <c r="AF159" s="120"/>
      <c r="AG159" s="120"/>
      <c r="AH159" s="120"/>
      <c r="AI159" s="120"/>
      <c r="AJ159" s="121"/>
      <c r="AK159" s="119" t="str">
        <f>IF([7]回答表!F17="下水道事業",IF([7]回答表!X45="●",[7]回答表!Y209,IF([7]回答表!AA45="●",[7]回答表!Y275,"")),"")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IF([7]回答表!F17="下水道事業",IF([7]回答表!AD45="●","●",""),"")</f>
        <v/>
      </c>
      <c r="O164" s="99"/>
      <c r="P164" s="99"/>
      <c r="Q164" s="100"/>
      <c r="R164" s="38"/>
      <c r="S164" s="38"/>
      <c r="T164" s="38"/>
      <c r="U164" s="107" t="str">
        <f>IF([7]回答表!F17="下水道事業",IF([7]回答表!AD45="●",[7]回答表!B289,""),"")</f>
        <v/>
      </c>
      <c r="V164" s="108"/>
      <c r="W164" s="108"/>
      <c r="X164" s="108"/>
      <c r="Y164" s="108"/>
      <c r="Z164" s="108"/>
      <c r="AA164" s="108"/>
      <c r="AB164" s="108"/>
      <c r="AC164" s="108"/>
      <c r="AD164" s="108"/>
      <c r="AE164" s="108"/>
      <c r="AF164" s="108"/>
      <c r="AG164" s="108"/>
      <c r="AH164" s="108"/>
      <c r="AI164" s="108"/>
      <c r="AJ164" s="109"/>
      <c r="AK164" s="55"/>
      <c r="AL164" s="55"/>
      <c r="AM164" s="107" t="str">
        <f>IF([7]回答表!F17="下水道事業",IF([7]回答表!AD45="●",[7]回答表!B295,""),"")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IF([7]回答表!BD17="●",IF([7]回答表!X45="●","●",""),"")</f>
        <v/>
      </c>
      <c r="O176" s="99"/>
      <c r="P176" s="99"/>
      <c r="Q176" s="100"/>
      <c r="R176" s="38"/>
      <c r="S176" s="38"/>
      <c r="T176" s="38"/>
      <c r="U176" s="107" t="str">
        <f>IF([7]回答表!BD17="●",IF([7]回答表!X45="●",[7]回答表!B158,IF([7]回答表!AA45="●",[7]回答表!B223,"")),"")</f>
        <v/>
      </c>
      <c r="V176" s="108"/>
      <c r="W176" s="108"/>
      <c r="X176" s="108"/>
      <c r="Y176" s="108"/>
      <c r="Z176" s="108"/>
      <c r="AA176" s="108"/>
      <c r="AB176" s="108"/>
      <c r="AC176" s="108"/>
      <c r="AD176" s="108"/>
      <c r="AE176" s="108"/>
      <c r="AF176" s="108"/>
      <c r="AG176" s="108"/>
      <c r="AH176" s="108"/>
      <c r="AI176" s="108"/>
      <c r="AJ176" s="109"/>
      <c r="AK176" s="49"/>
      <c r="AL176" s="49"/>
      <c r="AM176" s="116" t="str">
        <f>IF([7]回答表!BD17="●",IF([7]回答表!X45="●",[7]回答表!B212,IF([7]回答表!AA45="●",[7]回答表!B278,"")),"")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IF([7]回答表!BD17="●",IF([7]回答表!X45="●",[7]回答表!E212,IF([7]回答表!AA45="●",[7]回答表!E278,"")),"")</f>
        <v/>
      </c>
      <c r="AN179" s="84"/>
      <c r="AO179" s="84"/>
      <c r="AP179" s="84"/>
      <c r="AQ179" s="83" t="str">
        <f>IF([7]回答表!BD17="●",IF([7]回答表!X45="●",[7]回答表!E213,IF([7]回答表!AA45="●",[7]回答表!E279,"")),"")</f>
        <v/>
      </c>
      <c r="AR179" s="84"/>
      <c r="AS179" s="84"/>
      <c r="AT179" s="84"/>
      <c r="AU179" s="83" t="str">
        <f>IF([7]回答表!BD17="●",IF([7]回答表!X45="●",[7]回答表!E214,IF([7]回答表!AA45="●",[7]回答表!E280,"")),"")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IF([7]回答表!BD17="●",IF([7]回答表!AA45="●","●",""),"")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IF([7]回答表!BD17="●",IF([7]回答表!AD45="●","●",""),"")</f>
        <v/>
      </c>
      <c r="O188" s="99"/>
      <c r="P188" s="99"/>
      <c r="Q188" s="100"/>
      <c r="R188" s="38"/>
      <c r="S188" s="38"/>
      <c r="T188" s="38"/>
      <c r="U188" s="107" t="str">
        <f>IF([7]回答表!BD17="●",IF([7]回答表!AD45="●",[7]回答表!B289,""),"")</f>
        <v/>
      </c>
      <c r="V188" s="108"/>
      <c r="W188" s="108"/>
      <c r="X188" s="108"/>
      <c r="Y188" s="108"/>
      <c r="Z188" s="108"/>
      <c r="AA188" s="108"/>
      <c r="AB188" s="108"/>
      <c r="AC188" s="108"/>
      <c r="AD188" s="108"/>
      <c r="AE188" s="108"/>
      <c r="AF188" s="108"/>
      <c r="AG188" s="108"/>
      <c r="AH188" s="108"/>
      <c r="AI188" s="108"/>
      <c r="AJ188" s="109"/>
      <c r="AK188" s="55"/>
      <c r="AL188" s="55"/>
      <c r="AM188" s="107" t="str">
        <f>IF([7]回答表!BD17="●",IF([7]回答表!AD45="●",[7]回答表!B295,""),"")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IF([7]回答表!X46="●","●","")</f>
        <v>●</v>
      </c>
      <c r="O200" s="99"/>
      <c r="P200" s="99"/>
      <c r="Q200" s="100"/>
      <c r="R200" s="38"/>
      <c r="S200" s="38"/>
      <c r="T200" s="38"/>
      <c r="U200" s="107" t="str">
        <f>IF([7]回答表!X46="●",[7]回答表!B307,IF([7]回答表!AA46="●",[7]回答表!B324,""))</f>
        <v>老人短期入所施設（定員１０人）の管理・運営
住民サービスの充実、介護サービスの質の向上が図られた。</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IF([7]回答表!X46="●",[7]回答表!U313,IF([7]回答表!AA46="●",[7]回答表!U330,""))</f>
        <v>平成</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IF([7]回答表!X46="●",[7]回答表!G313,IF([7]回答表!AA46="●",[7]回答表!G330,""))</f>
        <v xml:space="preserve"> </v>
      </c>
      <c r="AN203" s="120"/>
      <c r="AO203" s="120"/>
      <c r="AP203" s="120"/>
      <c r="AQ203" s="120"/>
      <c r="AR203" s="120"/>
      <c r="AS203" s="120"/>
      <c r="AT203" s="121"/>
      <c r="AU203" s="119" t="str">
        <f>IF([7]回答表!X46="●",[7]回答表!G314,IF([7]回答表!AA46="●",[7]回答表!G331,""))</f>
        <v>●</v>
      </c>
      <c r="AV203" s="120"/>
      <c r="AW203" s="120"/>
      <c r="AX203" s="120"/>
      <c r="AY203" s="120"/>
      <c r="AZ203" s="120"/>
      <c r="BA203" s="120"/>
      <c r="BB203" s="121"/>
      <c r="BC203" s="39"/>
      <c r="BD203" s="34"/>
      <c r="BE203" s="34"/>
      <c r="BF203" s="83">
        <f>IF([7]回答表!X46="●",[7]回答表!X313,IF([7]回答表!AA46="●",[7]回答表!X330,""))</f>
        <v>18</v>
      </c>
      <c r="BG203" s="84"/>
      <c r="BH203" s="84"/>
      <c r="BI203" s="84"/>
      <c r="BJ203" s="83">
        <f>IF([7]回答表!X46="●",[7]回答表!X314,IF([7]回答表!AA46="●",[7]回答表!X331,""))</f>
        <v>4</v>
      </c>
      <c r="BK203" s="84"/>
      <c r="BL203" s="84"/>
      <c r="BM203" s="87"/>
      <c r="BN203" s="83">
        <f>IF([7]回答表!X46="●",[7]回答表!X315,IF([7]回答表!AA46="●",[7]回答表!X332,""))</f>
        <v>1</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IF([7]回答表!AA46="●","●","")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IF([7]回答表!AD46="●","●","")</f>
        <v/>
      </c>
      <c r="O212" s="99"/>
      <c r="P212" s="99"/>
      <c r="Q212" s="100"/>
      <c r="R212" s="38"/>
      <c r="S212" s="38"/>
      <c r="T212" s="38"/>
      <c r="U212" s="107" t="str">
        <f>IF([7]回答表!AD46="●",[7]回答表!B337,"")</f>
        <v/>
      </c>
      <c r="V212" s="108"/>
      <c r="W212" s="108"/>
      <c r="X212" s="108"/>
      <c r="Y212" s="108"/>
      <c r="Z212" s="108"/>
      <c r="AA212" s="108"/>
      <c r="AB212" s="108"/>
      <c r="AC212" s="108"/>
      <c r="AD212" s="108"/>
      <c r="AE212" s="108"/>
      <c r="AF212" s="108"/>
      <c r="AG212" s="108"/>
      <c r="AH212" s="108"/>
      <c r="AI212" s="108"/>
      <c r="AJ212" s="109"/>
      <c r="AK212" s="62"/>
      <c r="AL212" s="62"/>
      <c r="AM212" s="107" t="str">
        <f>IF([7]回答表!AD46="●",[7]回答表!B343,"")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IF([7]回答表!X47="●","●","")</f>
        <v/>
      </c>
      <c r="O224" s="99"/>
      <c r="P224" s="99"/>
      <c r="Q224" s="100"/>
      <c r="R224" s="38"/>
      <c r="S224" s="38"/>
      <c r="T224" s="38"/>
      <c r="U224" s="107" t="str">
        <f>IF([7]回答表!X47="●",[7]回答表!B356,IF([7]回答表!AA47="●",[7]回答表!B379,""))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IF([7]回答表!X47="●",[7]回答表!B362,"")</f>
        <v/>
      </c>
      <c r="AO224" s="182"/>
      <c r="AP224" s="182"/>
      <c r="AQ224" s="182"/>
      <c r="AR224" s="182"/>
      <c r="AS224" s="182"/>
      <c r="AT224" s="182"/>
      <c r="AU224" s="182"/>
      <c r="AV224" s="182"/>
      <c r="AW224" s="182"/>
      <c r="AX224" s="182"/>
      <c r="AY224" s="182"/>
      <c r="AZ224" s="182"/>
      <c r="BA224" s="182"/>
      <c r="BB224" s="183"/>
      <c r="BC224" s="39"/>
      <c r="BD224" s="34"/>
      <c r="BE224" s="34"/>
      <c r="BF224" s="116" t="str">
        <f>IF([7]回答表!X47="●",[7]回答表!B368,IF([7]回答表!AA47="●",[7]回答表!B385,""))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IF([7]回答表!X47="●",[7]回答表!E368,IF([7]回答表!AA47="●",[7]回答表!E385,""))</f>
        <v/>
      </c>
      <c r="BG227" s="84"/>
      <c r="BH227" s="84"/>
      <c r="BI227" s="84"/>
      <c r="BJ227" s="83" t="str">
        <f>IF([7]回答表!X47="●",[7]回答表!E369,IF([7]回答表!AA47="●",[7]回答表!E386,""))</f>
        <v/>
      </c>
      <c r="BK227" s="84"/>
      <c r="BL227" s="84"/>
      <c r="BM227" s="87"/>
      <c r="BN227" s="83" t="str">
        <f>IF([7]回答表!X47="●",[7]回答表!E370,IF([7]回答表!AA47="●",[7]回答表!E387,""))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IF([7]回答表!AA47="●","●","")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IF([7]回答表!AD47="●","●","")</f>
        <v/>
      </c>
      <c r="O236" s="99"/>
      <c r="P236" s="99"/>
      <c r="Q236" s="100"/>
      <c r="R236" s="38"/>
      <c r="S236" s="38"/>
      <c r="T236" s="38"/>
      <c r="U236" s="107" t="str">
        <f>IF([7]回答表!AD47="●",[7]回答表!B392,"")</f>
        <v/>
      </c>
      <c r="V236" s="108"/>
      <c r="W236" s="108"/>
      <c r="X236" s="108"/>
      <c r="Y236" s="108"/>
      <c r="Z236" s="108"/>
      <c r="AA236" s="108"/>
      <c r="AB236" s="108"/>
      <c r="AC236" s="108"/>
      <c r="AD236" s="108"/>
      <c r="AE236" s="108"/>
      <c r="AF236" s="108"/>
      <c r="AG236" s="108"/>
      <c r="AH236" s="108"/>
      <c r="AI236" s="108"/>
      <c r="AJ236" s="109"/>
      <c r="AK236" s="62"/>
      <c r="AL236" s="62"/>
      <c r="AM236" s="107" t="str">
        <f>IF([7]回答表!AD47="●",[7]回答表!B398,"")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IF([7]回答表!X48="●","●","")</f>
        <v/>
      </c>
      <c r="O248" s="99"/>
      <c r="P248" s="99"/>
      <c r="Q248" s="100"/>
      <c r="R248" s="38"/>
      <c r="S248" s="38"/>
      <c r="T248" s="38"/>
      <c r="U248" s="107" t="str">
        <f>IF([7]回答表!X48="●",[7]回答表!B411,IF([7]回答表!AA48="●",[7]回答表!B425,""))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IF([7]回答表!X48="●",[7]回答表!BC418,IF([7]回答表!AA48="●",[7]回答表!BC432,""))</f>
        <v/>
      </c>
      <c r="AR248" s="151"/>
      <c r="AS248" s="151"/>
      <c r="AT248" s="151"/>
      <c r="AU248" s="173" t="s">
        <v>73</v>
      </c>
      <c r="AV248" s="174"/>
      <c r="AW248" s="174"/>
      <c r="AX248" s="175"/>
      <c r="AY248" s="151" t="str">
        <f>IF([7]回答表!X48="●",[7]回答表!BC423,IF([7]回答表!AA48="●",[7]回答表!BC437,""))</f>
        <v/>
      </c>
      <c r="AZ248" s="151"/>
      <c r="BA248" s="151"/>
      <c r="BB248" s="151"/>
      <c r="BC248" s="39"/>
      <c r="BD248" s="34"/>
      <c r="BE248" s="34"/>
      <c r="BF248" s="116" t="str">
        <f>IF([7]回答表!X48="●",[7]回答表!S417,IF([7]回答表!AA48="●",[7]回答表!S431,""))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IF([7]回答表!X48="●",[7]回答表!BC419,IF([7]回答表!AA48="●",[7]回答表!BC433,""))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IF([7]回答表!X48="●",[7]回答表!V417,IF([7]回答表!AA48="●",[7]回答表!V431,""))</f>
        <v/>
      </c>
      <c r="BG251" s="84"/>
      <c r="BH251" s="84"/>
      <c r="BI251" s="84"/>
      <c r="BJ251" s="83" t="str">
        <f>IF([7]回答表!X48="●",[7]回答表!V418,IF([7]回答表!AA48="●",[7]回答表!V432,""))</f>
        <v/>
      </c>
      <c r="BK251" s="84"/>
      <c r="BL251" s="84"/>
      <c r="BM251" s="87"/>
      <c r="BN251" s="83" t="str">
        <f>IF([7]回答表!X48="●",[7]回答表!V419,IF([7]回答表!AA48="●",[7]回答表!V433,""))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IF([7]回答表!X48="●",[7]回答表!BC420,IF([7]回答表!AA48="●",[7]回答表!BC434,""))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IF([7]回答表!X48="●",[7]回答表!BC424,IF([7]回答表!AA48="●",[7]回答表!BC438,""))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IF([7]回答表!AA48="●","●","")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IF([7]回答表!X48="●",[7]回答表!BC421,IF([7]回答表!AA48="●",[7]回答表!BC435,""))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IF([7]回答表!X48="●",[7]回答表!BC422,IF([7]回答表!AA48="●",[7]回答表!BC436,""))</f>
        <v/>
      </c>
      <c r="AR256" s="151"/>
      <c r="AS256" s="151"/>
      <c r="AT256" s="151"/>
      <c r="AU256" s="152" t="s">
        <v>79</v>
      </c>
      <c r="AV256" s="153"/>
      <c r="AW256" s="153"/>
      <c r="AX256" s="154"/>
      <c r="AY256" s="158" t="str">
        <f>IF([7]回答表!X48="●",[7]回答表!BC425,IF([7]回答表!AA48="●",[7]回答表!BC439,""))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IF([7]回答表!AD48="●","●","")</f>
        <v/>
      </c>
      <c r="O260" s="99"/>
      <c r="P260" s="99"/>
      <c r="Q260" s="100"/>
      <c r="R260" s="38"/>
      <c r="S260" s="38"/>
      <c r="T260" s="38"/>
      <c r="U260" s="107" t="str">
        <f>IF([7]回答表!AD48="●",[7]回答表!B439,"")</f>
        <v/>
      </c>
      <c r="V260" s="108"/>
      <c r="W260" s="108"/>
      <c r="X260" s="108"/>
      <c r="Y260" s="108"/>
      <c r="Z260" s="108"/>
      <c r="AA260" s="108"/>
      <c r="AB260" s="108"/>
      <c r="AC260" s="108"/>
      <c r="AD260" s="108"/>
      <c r="AE260" s="108"/>
      <c r="AF260" s="108"/>
      <c r="AG260" s="108"/>
      <c r="AH260" s="108"/>
      <c r="AI260" s="108"/>
      <c r="AJ260" s="109"/>
      <c r="AK260" s="55"/>
      <c r="AL260" s="55"/>
      <c r="AM260" s="107" t="str">
        <f>IF([7]回答表!AD48="●",[7]回答表!B445,"")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IF([7]回答表!X49="●","●","")</f>
        <v/>
      </c>
      <c r="O271" s="99"/>
      <c r="P271" s="99"/>
      <c r="Q271" s="100"/>
      <c r="R271" s="38"/>
      <c r="S271" s="38"/>
      <c r="T271" s="38"/>
      <c r="U271" s="107" t="str">
        <f>IF([7]回答表!X49="●",[7]回答表!B458,IF([7]回答表!AA49="●",[7]回答表!B475,""))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IF([7]回答表!X49="●",[7]回答表!B468,IF([7]回答表!AA49="●",[7]回答表!B485,""))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IF([7]回答表!X49="●",[7]回答表!G464,IF([7]回答表!AA49="●",[7]回答表!G481,""))</f>
        <v/>
      </c>
      <c r="AN273" s="120"/>
      <c r="AO273" s="120"/>
      <c r="AP273" s="120"/>
      <c r="AQ273" s="120"/>
      <c r="AR273" s="120"/>
      <c r="AS273" s="120"/>
      <c r="AT273" s="121"/>
      <c r="AU273" s="119" t="str">
        <f>IF([7]回答表!X49="●",[7]回答表!G465,IF([7]回答表!AA49="●",[7]回答表!G482,""))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IF([7]回答表!X49="●",[7]回答表!E468,IF([7]回答表!AA49="●",[7]回答表!E485,""))</f>
        <v/>
      </c>
      <c r="BG274" s="84"/>
      <c r="BH274" s="84"/>
      <c r="BI274" s="84"/>
      <c r="BJ274" s="83" t="str">
        <f>IF([7]回答表!X49="●",[7]回答表!E469,IF([7]回答表!AA49="●",[7]回答表!E486,""))</f>
        <v/>
      </c>
      <c r="BK274" s="84"/>
      <c r="BL274" s="84"/>
      <c r="BM274" s="87"/>
      <c r="BN274" s="83" t="str">
        <f>IF([7]回答表!X49="●",[7]回答表!E470,IF([7]回答表!AA49="●",[7]回答表!E487,""))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IF([7]回答表!AA49="●","●","")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IF([7]回答表!AD49="●","●","")</f>
        <v/>
      </c>
      <c r="O283" s="99"/>
      <c r="P283" s="99"/>
      <c r="Q283" s="100"/>
      <c r="R283" s="38"/>
      <c r="S283" s="38"/>
      <c r="T283" s="38"/>
      <c r="U283" s="107" t="str">
        <f>IF([7]回答表!AD49="●",[7]回答表!B492,"")</f>
        <v/>
      </c>
      <c r="V283" s="108"/>
      <c r="W283" s="108"/>
      <c r="X283" s="108"/>
      <c r="Y283" s="108"/>
      <c r="Z283" s="108"/>
      <c r="AA283" s="108"/>
      <c r="AB283" s="108"/>
      <c r="AC283" s="108"/>
      <c r="AD283" s="108"/>
      <c r="AE283" s="108"/>
      <c r="AF283" s="108"/>
      <c r="AG283" s="108"/>
      <c r="AH283" s="108"/>
      <c r="AI283" s="108"/>
      <c r="AJ283" s="109"/>
      <c r="AK283" s="49"/>
      <c r="AL283" s="49"/>
      <c r="AM283" s="107" t="str">
        <f>IF([7]回答表!AD49="●",[7]回答表!B498,"")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IF([7]回答表!R50="●",[7]回答表!B511,"")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2A1E-3CFD-4A91-81E3-A9720E19B732}">
  <sheetPr>
    <pageSetUpPr fitToPage="1"/>
  </sheetPr>
  <dimension ref="A1:CN315"/>
  <sheetViews>
    <sheetView showZeros="0" view="pageBreakPreview" zoomScale="60" zoomScaleNormal="55" workbookViewId="0">
      <selection activeCell="BN142" sqref="BN142:BQ14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IF(COUNTIF([6]回答表!K15,"*")&gt;0,[6]回答表!K15,"")</f>
        <v>大館市</v>
      </c>
      <c r="D11" s="299"/>
      <c r="E11" s="299"/>
      <c r="F11" s="299"/>
      <c r="G11" s="299"/>
      <c r="H11" s="299"/>
      <c r="I11" s="299"/>
      <c r="J11" s="299"/>
      <c r="K11" s="299"/>
      <c r="L11" s="299"/>
      <c r="M11" s="299"/>
      <c r="N11" s="299"/>
      <c r="O11" s="299"/>
      <c r="P11" s="299"/>
      <c r="Q11" s="299"/>
      <c r="R11" s="299"/>
      <c r="S11" s="299"/>
      <c r="T11" s="299"/>
      <c r="U11" s="306" t="str">
        <f>IF(COUNTIF([6]回答表!F17,"*")&gt;0,[6]回答表!F17,"")</f>
        <v>介護サービス事業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IF(COUNTIF([6]回答表!W17,"*")&gt;0,[6]回答表!W17,"")</f>
        <v>老人デイサービスセンター</v>
      </c>
      <c r="AP11" s="301"/>
      <c r="AQ11" s="301"/>
      <c r="AR11" s="301"/>
      <c r="AS11" s="301"/>
      <c r="AT11" s="301"/>
      <c r="AU11" s="301"/>
      <c r="AV11" s="301"/>
      <c r="AW11" s="301"/>
      <c r="AX11" s="301"/>
      <c r="AY11" s="301"/>
      <c r="AZ11" s="301"/>
      <c r="BA11" s="301"/>
      <c r="BB11" s="301"/>
      <c r="BC11" s="301"/>
      <c r="BD11" s="301"/>
      <c r="BE11" s="301"/>
      <c r="BF11" s="302"/>
      <c r="BG11" s="305" t="str">
        <f>IF(COUNTIF([6]回答表!F19,"*")&gt;0,[6]回答表!F19,"")</f>
        <v>介護サービス事業特別会計</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IF([6]回答表!R43="●","●","")</f>
        <v/>
      </c>
      <c r="E24" s="123"/>
      <c r="F24" s="123"/>
      <c r="G24" s="123"/>
      <c r="H24" s="123"/>
      <c r="I24" s="123"/>
      <c r="J24" s="124"/>
      <c r="K24" s="122" t="str">
        <f>IF([6]回答表!R44="●","●","")</f>
        <v>●</v>
      </c>
      <c r="L24" s="123"/>
      <c r="M24" s="123"/>
      <c r="N24" s="123"/>
      <c r="O24" s="123"/>
      <c r="P24" s="123"/>
      <c r="Q24" s="124"/>
      <c r="R24" s="122" t="str">
        <f>IF([6]回答表!R45="●","●","")</f>
        <v/>
      </c>
      <c r="S24" s="123"/>
      <c r="T24" s="123"/>
      <c r="U24" s="123"/>
      <c r="V24" s="123"/>
      <c r="W24" s="123"/>
      <c r="X24" s="124"/>
      <c r="Y24" s="122" t="str">
        <f>IF([6]回答表!R46="●","●","")</f>
        <v>●</v>
      </c>
      <c r="Z24" s="123"/>
      <c r="AA24" s="123"/>
      <c r="AB24" s="123"/>
      <c r="AC24" s="123"/>
      <c r="AD24" s="123"/>
      <c r="AE24" s="124"/>
      <c r="AF24" s="122" t="str">
        <f>IF([6]回答表!R47="●","●","")</f>
        <v/>
      </c>
      <c r="AG24" s="123"/>
      <c r="AH24" s="123"/>
      <c r="AI24" s="123"/>
      <c r="AJ24" s="123"/>
      <c r="AK24" s="123"/>
      <c r="AL24" s="124"/>
      <c r="AM24" s="122" t="str">
        <f>IF([6]回答表!R48="●","●","")</f>
        <v/>
      </c>
      <c r="AN24" s="123"/>
      <c r="AO24" s="123"/>
      <c r="AP24" s="123"/>
      <c r="AQ24" s="123"/>
      <c r="AR24" s="123"/>
      <c r="AS24" s="124"/>
      <c r="AT24" s="122" t="str">
        <f>IF([6]回答表!R49="●","●","")</f>
        <v/>
      </c>
      <c r="AU24" s="123"/>
      <c r="AV24" s="123"/>
      <c r="AW24" s="123"/>
      <c r="AX24" s="123"/>
      <c r="AY24" s="123"/>
      <c r="AZ24" s="124"/>
      <c r="BA24" s="18"/>
      <c r="BB24" s="119" t="str">
        <f>IF([6]回答表!R50="●","●","")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IF([6]回答表!X43="●","●","")</f>
        <v/>
      </c>
      <c r="O36" s="99"/>
      <c r="P36" s="99"/>
      <c r="Q36" s="100"/>
      <c r="R36" s="38"/>
      <c r="S36" s="38"/>
      <c r="T36" s="38"/>
      <c r="U36" s="107" t="str">
        <f>IF([6]回答表!X43="●",[6]回答表!B59,IF([6]回答表!AA43="●",[6]回答表!B79,""))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IF([6]回答表!X43="●",[6]回答表!S65,IF([6]回答表!AA43="●",[6]回答表!S85,""))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IF([6]回答表!X43="●",[6]回答表!G65,IF([6]回答表!AA43="●",[6]回答表!G85,""))</f>
        <v/>
      </c>
      <c r="AN38" s="120"/>
      <c r="AO38" s="120"/>
      <c r="AP38" s="120"/>
      <c r="AQ38" s="120"/>
      <c r="AR38" s="120"/>
      <c r="AS38" s="120"/>
      <c r="AT38" s="121"/>
      <c r="AU38" s="119" t="str">
        <f>IF([6]回答表!X43="●",[6]回答表!G66,IF([6]回答表!AA43="●",[6]回答表!G86,""))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IF([6]回答表!X43="●",[6]回答表!V65,IF([6]回答表!AA43="●",[6]回答表!V85,""))</f>
        <v/>
      </c>
      <c r="BG39" s="249"/>
      <c r="BH39" s="249"/>
      <c r="BI39" s="250"/>
      <c r="BJ39" s="83" t="str">
        <f>IF([6]回答表!X43="●",[6]回答表!V66,IF([6]回答表!AA43="●",[6]回答表!V86,""))</f>
        <v/>
      </c>
      <c r="BK39" s="249"/>
      <c r="BL39" s="249"/>
      <c r="BM39" s="250"/>
      <c r="BN39" s="83" t="str">
        <f>IF([6]回答表!X43="●",[6]回答表!V67,IF([6]回答表!AA43="●",[6]回答表!V87,""))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IF([6]回答表!X43="●",[6]回答表!O71,IF([6]回答表!AA43="●",[6]回答表!O91,""))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IF([6]回答表!X43="●",[6]回答表!O72,IF([6]回答表!AA43="●",[6]回答表!O92,""))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IF([6]回答表!AA43="●","●","")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IF([6]回答表!X43="●",[6]回答表!O73,IF([6]回答表!AA43="●",[6]回答表!O93,""))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IF([6]回答表!X43="●",[6]回答表!O74,IF([6]回答表!AA43="●",[6]回答表!O94,""))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IF([6]回答表!X43="●",[6]回答表!AG71,IF([6]回答表!AA43="●",[6]回答表!AG91,""))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IF([6]回答表!X43="●",[6]回答表!AG72,IF([6]回答表!AA43="●",[6]回答表!AG92,""))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IF([6]回答表!AD43="●","●","")</f>
        <v/>
      </c>
      <c r="O51" s="99"/>
      <c r="P51" s="99"/>
      <c r="Q51" s="100"/>
      <c r="R51" s="38"/>
      <c r="S51" s="38"/>
      <c r="T51" s="38"/>
      <c r="U51" s="107" t="str">
        <f>IF([6]回答表!AD43="●",[6]回答表!B99,"")</f>
        <v/>
      </c>
      <c r="V51" s="108"/>
      <c r="W51" s="108"/>
      <c r="X51" s="108"/>
      <c r="Y51" s="108"/>
      <c r="Z51" s="108"/>
      <c r="AA51" s="108"/>
      <c r="AB51" s="108"/>
      <c r="AC51" s="108"/>
      <c r="AD51" s="108"/>
      <c r="AE51" s="108"/>
      <c r="AF51" s="108"/>
      <c r="AG51" s="108"/>
      <c r="AH51" s="108"/>
      <c r="AI51" s="108"/>
      <c r="AJ51" s="109"/>
      <c r="AK51" s="55"/>
      <c r="AL51" s="55"/>
      <c r="AM51" s="107" t="str">
        <f>IF([6]回答表!AD43="●",[6]回答表!B104,"")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IF([6]回答表!X44="●","●","")</f>
        <v/>
      </c>
      <c r="O62" s="99"/>
      <c r="P62" s="99"/>
      <c r="Q62" s="100"/>
      <c r="R62" s="38"/>
      <c r="S62" s="38"/>
      <c r="T62" s="38"/>
      <c r="U62" s="107" t="str">
        <f>IF([6]回答表!X44="●",[6]回答表!B115,IF([6]回答表!AA44="●",[6]回答表!B127,""))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IF([6]回答表!X44="●",[6]回答表!S121,IF([6]回答表!AA44="●",[6]回答表!S133,""))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IF([6]回答表!X44="●",[6]回答表!J121,IF([6]回答表!AA44="●",[6]回答表!J133,""))</f>
        <v/>
      </c>
      <c r="AN65" s="120"/>
      <c r="AO65" s="120"/>
      <c r="AP65" s="120"/>
      <c r="AQ65" s="120"/>
      <c r="AR65" s="120"/>
      <c r="AS65" s="120"/>
      <c r="AT65" s="121"/>
      <c r="AU65" s="119" t="str">
        <f>IF([6]回答表!X44="●",[6]回答表!J122,IF([6]回答表!AA44="●",[6]回答表!J134,""))</f>
        <v/>
      </c>
      <c r="AV65" s="120"/>
      <c r="AW65" s="120"/>
      <c r="AX65" s="120"/>
      <c r="AY65" s="120"/>
      <c r="AZ65" s="120"/>
      <c r="BA65" s="120"/>
      <c r="BB65" s="121"/>
      <c r="BC65" s="39"/>
      <c r="BD65" s="34"/>
      <c r="BE65" s="34"/>
      <c r="BF65" s="83" t="str">
        <f>IF([6]回答表!X44="●",[6]回答表!V121,IF([6]回答表!AA44="●",[6]回答表!V133,""))</f>
        <v/>
      </c>
      <c r="BG65" s="84"/>
      <c r="BH65" s="84"/>
      <c r="BI65" s="84"/>
      <c r="BJ65" s="83" t="str">
        <f>IF([6]回答表!X44="●",[6]回答表!V122,IF([6]回答表!AA44="●",[6]回答表!V134,""))</f>
        <v/>
      </c>
      <c r="BK65" s="84"/>
      <c r="BL65" s="84"/>
      <c r="BM65" s="84"/>
      <c r="BN65" s="83" t="str">
        <f>IF([6]回答表!X44="●",[6]回答表!V123,IF([6]回答表!AA44="●",[6]回答表!V135,""))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IF([6]回答表!AA44="●","●","")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IF([6]回答表!AD44="●","●","")</f>
        <v>●</v>
      </c>
      <c r="O74" s="99"/>
      <c r="P74" s="99"/>
      <c r="Q74" s="100"/>
      <c r="R74" s="38"/>
      <c r="S74" s="38"/>
      <c r="T74" s="38"/>
      <c r="U74" s="107" t="str">
        <f>IF([6]回答表!AD44="●",[6]回答表!B140,"")</f>
        <v>大館市介護保険事業計画第９期中で民間への譲渡も検討している。
公共施設等総合管理計画を策定し、議会への報告、ホームページで公開済み。</v>
      </c>
      <c r="V74" s="108"/>
      <c r="W74" s="108"/>
      <c r="X74" s="108"/>
      <c r="Y74" s="108"/>
      <c r="Z74" s="108"/>
      <c r="AA74" s="108"/>
      <c r="AB74" s="108"/>
      <c r="AC74" s="108"/>
      <c r="AD74" s="108"/>
      <c r="AE74" s="108"/>
      <c r="AF74" s="108"/>
      <c r="AG74" s="108"/>
      <c r="AH74" s="108"/>
      <c r="AI74" s="108"/>
      <c r="AJ74" s="109"/>
      <c r="AK74" s="55"/>
      <c r="AL74" s="55"/>
      <c r="AM74" s="107" t="str">
        <f>IF([6]回答表!AD44="●",[6]回答表!B146,"")</f>
        <v>「大館市デイサービスセンター大滝」については、令和６年４月を目途に譲渡することで検討。
施設の老朽化もあり、経費が増大しないよう譲渡方法を検討している。
「大館市デイサービスセンターかつら」については譲渡予定はなし。</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IF([6]回答表!F17="水道事業",IF([6]回答表!X45="●","●",""),"")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IF([6]回答表!F17="水道事業",IF([6]回答表!X45="●",[6]回答表!B158,IF([6]回答表!AA45="●",[6]回答表!B223,"")),"")</f>
        <v/>
      </c>
      <c r="AN86" s="212"/>
      <c r="AO86" s="212"/>
      <c r="AP86" s="212"/>
      <c r="AQ86" s="212"/>
      <c r="AR86" s="212"/>
      <c r="AS86" s="212"/>
      <c r="AT86" s="212"/>
      <c r="AU86" s="212"/>
      <c r="AV86" s="212"/>
      <c r="AW86" s="212"/>
      <c r="AX86" s="212"/>
      <c r="AY86" s="212"/>
      <c r="AZ86" s="212"/>
      <c r="BA86" s="212"/>
      <c r="BB86" s="212"/>
      <c r="BC86" s="213"/>
      <c r="BD86" s="34"/>
      <c r="BE86" s="34"/>
      <c r="BF86" s="116" t="str">
        <f>IF([6]回答表!F17="水道事業",IF([6]回答表!X45="●",[6]回答表!B212,IF([6]回答表!AA45="●",[6]回答表!B278,"")),"")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IF([6]回答表!F17="水道事業",IF([6]回答表!X45="●",[6]回答表!J166,IF([6]回答表!AA45="●",[6]回答表!J231,"")),"")</f>
        <v/>
      </c>
      <c r="V88" s="120"/>
      <c r="W88" s="120"/>
      <c r="X88" s="120"/>
      <c r="Y88" s="120"/>
      <c r="Z88" s="120"/>
      <c r="AA88" s="120"/>
      <c r="AB88" s="121"/>
      <c r="AC88" s="119" t="str">
        <f>IF([6]回答表!F17="水道事業",IF([6]回答表!X45="●",[6]回答表!J173,IF([6]回答表!AA45="●",[6]回答表!J238,"")),"")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IF([6]回答表!F17="水道事業",IF([6]回答表!X45="●",[6]回答表!E212,IF([6]回答表!AA45="●",[6]回答表!E278,"")),"")</f>
        <v/>
      </c>
      <c r="BG89" s="84"/>
      <c r="BH89" s="84"/>
      <c r="BI89" s="84"/>
      <c r="BJ89" s="83" t="str">
        <f>IF([6]回答表!F17="水道事業",IF([6]回答表!X45="●",[6]回答表!E213,IF([6]回答表!AA45="●",[6]回答表!E279,"")),"")</f>
        <v/>
      </c>
      <c r="BK89" s="84"/>
      <c r="BL89" s="84"/>
      <c r="BM89" s="84"/>
      <c r="BN89" s="83" t="str">
        <f>IF([6]回答表!F17="水道事業",IF([6]回答表!X45="●",[6]回答表!E214,IF([6]回答表!AA45="●",[6]回答表!E280,"")),"")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IF([6]回答表!F17="水道事業",IF([6]回答表!AA45="●","●",""),"")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IF([6]回答表!F17="水道事業",IF([6]回答表!X45="●",[6]回答表!J176,IF([6]回答表!AA45="●",[6]回答表!J241,"")),"")</f>
        <v/>
      </c>
      <c r="V93" s="120"/>
      <c r="W93" s="120"/>
      <c r="X93" s="120"/>
      <c r="Y93" s="120"/>
      <c r="Z93" s="120"/>
      <c r="AA93" s="120"/>
      <c r="AB93" s="121"/>
      <c r="AC93" s="119" t="str">
        <f>IF([6]回答表!F17="水道事業",IF([6]回答表!X45="●",[6]回答表!J180,IF([6]回答表!AA45="●",[6]回答表!J245,"")),"")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IF([6]回答表!F17="水道事業",IF([6]回答表!AD45="●","●",""),"")</f>
        <v/>
      </c>
      <c r="O98" s="99"/>
      <c r="P98" s="99"/>
      <c r="Q98" s="100"/>
      <c r="R98" s="38"/>
      <c r="S98" s="38"/>
      <c r="T98" s="38"/>
      <c r="U98" s="107" t="str">
        <f>IF([6]回答表!F17="水道事業",IF([6]回答表!AD45="●",[6]回答表!B289,""),"")</f>
        <v/>
      </c>
      <c r="V98" s="108"/>
      <c r="W98" s="108"/>
      <c r="X98" s="108"/>
      <c r="Y98" s="108"/>
      <c r="Z98" s="108"/>
      <c r="AA98" s="108"/>
      <c r="AB98" s="108"/>
      <c r="AC98" s="108"/>
      <c r="AD98" s="108"/>
      <c r="AE98" s="108"/>
      <c r="AF98" s="108"/>
      <c r="AG98" s="108"/>
      <c r="AH98" s="108"/>
      <c r="AI98" s="108"/>
      <c r="AJ98" s="109"/>
      <c r="AK98" s="55"/>
      <c r="AL98" s="55"/>
      <c r="AM98" s="107" t="str">
        <f>IF([6]回答表!F17="水道事業",IF([6]回答表!AD45="●",[6]回答表!B295,""),"")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IF([6]回答表!F17="簡易水道事業",IF([6]回答表!X45="●",[6]回答表!B158,IF([6]回答表!AA45="●",[6]回答表!B223,"")),"")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IF([6]回答表!F17="簡易水道事業",IF([6]回答表!X45="●",[6]回答表!B212,IF([6]回答表!AA45="●",[6]回答表!B278,"")),"")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IF([6]回答表!F17="簡易水道事業",IF([6]回答表!X45="●","●",""),"")</f>
        <v/>
      </c>
      <c r="O112" s="99"/>
      <c r="P112" s="99"/>
      <c r="Q112" s="100"/>
      <c r="R112" s="38"/>
      <c r="S112" s="38"/>
      <c r="T112" s="38"/>
      <c r="U112" s="119" t="str">
        <f>IF([6]回答表!F17="簡易水道事業",IF([6]回答表!X45="●",[6]回答表!Y185,IF([6]回答表!AA45="●",[6]回答表!Y251,"")),"")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IF([6]回答表!F17="簡易水道事業",IF([6]回答表!X45="●",[6]回答表!E212,IF([6]回答表!AA45="●",[6]回答表!E278,"")),"")</f>
        <v/>
      </c>
      <c r="BG113" s="84"/>
      <c r="BH113" s="84"/>
      <c r="BI113" s="84"/>
      <c r="BJ113" s="83" t="str">
        <f>IF([6]回答表!F17="簡易水道事業",IF([6]回答表!X45="●",[6]回答表!E213,IF([6]回答表!AA45="●",[6]回答表!E279,"")),"")</f>
        <v/>
      </c>
      <c r="BK113" s="84"/>
      <c r="BL113" s="84"/>
      <c r="BM113" s="84"/>
      <c r="BN113" s="83" t="str">
        <f>IF([6]回答表!F17="簡易水道事業",IF([6]回答表!X45="●",[6]回答表!E214,IF([6]回答表!AA45="●",[6]回答表!E280,"")),"")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IF([6]回答表!F17="簡易水道事業",IF([6]回答表!X45="●",[6]回答表!Y186,IF([6]回答表!AA45="●",[6]回答表!Y252,"")),"")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IF([6]回答表!F17="簡易水道事業",IF([6]回答表!AA45="●","●",""),"")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IF([6]回答表!F17="簡易水道事業",IF([6]回答表!X45="●",[6]回答表!Y187,IF([6]回答表!AA45="●",[6]回答表!Y253,"")),"")</f>
        <v/>
      </c>
      <c r="V122" s="120"/>
      <c r="W122" s="120"/>
      <c r="X122" s="120"/>
      <c r="Y122" s="120"/>
      <c r="Z122" s="120"/>
      <c r="AA122" s="120"/>
      <c r="AB122" s="120"/>
      <c r="AC122" s="120"/>
      <c r="AD122" s="120"/>
      <c r="AE122" s="120"/>
      <c r="AF122" s="120"/>
      <c r="AG122" s="120"/>
      <c r="AH122" s="120"/>
      <c r="AI122" s="120"/>
      <c r="AJ122" s="121"/>
      <c r="AK122" s="18"/>
      <c r="AL122" s="18"/>
      <c r="AM122" s="228" t="str">
        <f>IF([6]回答表!F17="簡易水道事業",IF([6]回答表!X45="●",[6]回答表!Y189,IF([6]回答表!AA45="●",[6]回答表!Y255,"")),"")</f>
        <v/>
      </c>
      <c r="AN122" s="228"/>
      <c r="AO122" s="228"/>
      <c r="AP122" s="228"/>
      <c r="AQ122" s="228"/>
      <c r="AR122" s="228"/>
      <c r="AS122" s="228" t="str">
        <f>IF([6]回答表!F17="簡易水道事業",IF([6]回答表!X45="●",[6]回答表!Y190,IF([6]回答表!AA45="●",[6]回答表!Y256,"")),"")</f>
        <v/>
      </c>
      <c r="AT122" s="228"/>
      <c r="AU122" s="228"/>
      <c r="AV122" s="228"/>
      <c r="AW122" s="228"/>
      <c r="AX122" s="228"/>
      <c r="AY122" s="228" t="str">
        <f>IF([6]回答表!F17="簡易水道事業",IF([6]回答表!X45="●",[6]回答表!Y191,IF([6]回答表!AA45="●",[6]回答表!Y257,"")),"")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IF([6]回答表!F17="簡易水道事業",IF([6]回答表!AD45="●","●",""),"")</f>
        <v/>
      </c>
      <c r="O127" s="99"/>
      <c r="P127" s="99"/>
      <c r="Q127" s="100"/>
      <c r="R127" s="38"/>
      <c r="S127" s="38"/>
      <c r="T127" s="38"/>
      <c r="U127" s="107" t="str">
        <f>IF([6]回答表!F17="簡易水道事業",IF([6]回答表!AD45="●",[6]回答表!B289,""),"")</f>
        <v/>
      </c>
      <c r="V127" s="108"/>
      <c r="W127" s="108"/>
      <c r="X127" s="108"/>
      <c r="Y127" s="108"/>
      <c r="Z127" s="108"/>
      <c r="AA127" s="108"/>
      <c r="AB127" s="108"/>
      <c r="AC127" s="108"/>
      <c r="AD127" s="108"/>
      <c r="AE127" s="108"/>
      <c r="AF127" s="108"/>
      <c r="AG127" s="108"/>
      <c r="AH127" s="108"/>
      <c r="AI127" s="108"/>
      <c r="AJ127" s="109"/>
      <c r="AK127" s="55"/>
      <c r="AL127" s="55"/>
      <c r="AM127" s="107" t="str">
        <f>IF([6]回答表!F17="簡易水道事業",IF([6]回答表!AD45="●",[6]回答表!B295,""),"")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IF([6]回答表!F17="下水道事業",IF([6]回答表!X45="●","●",""),"")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IF([6]回答表!F17="下水道事業",IF([6]回答表!X45="●",[6]回答表!B158,IF([6]回答表!AA45="●",[6]回答表!B223,"")),"")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IF([6]回答表!F17="下水道事業",IF([6]回答表!X45="●",[6]回答表!B212,IF([6]回答表!AA45="●",[6]回答表!B278,"")),"")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IF([6]回答表!F17="下水道事業",IF([6]回答表!X45="●",[6]回答表!Y193,IF([6]回答表!AA45="●",[6]回答表!Y259,"")),"")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IF([6]回答表!F17="下水道事業",IF([6]回答表!X45="●",[6]回答表!E212,IF([6]回答表!AA45="●",[6]回答表!E278,"")),"")</f>
        <v/>
      </c>
      <c r="BG142" s="84"/>
      <c r="BH142" s="84"/>
      <c r="BI142" s="84"/>
      <c r="BJ142" s="83" t="str">
        <f>IF([6]回答表!F17="下水道事業",IF([6]回答表!X45="●",[6]回答表!E213,IF([6]回答表!AA45="●",[6]回答表!E279,"")),"")</f>
        <v/>
      </c>
      <c r="BK142" s="84"/>
      <c r="BL142" s="84"/>
      <c r="BM142" s="84"/>
      <c r="BN142" s="83" t="str">
        <f>IF([6]回答表!F17="下水道事業",IF([6]回答表!X45="●",[6]回答表!E214,IF([6]回答表!AA45="●",[6]回答表!E280,"")),"")</f>
        <v/>
      </c>
      <c r="BO142" s="84"/>
      <c r="BP142" s="84"/>
      <c r="BQ142" s="87"/>
      <c r="BR142" s="37"/>
      <c r="BX142" s="211" t="str">
        <f>IF([6]回答表!AQ20="下水道事業",IF([6]回答表!BI48="○",[6]回答表!AM161,IF([6]回答表!BL48="○",[6]回答表!AM226,"")),"")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IF([6]回答表!F17="下水道事業",IF([6]回答表!X45="●",[6]回答表!Y195,IF([6]回答表!AA45="●",[6]回答表!Y261,"")),"")</f>
        <v/>
      </c>
      <c r="V147" s="120"/>
      <c r="W147" s="120"/>
      <c r="X147" s="120"/>
      <c r="Y147" s="120"/>
      <c r="Z147" s="120"/>
      <c r="AA147" s="120"/>
      <c r="AB147" s="121"/>
      <c r="AC147" s="119" t="str">
        <f>IF([6]回答表!F17="下水道事業",IF([6]回答表!X45="●",[6]回答表!Y196,IF([6]回答表!AA45="●",[6]回答表!Y262,"")),"")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IF([6]回答表!F17="下水道事業",IF([6]回答表!X45="●",[6]回答表!Y198,IF([6]回答表!AA45="●",[6]回答表!Y264,"")),"")</f>
        <v/>
      </c>
      <c r="V153" s="120"/>
      <c r="W153" s="120"/>
      <c r="X153" s="120"/>
      <c r="Y153" s="120"/>
      <c r="Z153" s="120"/>
      <c r="AA153" s="120"/>
      <c r="AB153" s="121"/>
      <c r="AC153" s="119" t="str">
        <f>IF([6]回答表!F17="下水道事業",IF([6]回答表!X45="●",[6]回答表!Y199,IF([6]回答表!AA45="●",[6]回答表!Y265,"")),"")</f>
        <v/>
      </c>
      <c r="AD153" s="120"/>
      <c r="AE153" s="120"/>
      <c r="AF153" s="120"/>
      <c r="AG153" s="120"/>
      <c r="AH153" s="120"/>
      <c r="AI153" s="120"/>
      <c r="AJ153" s="121"/>
      <c r="AK153" s="119" t="str">
        <f>IF([6]回答表!F17="下水道事業",IF([6]回答表!X45="●",[6]回答表!Y200,IF([6]回答表!AA45="●",[6]回答表!Y266,"")),"")</f>
        <v/>
      </c>
      <c r="AL153" s="120"/>
      <c r="AM153" s="120"/>
      <c r="AN153" s="120"/>
      <c r="AO153" s="120"/>
      <c r="AP153" s="120"/>
      <c r="AQ153" s="120"/>
      <c r="AR153" s="121"/>
      <c r="AS153" s="119" t="str">
        <f>IF([6]回答表!F17="下水道事業",IF([6]回答表!X45="●",[6]回答表!Y201,IF([6]回答表!AA45="●",[6]回答表!Y267,"")),"")</f>
        <v/>
      </c>
      <c r="AT153" s="120"/>
      <c r="AU153" s="120"/>
      <c r="AV153" s="120"/>
      <c r="AW153" s="120"/>
      <c r="AX153" s="120"/>
      <c r="AY153" s="120"/>
      <c r="AZ153" s="121"/>
      <c r="BA153" s="119" t="str">
        <f>IF([6]回答表!F17="下水道事業",IF([6]回答表!X45="●",[6]回答表!Y202,IF([6]回答表!AA45="●",[6]回答表!Y268,"")),"")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IF([6]回答表!F17="下水道事業",IF([6]回答表!AA45="●","●",""),"")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IF([6]回答表!F17="下水道事業",IF([6]回答表!X45="●",[6]回答表!Y207,IF([6]回答表!AA45="●",[6]回答表!Y273,"")),"")</f>
        <v/>
      </c>
      <c r="V159" s="120"/>
      <c r="W159" s="120"/>
      <c r="X159" s="120"/>
      <c r="Y159" s="120"/>
      <c r="Z159" s="120"/>
      <c r="AA159" s="120"/>
      <c r="AB159" s="121"/>
      <c r="AC159" s="119" t="str">
        <f>IF([6]回答表!F17="下水道事業",IF([6]回答表!X45="●",[6]回答表!Y208,IF([6]回答表!AA45="●",[6]回答表!Y274,"")),"")</f>
        <v/>
      </c>
      <c r="AD159" s="120"/>
      <c r="AE159" s="120"/>
      <c r="AF159" s="120"/>
      <c r="AG159" s="120"/>
      <c r="AH159" s="120"/>
      <c r="AI159" s="120"/>
      <c r="AJ159" s="121"/>
      <c r="AK159" s="119" t="str">
        <f>IF([6]回答表!F17="下水道事業",IF([6]回答表!X45="●",[6]回答表!Y209,IF([6]回答表!AA45="●",[6]回答表!Y275,"")),"")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IF([6]回答表!F17="下水道事業",IF([6]回答表!AD45="●","●",""),"")</f>
        <v/>
      </c>
      <c r="O164" s="99"/>
      <c r="P164" s="99"/>
      <c r="Q164" s="100"/>
      <c r="R164" s="38"/>
      <c r="S164" s="38"/>
      <c r="T164" s="38"/>
      <c r="U164" s="107" t="str">
        <f>IF([6]回答表!F17="下水道事業",IF([6]回答表!AD45="●",[6]回答表!B289,""),"")</f>
        <v/>
      </c>
      <c r="V164" s="108"/>
      <c r="W164" s="108"/>
      <c r="X164" s="108"/>
      <c r="Y164" s="108"/>
      <c r="Z164" s="108"/>
      <c r="AA164" s="108"/>
      <c r="AB164" s="108"/>
      <c r="AC164" s="108"/>
      <c r="AD164" s="108"/>
      <c r="AE164" s="108"/>
      <c r="AF164" s="108"/>
      <c r="AG164" s="108"/>
      <c r="AH164" s="108"/>
      <c r="AI164" s="108"/>
      <c r="AJ164" s="109"/>
      <c r="AK164" s="55"/>
      <c r="AL164" s="55"/>
      <c r="AM164" s="107" t="str">
        <f>IF([6]回答表!F17="下水道事業",IF([6]回答表!AD45="●",[6]回答表!B295,""),"")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IF([6]回答表!BD17="●",IF([6]回答表!X45="●","●",""),"")</f>
        <v/>
      </c>
      <c r="O176" s="99"/>
      <c r="P176" s="99"/>
      <c r="Q176" s="100"/>
      <c r="R176" s="38"/>
      <c r="S176" s="38"/>
      <c r="T176" s="38"/>
      <c r="U176" s="107" t="str">
        <f>IF([6]回答表!BD17="●",IF([6]回答表!X45="●",[6]回答表!B158,IF([6]回答表!AA45="●",[6]回答表!B223,"")),"")</f>
        <v/>
      </c>
      <c r="V176" s="108"/>
      <c r="W176" s="108"/>
      <c r="X176" s="108"/>
      <c r="Y176" s="108"/>
      <c r="Z176" s="108"/>
      <c r="AA176" s="108"/>
      <c r="AB176" s="108"/>
      <c r="AC176" s="108"/>
      <c r="AD176" s="108"/>
      <c r="AE176" s="108"/>
      <c r="AF176" s="108"/>
      <c r="AG176" s="108"/>
      <c r="AH176" s="108"/>
      <c r="AI176" s="108"/>
      <c r="AJ176" s="109"/>
      <c r="AK176" s="49"/>
      <c r="AL176" s="49"/>
      <c r="AM176" s="116" t="str">
        <f>IF([6]回答表!BD17="●",IF([6]回答表!X45="●",[6]回答表!B212,IF([6]回答表!AA45="●",[6]回答表!B278,"")),"")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IF([6]回答表!BD17="●",IF([6]回答表!X45="●",[6]回答表!E212,IF([6]回答表!AA45="●",[6]回答表!E278,"")),"")</f>
        <v/>
      </c>
      <c r="AN179" s="84"/>
      <c r="AO179" s="84"/>
      <c r="AP179" s="84"/>
      <c r="AQ179" s="83" t="str">
        <f>IF([6]回答表!BD17="●",IF([6]回答表!X45="●",[6]回答表!E213,IF([6]回答表!AA45="●",[6]回答表!E279,"")),"")</f>
        <v/>
      </c>
      <c r="AR179" s="84"/>
      <c r="AS179" s="84"/>
      <c r="AT179" s="84"/>
      <c r="AU179" s="83" t="str">
        <f>IF([6]回答表!BD17="●",IF([6]回答表!X45="●",[6]回答表!E214,IF([6]回答表!AA45="●",[6]回答表!E280,"")),"")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IF([6]回答表!BD17="●",IF([6]回答表!AA45="●","●",""),"")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IF([6]回答表!BD17="●",IF([6]回答表!AD45="●","●",""),"")</f>
        <v/>
      </c>
      <c r="O188" s="99"/>
      <c r="P188" s="99"/>
      <c r="Q188" s="100"/>
      <c r="R188" s="38"/>
      <c r="S188" s="38"/>
      <c r="T188" s="38"/>
      <c r="U188" s="107" t="str">
        <f>IF([6]回答表!BD17="●",IF([6]回答表!AD45="●",[6]回答表!B289,""),"")</f>
        <v/>
      </c>
      <c r="V188" s="108"/>
      <c r="W188" s="108"/>
      <c r="X188" s="108"/>
      <c r="Y188" s="108"/>
      <c r="Z188" s="108"/>
      <c r="AA188" s="108"/>
      <c r="AB188" s="108"/>
      <c r="AC188" s="108"/>
      <c r="AD188" s="108"/>
      <c r="AE188" s="108"/>
      <c r="AF188" s="108"/>
      <c r="AG188" s="108"/>
      <c r="AH188" s="108"/>
      <c r="AI188" s="108"/>
      <c r="AJ188" s="109"/>
      <c r="AK188" s="55"/>
      <c r="AL188" s="55"/>
      <c r="AM188" s="107" t="str">
        <f>IF([6]回答表!BD17="●",IF([6]回答表!AD45="●",[6]回答表!B295,""),"")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IF([6]回答表!X46="●","●","")</f>
        <v>●</v>
      </c>
      <c r="O200" s="99"/>
      <c r="P200" s="99"/>
      <c r="Q200" s="100"/>
      <c r="R200" s="38"/>
      <c r="S200" s="38"/>
      <c r="T200" s="38"/>
      <c r="U200" s="107" t="str">
        <f>IF([6]回答表!X46="●",[6]回答表!B307,IF([6]回答表!AA46="●",[6]回答表!B324,""))</f>
        <v>老人デイサービスセンター（デイサービスセンターかつら：定員２５人、デイサービスセンター大滝：定員３５人）の管理・運営
住民サービスの充実、介護サービスの質の向上が図られた。</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IF([6]回答表!X46="●",[6]回答表!U313,IF([6]回答表!AA46="●",[6]回答表!U330,""))</f>
        <v>平成</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IF([6]回答表!X46="●",[6]回答表!G313,IF([6]回答表!AA46="●",[6]回答表!G330,""))</f>
        <v xml:space="preserve"> </v>
      </c>
      <c r="AN203" s="120"/>
      <c r="AO203" s="120"/>
      <c r="AP203" s="120"/>
      <c r="AQ203" s="120"/>
      <c r="AR203" s="120"/>
      <c r="AS203" s="120"/>
      <c r="AT203" s="121"/>
      <c r="AU203" s="119" t="str">
        <f>IF([6]回答表!X46="●",[6]回答表!G314,IF([6]回答表!AA46="●",[6]回答表!G331,""))</f>
        <v>●</v>
      </c>
      <c r="AV203" s="120"/>
      <c r="AW203" s="120"/>
      <c r="AX203" s="120"/>
      <c r="AY203" s="120"/>
      <c r="AZ203" s="120"/>
      <c r="BA203" s="120"/>
      <c r="BB203" s="121"/>
      <c r="BC203" s="39"/>
      <c r="BD203" s="34"/>
      <c r="BE203" s="34"/>
      <c r="BF203" s="83">
        <f>IF([6]回答表!X46="●",[6]回答表!X313,IF([6]回答表!AA46="●",[6]回答表!X330,""))</f>
        <v>18</v>
      </c>
      <c r="BG203" s="84"/>
      <c r="BH203" s="84"/>
      <c r="BI203" s="84"/>
      <c r="BJ203" s="83">
        <f>IF([6]回答表!X46="●",[6]回答表!X314,IF([6]回答表!AA46="●",[6]回答表!X331,""))</f>
        <v>4</v>
      </c>
      <c r="BK203" s="84"/>
      <c r="BL203" s="84"/>
      <c r="BM203" s="87"/>
      <c r="BN203" s="83">
        <f>IF([6]回答表!X46="●",[6]回答表!X315,IF([6]回答表!AA46="●",[6]回答表!X332,""))</f>
        <v>1</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IF([6]回答表!AA46="●","●","")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IF([6]回答表!AD46="●","●","")</f>
        <v/>
      </c>
      <c r="O212" s="99"/>
      <c r="P212" s="99"/>
      <c r="Q212" s="100"/>
      <c r="R212" s="38"/>
      <c r="S212" s="38"/>
      <c r="T212" s="38"/>
      <c r="U212" s="107" t="str">
        <f>IF([6]回答表!AD46="●",[6]回答表!B337,"")</f>
        <v/>
      </c>
      <c r="V212" s="108"/>
      <c r="W212" s="108"/>
      <c r="X212" s="108"/>
      <c r="Y212" s="108"/>
      <c r="Z212" s="108"/>
      <c r="AA212" s="108"/>
      <c r="AB212" s="108"/>
      <c r="AC212" s="108"/>
      <c r="AD212" s="108"/>
      <c r="AE212" s="108"/>
      <c r="AF212" s="108"/>
      <c r="AG212" s="108"/>
      <c r="AH212" s="108"/>
      <c r="AI212" s="108"/>
      <c r="AJ212" s="109"/>
      <c r="AK212" s="62"/>
      <c r="AL212" s="62"/>
      <c r="AM212" s="107" t="str">
        <f>IF([6]回答表!AD46="●",[6]回答表!B343,"")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IF([6]回答表!X47="●","●","")</f>
        <v/>
      </c>
      <c r="O224" s="99"/>
      <c r="P224" s="99"/>
      <c r="Q224" s="100"/>
      <c r="R224" s="38"/>
      <c r="S224" s="38"/>
      <c r="T224" s="38"/>
      <c r="U224" s="107" t="str">
        <f>IF([6]回答表!X47="●",[6]回答表!B356,IF([6]回答表!AA47="●",[6]回答表!B379,""))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IF([6]回答表!X47="●",[6]回答表!B362,"")</f>
        <v/>
      </c>
      <c r="AO224" s="182"/>
      <c r="AP224" s="182"/>
      <c r="AQ224" s="182"/>
      <c r="AR224" s="182"/>
      <c r="AS224" s="182"/>
      <c r="AT224" s="182"/>
      <c r="AU224" s="182"/>
      <c r="AV224" s="182"/>
      <c r="AW224" s="182"/>
      <c r="AX224" s="182"/>
      <c r="AY224" s="182"/>
      <c r="AZ224" s="182"/>
      <c r="BA224" s="182"/>
      <c r="BB224" s="183"/>
      <c r="BC224" s="39"/>
      <c r="BD224" s="34"/>
      <c r="BE224" s="34"/>
      <c r="BF224" s="116" t="str">
        <f>IF([6]回答表!X47="●",[6]回答表!B368,IF([6]回答表!AA47="●",[6]回答表!B385,""))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IF([6]回答表!X47="●",[6]回答表!E368,IF([6]回答表!AA47="●",[6]回答表!E385,""))</f>
        <v/>
      </c>
      <c r="BG227" s="84"/>
      <c r="BH227" s="84"/>
      <c r="BI227" s="84"/>
      <c r="BJ227" s="83" t="str">
        <f>IF([6]回答表!X47="●",[6]回答表!E369,IF([6]回答表!AA47="●",[6]回答表!E386,""))</f>
        <v/>
      </c>
      <c r="BK227" s="84"/>
      <c r="BL227" s="84"/>
      <c r="BM227" s="87"/>
      <c r="BN227" s="83" t="str">
        <f>IF([6]回答表!X47="●",[6]回答表!E370,IF([6]回答表!AA47="●",[6]回答表!E387,""))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IF([6]回答表!AA47="●","●","")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IF([6]回答表!AD47="●","●","")</f>
        <v/>
      </c>
      <c r="O236" s="99"/>
      <c r="P236" s="99"/>
      <c r="Q236" s="100"/>
      <c r="R236" s="38"/>
      <c r="S236" s="38"/>
      <c r="T236" s="38"/>
      <c r="U236" s="107" t="str">
        <f>IF([6]回答表!AD47="●",[6]回答表!B392,"")</f>
        <v/>
      </c>
      <c r="V236" s="108"/>
      <c r="W236" s="108"/>
      <c r="X236" s="108"/>
      <c r="Y236" s="108"/>
      <c r="Z236" s="108"/>
      <c r="AA236" s="108"/>
      <c r="AB236" s="108"/>
      <c r="AC236" s="108"/>
      <c r="AD236" s="108"/>
      <c r="AE236" s="108"/>
      <c r="AF236" s="108"/>
      <c r="AG236" s="108"/>
      <c r="AH236" s="108"/>
      <c r="AI236" s="108"/>
      <c r="AJ236" s="109"/>
      <c r="AK236" s="62"/>
      <c r="AL236" s="62"/>
      <c r="AM236" s="107" t="str">
        <f>IF([6]回答表!AD47="●",[6]回答表!B398,"")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IF([6]回答表!X48="●","●","")</f>
        <v/>
      </c>
      <c r="O248" s="99"/>
      <c r="P248" s="99"/>
      <c r="Q248" s="100"/>
      <c r="R248" s="38"/>
      <c r="S248" s="38"/>
      <c r="T248" s="38"/>
      <c r="U248" s="107" t="str">
        <f>IF([6]回答表!X48="●",[6]回答表!B411,IF([6]回答表!AA48="●",[6]回答表!B425,""))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IF([6]回答表!X48="●",[6]回答表!BC418,IF([6]回答表!AA48="●",[6]回答表!BC432,""))</f>
        <v/>
      </c>
      <c r="AR248" s="151"/>
      <c r="AS248" s="151"/>
      <c r="AT248" s="151"/>
      <c r="AU248" s="173" t="s">
        <v>73</v>
      </c>
      <c r="AV248" s="174"/>
      <c r="AW248" s="174"/>
      <c r="AX248" s="175"/>
      <c r="AY248" s="151" t="str">
        <f>IF([6]回答表!X48="●",[6]回答表!BC423,IF([6]回答表!AA48="●",[6]回答表!BC437,""))</f>
        <v/>
      </c>
      <c r="AZ248" s="151"/>
      <c r="BA248" s="151"/>
      <c r="BB248" s="151"/>
      <c r="BC248" s="39"/>
      <c r="BD248" s="34"/>
      <c r="BE248" s="34"/>
      <c r="BF248" s="116" t="str">
        <f>IF([6]回答表!X48="●",[6]回答表!S417,IF([6]回答表!AA48="●",[6]回答表!S431,""))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IF([6]回答表!X48="●",[6]回答表!BC419,IF([6]回答表!AA48="●",[6]回答表!BC433,""))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IF([6]回答表!X48="●",[6]回答表!V417,IF([6]回答表!AA48="●",[6]回答表!V431,""))</f>
        <v/>
      </c>
      <c r="BG251" s="84"/>
      <c r="BH251" s="84"/>
      <c r="BI251" s="84"/>
      <c r="BJ251" s="83" t="str">
        <f>IF([6]回答表!X48="●",[6]回答表!V418,IF([6]回答表!AA48="●",[6]回答表!V432,""))</f>
        <v/>
      </c>
      <c r="BK251" s="84"/>
      <c r="BL251" s="84"/>
      <c r="BM251" s="87"/>
      <c r="BN251" s="83" t="str">
        <f>IF([6]回答表!X48="●",[6]回答表!V419,IF([6]回答表!AA48="●",[6]回答表!V433,""))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IF([6]回答表!X48="●",[6]回答表!BC420,IF([6]回答表!AA48="●",[6]回答表!BC434,""))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IF([6]回答表!X48="●",[6]回答表!BC424,IF([6]回答表!AA48="●",[6]回答表!BC438,""))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IF([6]回答表!AA48="●","●","")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IF([6]回答表!X48="●",[6]回答表!BC421,IF([6]回答表!AA48="●",[6]回答表!BC435,""))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IF([6]回答表!X48="●",[6]回答表!BC422,IF([6]回答表!AA48="●",[6]回答表!BC436,""))</f>
        <v/>
      </c>
      <c r="AR256" s="151"/>
      <c r="AS256" s="151"/>
      <c r="AT256" s="151"/>
      <c r="AU256" s="152" t="s">
        <v>79</v>
      </c>
      <c r="AV256" s="153"/>
      <c r="AW256" s="153"/>
      <c r="AX256" s="154"/>
      <c r="AY256" s="158" t="str">
        <f>IF([6]回答表!X48="●",[6]回答表!BC425,IF([6]回答表!AA48="●",[6]回答表!BC439,""))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IF([6]回答表!AD48="●","●","")</f>
        <v/>
      </c>
      <c r="O260" s="99"/>
      <c r="P260" s="99"/>
      <c r="Q260" s="100"/>
      <c r="R260" s="38"/>
      <c r="S260" s="38"/>
      <c r="T260" s="38"/>
      <c r="U260" s="107" t="str">
        <f>IF([6]回答表!AD48="●",[6]回答表!B439,"")</f>
        <v/>
      </c>
      <c r="V260" s="108"/>
      <c r="W260" s="108"/>
      <c r="X260" s="108"/>
      <c r="Y260" s="108"/>
      <c r="Z260" s="108"/>
      <c r="AA260" s="108"/>
      <c r="AB260" s="108"/>
      <c r="AC260" s="108"/>
      <c r="AD260" s="108"/>
      <c r="AE260" s="108"/>
      <c r="AF260" s="108"/>
      <c r="AG260" s="108"/>
      <c r="AH260" s="108"/>
      <c r="AI260" s="108"/>
      <c r="AJ260" s="109"/>
      <c r="AK260" s="55"/>
      <c r="AL260" s="55"/>
      <c r="AM260" s="107" t="str">
        <f>IF([6]回答表!AD48="●",[6]回答表!B445,"")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IF([6]回答表!X49="●","●","")</f>
        <v/>
      </c>
      <c r="O271" s="99"/>
      <c r="P271" s="99"/>
      <c r="Q271" s="100"/>
      <c r="R271" s="38"/>
      <c r="S271" s="38"/>
      <c r="T271" s="38"/>
      <c r="U271" s="107" t="str">
        <f>IF([6]回答表!X49="●",[6]回答表!B458,IF([6]回答表!AA49="●",[6]回答表!B475,""))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IF([6]回答表!X49="●",[6]回答表!B468,IF([6]回答表!AA49="●",[6]回答表!B485,""))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IF([6]回答表!X49="●",[6]回答表!G464,IF([6]回答表!AA49="●",[6]回答表!G481,""))</f>
        <v/>
      </c>
      <c r="AN273" s="120"/>
      <c r="AO273" s="120"/>
      <c r="AP273" s="120"/>
      <c r="AQ273" s="120"/>
      <c r="AR273" s="120"/>
      <c r="AS273" s="120"/>
      <c r="AT273" s="121"/>
      <c r="AU273" s="119" t="str">
        <f>IF([6]回答表!X49="●",[6]回答表!G465,IF([6]回答表!AA49="●",[6]回答表!G482,""))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IF([6]回答表!X49="●",[6]回答表!E468,IF([6]回答表!AA49="●",[6]回答表!E485,""))</f>
        <v/>
      </c>
      <c r="BG274" s="84"/>
      <c r="BH274" s="84"/>
      <c r="BI274" s="84"/>
      <c r="BJ274" s="83" t="str">
        <f>IF([6]回答表!X49="●",[6]回答表!E469,IF([6]回答表!AA49="●",[6]回答表!E486,""))</f>
        <v/>
      </c>
      <c r="BK274" s="84"/>
      <c r="BL274" s="84"/>
      <c r="BM274" s="87"/>
      <c r="BN274" s="83" t="str">
        <f>IF([6]回答表!X49="●",[6]回答表!E470,IF([6]回答表!AA49="●",[6]回答表!E487,""))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IF([6]回答表!AA49="●","●","")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IF([6]回答表!AD49="●","●","")</f>
        <v/>
      </c>
      <c r="O283" s="99"/>
      <c r="P283" s="99"/>
      <c r="Q283" s="100"/>
      <c r="R283" s="38"/>
      <c r="S283" s="38"/>
      <c r="T283" s="38"/>
      <c r="U283" s="107" t="str">
        <f>IF([6]回答表!AD49="●",[6]回答表!B492,"")</f>
        <v/>
      </c>
      <c r="V283" s="108"/>
      <c r="W283" s="108"/>
      <c r="X283" s="108"/>
      <c r="Y283" s="108"/>
      <c r="Z283" s="108"/>
      <c r="AA283" s="108"/>
      <c r="AB283" s="108"/>
      <c r="AC283" s="108"/>
      <c r="AD283" s="108"/>
      <c r="AE283" s="108"/>
      <c r="AF283" s="108"/>
      <c r="AG283" s="108"/>
      <c r="AH283" s="108"/>
      <c r="AI283" s="108"/>
      <c r="AJ283" s="109"/>
      <c r="AK283" s="49"/>
      <c r="AL283" s="49"/>
      <c r="AM283" s="107" t="str">
        <f>IF([6]回答表!AD49="●",[6]回答表!B498,"")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IF([6]回答表!R50="●",[6]回答表!B511,"")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169F-5A60-4005-9AB6-1523C29A8F4B}">
  <sheetPr>
    <pageSetUpPr fitToPage="1"/>
  </sheetPr>
  <dimension ref="A1:CN315"/>
  <sheetViews>
    <sheetView showZeros="0" view="pageBreakPreview" zoomScale="55" zoomScaleNormal="55" zoomScaleSheetLayoutView="55" workbookViewId="0">
      <selection activeCell="R32" sqref="R32:BB33"/>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IF(COUNTIF([11]回答表!K15,"*")&gt;0,[11]回答表!K15,"")</f>
        <v>大館市</v>
      </c>
      <c r="D11" s="299"/>
      <c r="E11" s="299"/>
      <c r="F11" s="299"/>
      <c r="G11" s="299"/>
      <c r="H11" s="299"/>
      <c r="I11" s="299"/>
      <c r="J11" s="299"/>
      <c r="K11" s="299"/>
      <c r="L11" s="299"/>
      <c r="M11" s="299"/>
      <c r="N11" s="299"/>
      <c r="O11" s="299"/>
      <c r="P11" s="299"/>
      <c r="Q11" s="299"/>
      <c r="R11" s="299"/>
      <c r="S11" s="299"/>
      <c r="T11" s="299"/>
      <c r="U11" s="306" t="str">
        <f>IF(COUNTIF([11]回答表!F17,"*")&gt;0,[11]回答表!F17,"")</f>
        <v>駐車場整備事業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IF(COUNTIF([11]回答表!W17,"*")&gt;0,[11]回答表!W17,"")</f>
        <v>―</v>
      </c>
      <c r="AP11" s="301"/>
      <c r="AQ11" s="301"/>
      <c r="AR11" s="301"/>
      <c r="AS11" s="301"/>
      <c r="AT11" s="301"/>
      <c r="AU11" s="301"/>
      <c r="AV11" s="301"/>
      <c r="AW11" s="301"/>
      <c r="AX11" s="301"/>
      <c r="AY11" s="301"/>
      <c r="AZ11" s="301"/>
      <c r="BA11" s="301"/>
      <c r="BB11" s="301"/>
      <c r="BC11" s="301"/>
      <c r="BD11" s="301"/>
      <c r="BE11" s="301"/>
      <c r="BF11" s="302"/>
      <c r="BG11" s="305" t="str">
        <f>IF(COUNTIF([11]回答表!F19,"*")&gt;0,[11]回答表!F19,"")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IF([11]回答表!R43="●","●","")</f>
        <v>●</v>
      </c>
      <c r="E24" s="123"/>
      <c r="F24" s="123"/>
      <c r="G24" s="123"/>
      <c r="H24" s="123"/>
      <c r="I24" s="123"/>
      <c r="J24" s="124"/>
      <c r="K24" s="122" t="str">
        <f>IF([11]回答表!R44="●","●","")</f>
        <v/>
      </c>
      <c r="L24" s="123"/>
      <c r="M24" s="123"/>
      <c r="N24" s="123"/>
      <c r="O24" s="123"/>
      <c r="P24" s="123"/>
      <c r="Q24" s="124"/>
      <c r="R24" s="122" t="str">
        <f>IF([11]回答表!R45="●","●","")</f>
        <v/>
      </c>
      <c r="S24" s="123"/>
      <c r="T24" s="123"/>
      <c r="U24" s="123"/>
      <c r="V24" s="123"/>
      <c r="W24" s="123"/>
      <c r="X24" s="124"/>
      <c r="Y24" s="122" t="str">
        <f>IF([11]回答表!R46="●","●","")</f>
        <v/>
      </c>
      <c r="Z24" s="123"/>
      <c r="AA24" s="123"/>
      <c r="AB24" s="123"/>
      <c r="AC24" s="123"/>
      <c r="AD24" s="123"/>
      <c r="AE24" s="124"/>
      <c r="AF24" s="122" t="str">
        <f>IF([11]回答表!R47="●","●","")</f>
        <v/>
      </c>
      <c r="AG24" s="123"/>
      <c r="AH24" s="123"/>
      <c r="AI24" s="123"/>
      <c r="AJ24" s="123"/>
      <c r="AK24" s="123"/>
      <c r="AL24" s="124"/>
      <c r="AM24" s="122" t="str">
        <f>IF([11]回答表!R48="●","●","")</f>
        <v/>
      </c>
      <c r="AN24" s="123"/>
      <c r="AO24" s="123"/>
      <c r="AP24" s="123"/>
      <c r="AQ24" s="123"/>
      <c r="AR24" s="123"/>
      <c r="AS24" s="124"/>
      <c r="AT24" s="122" t="str">
        <f>IF([11]回答表!R49="●","●","")</f>
        <v/>
      </c>
      <c r="AU24" s="123"/>
      <c r="AV24" s="123"/>
      <c r="AW24" s="123"/>
      <c r="AX24" s="123"/>
      <c r="AY24" s="123"/>
      <c r="AZ24" s="124"/>
      <c r="BA24" s="18"/>
      <c r="BB24" s="119" t="str">
        <f>IF([11]回答表!R50="●","●","")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IF([11]回答表!X43="●","●","")</f>
        <v>●</v>
      </c>
      <c r="O36" s="99"/>
      <c r="P36" s="99"/>
      <c r="Q36" s="100"/>
      <c r="R36" s="38"/>
      <c r="S36" s="38"/>
      <c r="T36" s="38"/>
      <c r="U36" s="107" t="str">
        <f>IF([11]回答表!X43="●",[11]回答表!B59,IF([11]回答表!AA43="●",[11]回答表!B79,""))</f>
        <v>特別会計を設置して公設駐車場の運営及び建設事業債の償還を行っていたが、事業廃止後に施設の管理方法を見直したことで管理運営費△4,369千円（H26年度3月補正予算後予算額とR3年度当初予算額対比）となった。</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IF([11]回答表!X43="●",[11]回答表!S65,IF([11]回答表!AA43="●",[11]回答表!S85,""))</f>
        <v>平成</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IF([11]回答表!X43="●",[11]回答表!G65,IF([11]回答表!AA43="●",[11]回答表!G85,""))</f>
        <v>●</v>
      </c>
      <c r="AN38" s="120"/>
      <c r="AO38" s="120"/>
      <c r="AP38" s="120"/>
      <c r="AQ38" s="120"/>
      <c r="AR38" s="120"/>
      <c r="AS38" s="120"/>
      <c r="AT38" s="121"/>
      <c r="AU38" s="119" t="str">
        <f>IF([11]回答表!X43="●",[11]回答表!G66,IF([11]回答表!AA43="●",[11]回答表!G86,""))</f>
        <v xml:space="preserve">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f>IF([11]回答表!X43="●",[11]回答表!V65,IF([11]回答表!AA43="●",[11]回答表!V85,""))</f>
        <v>27</v>
      </c>
      <c r="BG39" s="249"/>
      <c r="BH39" s="249"/>
      <c r="BI39" s="250"/>
      <c r="BJ39" s="83">
        <f>IF([11]回答表!X43="●",[11]回答表!V66,IF([11]回答表!AA43="●",[11]回答表!V86,""))</f>
        <v>3</v>
      </c>
      <c r="BK39" s="249"/>
      <c r="BL39" s="249"/>
      <c r="BM39" s="250"/>
      <c r="BN39" s="83">
        <f>IF([11]回答表!X43="●",[11]回答表!V67,IF([11]回答表!AA43="●",[11]回答表!V87,""))</f>
        <v>31</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IF([11]回答表!X43="●",[11]回答表!O71,IF([11]回答表!AA43="●",[11]回答表!O91,""))</f>
        <v xml:space="preserve">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IF([11]回答表!X43="●",[11]回答表!O72,IF([11]回答表!AA43="●",[11]回答表!O92,""))</f>
        <v xml:space="preserve">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IF([11]回答表!AA43="●","●","")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IF([11]回答表!X43="●",[11]回答表!O73,IF([11]回答表!AA43="●",[11]回答表!O93,""))</f>
        <v xml:space="preserve">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IF([11]回答表!X43="●",[11]回答表!O74,IF([11]回答表!AA43="●",[11]回答表!O94,""))</f>
        <v xml:space="preserve">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IF([11]回答表!X43="●",[11]回答表!AG71,IF([11]回答表!AA43="●",[11]回答表!AG91,""))</f>
        <v xml:space="preserve">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IF([11]回答表!X43="●",[11]回答表!AG72,IF([11]回答表!AA43="●",[11]回答表!AG92,""))</f>
        <v>●</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IF([11]回答表!AD43="●","●","")</f>
        <v/>
      </c>
      <c r="O51" s="99"/>
      <c r="P51" s="99"/>
      <c r="Q51" s="100"/>
      <c r="R51" s="38"/>
      <c r="S51" s="38"/>
      <c r="T51" s="38"/>
      <c r="U51" s="107" t="str">
        <f>IF([11]回答表!AD43="●",[11]回答表!B99,"")</f>
        <v/>
      </c>
      <c r="V51" s="108"/>
      <c r="W51" s="108"/>
      <c r="X51" s="108"/>
      <c r="Y51" s="108"/>
      <c r="Z51" s="108"/>
      <c r="AA51" s="108"/>
      <c r="AB51" s="108"/>
      <c r="AC51" s="108"/>
      <c r="AD51" s="108"/>
      <c r="AE51" s="108"/>
      <c r="AF51" s="108"/>
      <c r="AG51" s="108"/>
      <c r="AH51" s="108"/>
      <c r="AI51" s="108"/>
      <c r="AJ51" s="109"/>
      <c r="AK51" s="55"/>
      <c r="AL51" s="55"/>
      <c r="AM51" s="107" t="str">
        <f>IF([11]回答表!AD43="●",[11]回答表!B104,"")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IF([11]回答表!X44="●","●","")</f>
        <v/>
      </c>
      <c r="O62" s="99"/>
      <c r="P62" s="99"/>
      <c r="Q62" s="100"/>
      <c r="R62" s="38"/>
      <c r="S62" s="38"/>
      <c r="T62" s="38"/>
      <c r="U62" s="107" t="str">
        <f>IF([11]回答表!X44="●",[11]回答表!B115,IF([11]回答表!AA44="●",[11]回答表!B127,""))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IF([11]回答表!X44="●",[11]回答表!S121,IF([11]回答表!AA44="●",[11]回答表!S133,""))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IF([11]回答表!X44="●",[11]回答表!J121,IF([11]回答表!AA44="●",[11]回答表!J133,""))</f>
        <v/>
      </c>
      <c r="AN65" s="120"/>
      <c r="AO65" s="120"/>
      <c r="AP65" s="120"/>
      <c r="AQ65" s="120"/>
      <c r="AR65" s="120"/>
      <c r="AS65" s="120"/>
      <c r="AT65" s="121"/>
      <c r="AU65" s="119" t="str">
        <f>IF([11]回答表!X44="●",[11]回答表!J122,IF([11]回答表!AA44="●",[11]回答表!J134,""))</f>
        <v/>
      </c>
      <c r="AV65" s="120"/>
      <c r="AW65" s="120"/>
      <c r="AX65" s="120"/>
      <c r="AY65" s="120"/>
      <c r="AZ65" s="120"/>
      <c r="BA65" s="120"/>
      <c r="BB65" s="121"/>
      <c r="BC65" s="39"/>
      <c r="BD65" s="34"/>
      <c r="BE65" s="34"/>
      <c r="BF65" s="83" t="str">
        <f>IF([11]回答表!X44="●",[11]回答表!V121,IF([11]回答表!AA44="●",[11]回答表!V133,""))</f>
        <v/>
      </c>
      <c r="BG65" s="84"/>
      <c r="BH65" s="84"/>
      <c r="BI65" s="84"/>
      <c r="BJ65" s="83" t="str">
        <f>IF([11]回答表!X44="●",[11]回答表!V122,IF([11]回答表!AA44="●",[11]回答表!V134,""))</f>
        <v/>
      </c>
      <c r="BK65" s="84"/>
      <c r="BL65" s="84"/>
      <c r="BM65" s="84"/>
      <c r="BN65" s="83" t="str">
        <f>IF([11]回答表!X44="●",[11]回答表!V123,IF([11]回答表!AA44="●",[11]回答表!V135,""))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IF([11]回答表!AA44="●","●","")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IF([11]回答表!AD44="●","●","")</f>
        <v/>
      </c>
      <c r="O74" s="99"/>
      <c r="P74" s="99"/>
      <c r="Q74" s="100"/>
      <c r="R74" s="38"/>
      <c r="S74" s="38"/>
      <c r="T74" s="38"/>
      <c r="U74" s="107" t="str">
        <f>IF([11]回答表!AD44="●",[11]回答表!B140,"")</f>
        <v/>
      </c>
      <c r="V74" s="108"/>
      <c r="W74" s="108"/>
      <c r="X74" s="108"/>
      <c r="Y74" s="108"/>
      <c r="Z74" s="108"/>
      <c r="AA74" s="108"/>
      <c r="AB74" s="108"/>
      <c r="AC74" s="108"/>
      <c r="AD74" s="108"/>
      <c r="AE74" s="108"/>
      <c r="AF74" s="108"/>
      <c r="AG74" s="108"/>
      <c r="AH74" s="108"/>
      <c r="AI74" s="108"/>
      <c r="AJ74" s="109"/>
      <c r="AK74" s="55"/>
      <c r="AL74" s="55"/>
      <c r="AM74" s="107" t="str">
        <f>IF([11]回答表!AD44="●",[11]回答表!B146,"")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IF([11]回答表!F17="水道事業",IF([11]回答表!X45="●","●",""),"")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IF([11]回答表!F17="水道事業",IF([11]回答表!X45="●",[11]回答表!B158,IF([11]回答表!AA45="●",[11]回答表!B223,"")),"")</f>
        <v/>
      </c>
      <c r="AN86" s="212"/>
      <c r="AO86" s="212"/>
      <c r="AP86" s="212"/>
      <c r="AQ86" s="212"/>
      <c r="AR86" s="212"/>
      <c r="AS86" s="212"/>
      <c r="AT86" s="212"/>
      <c r="AU86" s="212"/>
      <c r="AV86" s="212"/>
      <c r="AW86" s="212"/>
      <c r="AX86" s="212"/>
      <c r="AY86" s="212"/>
      <c r="AZ86" s="212"/>
      <c r="BA86" s="212"/>
      <c r="BB86" s="212"/>
      <c r="BC86" s="213"/>
      <c r="BD86" s="34"/>
      <c r="BE86" s="34"/>
      <c r="BF86" s="116" t="str">
        <f>IF([11]回答表!F17="水道事業",IF([11]回答表!X45="●",[11]回答表!B212,IF([11]回答表!AA45="●",[11]回答表!B278,"")),"")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IF([11]回答表!F17="水道事業",IF([11]回答表!X45="●",[11]回答表!J166,IF([11]回答表!AA45="●",[11]回答表!J231,"")),"")</f>
        <v/>
      </c>
      <c r="V88" s="120"/>
      <c r="W88" s="120"/>
      <c r="X88" s="120"/>
      <c r="Y88" s="120"/>
      <c r="Z88" s="120"/>
      <c r="AA88" s="120"/>
      <c r="AB88" s="121"/>
      <c r="AC88" s="119" t="str">
        <f>IF([11]回答表!F17="水道事業",IF([11]回答表!X45="●",[11]回答表!J173,IF([11]回答表!AA45="●",[11]回答表!J238,"")),"")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IF([11]回答表!F17="水道事業",IF([11]回答表!X45="●",[11]回答表!E212,IF([11]回答表!AA45="●",[11]回答表!E278,"")),"")</f>
        <v/>
      </c>
      <c r="BG89" s="84"/>
      <c r="BH89" s="84"/>
      <c r="BI89" s="84"/>
      <c r="BJ89" s="83" t="str">
        <f>IF([11]回答表!F17="水道事業",IF([11]回答表!X45="●",[11]回答表!E213,IF([11]回答表!AA45="●",[11]回答表!E279,"")),"")</f>
        <v/>
      </c>
      <c r="BK89" s="84"/>
      <c r="BL89" s="84"/>
      <c r="BM89" s="84"/>
      <c r="BN89" s="83" t="str">
        <f>IF([11]回答表!F17="水道事業",IF([11]回答表!X45="●",[11]回答表!E214,IF([11]回答表!AA45="●",[11]回答表!E280,"")),"")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IF([11]回答表!F17="水道事業",IF([11]回答表!AA45="●","●",""),"")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IF([11]回答表!F17="水道事業",IF([11]回答表!X45="●",[11]回答表!J176,IF([11]回答表!AA45="●",[11]回答表!J241,"")),"")</f>
        <v/>
      </c>
      <c r="V93" s="120"/>
      <c r="W93" s="120"/>
      <c r="X93" s="120"/>
      <c r="Y93" s="120"/>
      <c r="Z93" s="120"/>
      <c r="AA93" s="120"/>
      <c r="AB93" s="121"/>
      <c r="AC93" s="119" t="str">
        <f>IF([11]回答表!F17="水道事業",IF([11]回答表!X45="●",[11]回答表!J180,IF([11]回答表!AA45="●",[11]回答表!J245,"")),"")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IF([11]回答表!F17="水道事業",IF([11]回答表!AD45="●","●",""),"")</f>
        <v/>
      </c>
      <c r="O98" s="99"/>
      <c r="P98" s="99"/>
      <c r="Q98" s="100"/>
      <c r="R98" s="38"/>
      <c r="S98" s="38"/>
      <c r="T98" s="38"/>
      <c r="U98" s="107" t="str">
        <f>IF([11]回答表!F17="水道事業",IF([11]回答表!AD45="●",[11]回答表!B289,""),"")</f>
        <v/>
      </c>
      <c r="V98" s="108"/>
      <c r="W98" s="108"/>
      <c r="X98" s="108"/>
      <c r="Y98" s="108"/>
      <c r="Z98" s="108"/>
      <c r="AA98" s="108"/>
      <c r="AB98" s="108"/>
      <c r="AC98" s="108"/>
      <c r="AD98" s="108"/>
      <c r="AE98" s="108"/>
      <c r="AF98" s="108"/>
      <c r="AG98" s="108"/>
      <c r="AH98" s="108"/>
      <c r="AI98" s="108"/>
      <c r="AJ98" s="109"/>
      <c r="AK98" s="55"/>
      <c r="AL98" s="55"/>
      <c r="AM98" s="107" t="str">
        <f>IF([11]回答表!F17="水道事業",IF([11]回答表!AD45="●",[11]回答表!B295,""),"")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IF([11]回答表!F17="簡易水道事業",IF([11]回答表!X45="●",[11]回答表!B158,IF([11]回答表!AA45="●",[11]回答表!B223,"")),"")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IF([11]回答表!F17="簡易水道事業",IF([11]回答表!X45="●",[11]回答表!B212,IF([11]回答表!AA45="●",[11]回答表!B278,"")),"")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IF([11]回答表!F17="簡易水道事業",IF([11]回答表!X45="●","●",""),"")</f>
        <v/>
      </c>
      <c r="O112" s="99"/>
      <c r="P112" s="99"/>
      <c r="Q112" s="100"/>
      <c r="R112" s="38"/>
      <c r="S112" s="38"/>
      <c r="T112" s="38"/>
      <c r="U112" s="119" t="str">
        <f>IF([11]回答表!F17="簡易水道事業",IF([11]回答表!X45="●",[11]回答表!Y185,IF([11]回答表!AA45="●",[11]回答表!Y251,"")),"")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IF([11]回答表!F17="簡易水道事業",IF([11]回答表!X45="●",[11]回答表!E212,IF([11]回答表!AA45="●",[11]回答表!E278,"")),"")</f>
        <v/>
      </c>
      <c r="BG113" s="84"/>
      <c r="BH113" s="84"/>
      <c r="BI113" s="84"/>
      <c r="BJ113" s="83" t="str">
        <f>IF([11]回答表!F17="簡易水道事業",IF([11]回答表!X45="●",[11]回答表!E213,IF([11]回答表!AA45="●",[11]回答表!E279,"")),"")</f>
        <v/>
      </c>
      <c r="BK113" s="84"/>
      <c r="BL113" s="84"/>
      <c r="BM113" s="84"/>
      <c r="BN113" s="83" t="str">
        <f>IF([11]回答表!F17="簡易水道事業",IF([11]回答表!X45="●",[11]回答表!E214,IF([11]回答表!AA45="●",[11]回答表!E280,"")),"")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IF([11]回答表!F17="簡易水道事業",IF([11]回答表!X45="●",[11]回答表!Y186,IF([11]回答表!AA45="●",[11]回答表!Y252,"")),"")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IF([11]回答表!F17="簡易水道事業",IF([11]回答表!AA45="●","●",""),"")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IF([11]回答表!F17="簡易水道事業",IF([11]回答表!X45="●",[11]回答表!Y187,IF([11]回答表!AA45="●",[11]回答表!Y253,"")),"")</f>
        <v/>
      </c>
      <c r="V122" s="120"/>
      <c r="W122" s="120"/>
      <c r="X122" s="120"/>
      <c r="Y122" s="120"/>
      <c r="Z122" s="120"/>
      <c r="AA122" s="120"/>
      <c r="AB122" s="120"/>
      <c r="AC122" s="120"/>
      <c r="AD122" s="120"/>
      <c r="AE122" s="120"/>
      <c r="AF122" s="120"/>
      <c r="AG122" s="120"/>
      <c r="AH122" s="120"/>
      <c r="AI122" s="120"/>
      <c r="AJ122" s="121"/>
      <c r="AK122" s="18"/>
      <c r="AL122" s="18"/>
      <c r="AM122" s="228" t="str">
        <f>IF([11]回答表!F17="簡易水道事業",IF([11]回答表!X45="●",[11]回答表!Y189,IF([11]回答表!AA45="●",[11]回答表!Y255,"")),"")</f>
        <v/>
      </c>
      <c r="AN122" s="228"/>
      <c r="AO122" s="228"/>
      <c r="AP122" s="228"/>
      <c r="AQ122" s="228"/>
      <c r="AR122" s="228"/>
      <c r="AS122" s="228" t="str">
        <f>IF([11]回答表!F17="簡易水道事業",IF([11]回答表!X45="●",[11]回答表!Y190,IF([11]回答表!AA45="●",[11]回答表!Y256,"")),"")</f>
        <v/>
      </c>
      <c r="AT122" s="228"/>
      <c r="AU122" s="228"/>
      <c r="AV122" s="228"/>
      <c r="AW122" s="228"/>
      <c r="AX122" s="228"/>
      <c r="AY122" s="228" t="str">
        <f>IF([11]回答表!F17="簡易水道事業",IF([11]回答表!X45="●",[11]回答表!Y191,IF([11]回答表!AA45="●",[11]回答表!Y257,"")),"")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IF([11]回答表!F17="簡易水道事業",IF([11]回答表!AD45="●","●",""),"")</f>
        <v/>
      </c>
      <c r="O127" s="99"/>
      <c r="P127" s="99"/>
      <c r="Q127" s="100"/>
      <c r="R127" s="38"/>
      <c r="S127" s="38"/>
      <c r="T127" s="38"/>
      <c r="U127" s="107" t="str">
        <f>IF([11]回答表!F17="簡易水道事業",IF([11]回答表!AD45="●",[11]回答表!B289,""),"")</f>
        <v/>
      </c>
      <c r="V127" s="108"/>
      <c r="W127" s="108"/>
      <c r="X127" s="108"/>
      <c r="Y127" s="108"/>
      <c r="Z127" s="108"/>
      <c r="AA127" s="108"/>
      <c r="AB127" s="108"/>
      <c r="AC127" s="108"/>
      <c r="AD127" s="108"/>
      <c r="AE127" s="108"/>
      <c r="AF127" s="108"/>
      <c r="AG127" s="108"/>
      <c r="AH127" s="108"/>
      <c r="AI127" s="108"/>
      <c r="AJ127" s="109"/>
      <c r="AK127" s="55"/>
      <c r="AL127" s="55"/>
      <c r="AM127" s="107" t="str">
        <f>IF([11]回答表!F17="簡易水道事業",IF([11]回答表!AD45="●",[11]回答表!B295,""),"")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IF([11]回答表!F17="下水道事業",IF([11]回答表!X45="●","●",""),"")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IF([11]回答表!F17="下水道事業",IF([11]回答表!X45="●",[11]回答表!B158,IF([11]回答表!AA45="●",[11]回答表!B223,"")),"")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IF([11]回答表!F17="下水道事業",IF([11]回答表!X45="●",[11]回答表!B212,IF([11]回答表!AA45="●",[11]回答表!B278,"")),"")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IF([11]回答表!F17="下水道事業",IF([11]回答表!X45="●",[11]回答表!Y193,IF([11]回答表!AA45="●",[11]回答表!Y259,"")),"")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IF([11]回答表!F17="下水道事業",IF([11]回答表!X45="●",[11]回答表!E212,IF([11]回答表!AA45="●",[11]回答表!E278,"")),"")</f>
        <v/>
      </c>
      <c r="BG142" s="84"/>
      <c r="BH142" s="84"/>
      <c r="BI142" s="84"/>
      <c r="BJ142" s="83" t="str">
        <f>IF([11]回答表!F17="下水道事業",IF([11]回答表!X45="●",[11]回答表!E213,IF([11]回答表!AA45="●",[11]回答表!E279,"")),"")</f>
        <v/>
      </c>
      <c r="BK142" s="84"/>
      <c r="BL142" s="84"/>
      <c r="BM142" s="84"/>
      <c r="BN142" s="83" t="str">
        <f>IF([11]回答表!F17="下水道事業",IF([11]回答表!X45="●",[11]回答表!E214,IF([11]回答表!AA45="●",[11]回答表!E280,"")),"")</f>
        <v/>
      </c>
      <c r="BO142" s="84"/>
      <c r="BP142" s="84"/>
      <c r="BQ142" s="87"/>
      <c r="BR142" s="37"/>
      <c r="BX142" s="211" t="str">
        <f>IF([11]回答表!AQ20="下水道事業",IF([11]回答表!BI48="○",[11]回答表!AM161,IF([11]回答表!BL48="○",[11]回答表!AM226,"")),"")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IF([11]回答表!F17="下水道事業",IF([11]回答表!X45="●",[11]回答表!Y195,IF([11]回答表!AA45="●",[11]回答表!Y261,"")),"")</f>
        <v/>
      </c>
      <c r="V147" s="120"/>
      <c r="W147" s="120"/>
      <c r="X147" s="120"/>
      <c r="Y147" s="120"/>
      <c r="Z147" s="120"/>
      <c r="AA147" s="120"/>
      <c r="AB147" s="121"/>
      <c r="AC147" s="119" t="str">
        <f>IF([11]回答表!F17="下水道事業",IF([11]回答表!X45="●",[11]回答表!Y196,IF([11]回答表!AA45="●",[11]回答表!Y262,"")),"")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IF([11]回答表!F17="下水道事業",IF([11]回答表!X45="●",[11]回答表!Y198,IF([11]回答表!AA45="●",[11]回答表!Y264,"")),"")</f>
        <v/>
      </c>
      <c r="V153" s="120"/>
      <c r="W153" s="120"/>
      <c r="X153" s="120"/>
      <c r="Y153" s="120"/>
      <c r="Z153" s="120"/>
      <c r="AA153" s="120"/>
      <c r="AB153" s="121"/>
      <c r="AC153" s="119" t="str">
        <f>IF([11]回答表!F17="下水道事業",IF([11]回答表!X45="●",[11]回答表!Y199,IF([11]回答表!AA45="●",[11]回答表!Y265,"")),"")</f>
        <v/>
      </c>
      <c r="AD153" s="120"/>
      <c r="AE153" s="120"/>
      <c r="AF153" s="120"/>
      <c r="AG153" s="120"/>
      <c r="AH153" s="120"/>
      <c r="AI153" s="120"/>
      <c r="AJ153" s="121"/>
      <c r="AK153" s="119" t="str">
        <f>IF([11]回答表!F17="下水道事業",IF([11]回答表!X45="●",[11]回答表!Y200,IF([11]回答表!AA45="●",[11]回答表!Y266,"")),"")</f>
        <v/>
      </c>
      <c r="AL153" s="120"/>
      <c r="AM153" s="120"/>
      <c r="AN153" s="120"/>
      <c r="AO153" s="120"/>
      <c r="AP153" s="120"/>
      <c r="AQ153" s="120"/>
      <c r="AR153" s="121"/>
      <c r="AS153" s="119" t="str">
        <f>IF([11]回答表!F17="下水道事業",IF([11]回答表!X45="●",[11]回答表!Y201,IF([11]回答表!AA45="●",[11]回答表!Y267,"")),"")</f>
        <v/>
      </c>
      <c r="AT153" s="120"/>
      <c r="AU153" s="120"/>
      <c r="AV153" s="120"/>
      <c r="AW153" s="120"/>
      <c r="AX153" s="120"/>
      <c r="AY153" s="120"/>
      <c r="AZ153" s="121"/>
      <c r="BA153" s="119" t="str">
        <f>IF([11]回答表!F17="下水道事業",IF([11]回答表!X45="●",[11]回答表!Y202,IF([11]回答表!AA45="●",[11]回答表!Y268,"")),"")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IF([11]回答表!F17="下水道事業",IF([11]回答表!AA45="●","●",""),"")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IF([11]回答表!F17="下水道事業",IF([11]回答表!X45="●",[11]回答表!Y207,IF([11]回答表!AA45="●",[11]回答表!Y273,"")),"")</f>
        <v/>
      </c>
      <c r="V159" s="120"/>
      <c r="W159" s="120"/>
      <c r="X159" s="120"/>
      <c r="Y159" s="120"/>
      <c r="Z159" s="120"/>
      <c r="AA159" s="120"/>
      <c r="AB159" s="121"/>
      <c r="AC159" s="119" t="str">
        <f>IF([11]回答表!F17="下水道事業",IF([11]回答表!X45="●",[11]回答表!Y208,IF([11]回答表!AA45="●",[11]回答表!Y274,"")),"")</f>
        <v/>
      </c>
      <c r="AD159" s="120"/>
      <c r="AE159" s="120"/>
      <c r="AF159" s="120"/>
      <c r="AG159" s="120"/>
      <c r="AH159" s="120"/>
      <c r="AI159" s="120"/>
      <c r="AJ159" s="121"/>
      <c r="AK159" s="119" t="str">
        <f>IF([11]回答表!F17="下水道事業",IF([11]回答表!X45="●",[11]回答表!Y209,IF([11]回答表!AA45="●",[11]回答表!Y275,"")),"")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IF([11]回答表!F17="下水道事業",IF([11]回答表!AD45="●","●",""),"")</f>
        <v/>
      </c>
      <c r="O164" s="99"/>
      <c r="P164" s="99"/>
      <c r="Q164" s="100"/>
      <c r="R164" s="38"/>
      <c r="S164" s="38"/>
      <c r="T164" s="38"/>
      <c r="U164" s="107" t="str">
        <f>IF([11]回答表!F17="下水道事業",IF([11]回答表!AD45="●",[11]回答表!B289,""),"")</f>
        <v/>
      </c>
      <c r="V164" s="108"/>
      <c r="W164" s="108"/>
      <c r="X164" s="108"/>
      <c r="Y164" s="108"/>
      <c r="Z164" s="108"/>
      <c r="AA164" s="108"/>
      <c r="AB164" s="108"/>
      <c r="AC164" s="108"/>
      <c r="AD164" s="108"/>
      <c r="AE164" s="108"/>
      <c r="AF164" s="108"/>
      <c r="AG164" s="108"/>
      <c r="AH164" s="108"/>
      <c r="AI164" s="108"/>
      <c r="AJ164" s="109"/>
      <c r="AK164" s="55"/>
      <c r="AL164" s="55"/>
      <c r="AM164" s="107" t="str">
        <f>IF([11]回答表!F17="下水道事業",IF([11]回答表!AD45="●",[11]回答表!B295,""),"")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IF([11]回答表!BD17="●",IF([11]回答表!X45="●","●",""),"")</f>
        <v/>
      </c>
      <c r="O176" s="99"/>
      <c r="P176" s="99"/>
      <c r="Q176" s="100"/>
      <c r="R176" s="38"/>
      <c r="S176" s="38"/>
      <c r="T176" s="38"/>
      <c r="U176" s="107" t="str">
        <f>IF([11]回答表!BD17="●",IF([11]回答表!X45="●",[11]回答表!B158,IF([11]回答表!AA45="●",[11]回答表!B223,"")),"")</f>
        <v/>
      </c>
      <c r="V176" s="108"/>
      <c r="W176" s="108"/>
      <c r="X176" s="108"/>
      <c r="Y176" s="108"/>
      <c r="Z176" s="108"/>
      <c r="AA176" s="108"/>
      <c r="AB176" s="108"/>
      <c r="AC176" s="108"/>
      <c r="AD176" s="108"/>
      <c r="AE176" s="108"/>
      <c r="AF176" s="108"/>
      <c r="AG176" s="108"/>
      <c r="AH176" s="108"/>
      <c r="AI176" s="108"/>
      <c r="AJ176" s="109"/>
      <c r="AK176" s="49"/>
      <c r="AL176" s="49"/>
      <c r="AM176" s="116" t="str">
        <f>IF([11]回答表!BD17="●",IF([11]回答表!X45="●",[11]回答表!B212,IF([11]回答表!AA45="●",[11]回答表!B278,"")),"")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IF([11]回答表!BD17="●",IF([11]回答表!X45="●",[11]回答表!E212,IF([11]回答表!AA45="●",[11]回答表!E278,"")),"")</f>
        <v/>
      </c>
      <c r="AN179" s="84"/>
      <c r="AO179" s="84"/>
      <c r="AP179" s="84"/>
      <c r="AQ179" s="83" t="str">
        <f>IF([11]回答表!BD17="●",IF([11]回答表!X45="●",[11]回答表!E213,IF([11]回答表!AA45="●",[11]回答表!E279,"")),"")</f>
        <v/>
      </c>
      <c r="AR179" s="84"/>
      <c r="AS179" s="84"/>
      <c r="AT179" s="84"/>
      <c r="AU179" s="83" t="str">
        <f>IF([11]回答表!BD17="●",IF([11]回答表!X45="●",[11]回答表!E214,IF([11]回答表!AA45="●",[11]回答表!E280,"")),"")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IF([11]回答表!BD17="●",IF([11]回答表!AA45="●","●",""),"")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IF([11]回答表!BD17="●",IF([11]回答表!AD45="●","●",""),"")</f>
        <v/>
      </c>
      <c r="O188" s="99"/>
      <c r="P188" s="99"/>
      <c r="Q188" s="100"/>
      <c r="R188" s="38"/>
      <c r="S188" s="38"/>
      <c r="T188" s="38"/>
      <c r="U188" s="107" t="str">
        <f>IF([11]回答表!BD17="●",IF([11]回答表!AD45="●",[11]回答表!B289,""),"")</f>
        <v/>
      </c>
      <c r="V188" s="108"/>
      <c r="W188" s="108"/>
      <c r="X188" s="108"/>
      <c r="Y188" s="108"/>
      <c r="Z188" s="108"/>
      <c r="AA188" s="108"/>
      <c r="AB188" s="108"/>
      <c r="AC188" s="108"/>
      <c r="AD188" s="108"/>
      <c r="AE188" s="108"/>
      <c r="AF188" s="108"/>
      <c r="AG188" s="108"/>
      <c r="AH188" s="108"/>
      <c r="AI188" s="108"/>
      <c r="AJ188" s="109"/>
      <c r="AK188" s="55"/>
      <c r="AL188" s="55"/>
      <c r="AM188" s="107" t="str">
        <f>IF([11]回答表!BD17="●",IF([11]回答表!AD45="●",[11]回答表!B295,""),"")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IF([11]回答表!X46="●","●","")</f>
        <v/>
      </c>
      <c r="O200" s="99"/>
      <c r="P200" s="99"/>
      <c r="Q200" s="100"/>
      <c r="R200" s="38"/>
      <c r="S200" s="38"/>
      <c r="T200" s="38"/>
      <c r="U200" s="107" t="str">
        <f>IF([11]回答表!X46="●",[11]回答表!B307,IF([11]回答表!AA46="●",[11]回答表!B324,""))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IF([11]回答表!X46="●",[11]回答表!U313,IF([11]回答表!AA46="●",[11]回答表!U330,""))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IF([11]回答表!X46="●",[11]回答表!G313,IF([11]回答表!AA46="●",[11]回答表!G330,""))</f>
        <v/>
      </c>
      <c r="AN203" s="120"/>
      <c r="AO203" s="120"/>
      <c r="AP203" s="120"/>
      <c r="AQ203" s="120"/>
      <c r="AR203" s="120"/>
      <c r="AS203" s="120"/>
      <c r="AT203" s="121"/>
      <c r="AU203" s="119" t="str">
        <f>IF([11]回答表!X46="●",[11]回答表!G314,IF([11]回答表!AA46="●",[11]回答表!G331,""))</f>
        <v/>
      </c>
      <c r="AV203" s="120"/>
      <c r="AW203" s="120"/>
      <c r="AX203" s="120"/>
      <c r="AY203" s="120"/>
      <c r="AZ203" s="120"/>
      <c r="BA203" s="120"/>
      <c r="BB203" s="121"/>
      <c r="BC203" s="39"/>
      <c r="BD203" s="34"/>
      <c r="BE203" s="34"/>
      <c r="BF203" s="83" t="str">
        <f>IF([11]回答表!X46="●",[11]回答表!X313,IF([11]回答表!AA46="●",[11]回答表!X330,""))</f>
        <v/>
      </c>
      <c r="BG203" s="84"/>
      <c r="BH203" s="84"/>
      <c r="BI203" s="84"/>
      <c r="BJ203" s="83" t="str">
        <f>IF([11]回答表!X46="●",[11]回答表!X314,IF([11]回答表!AA46="●",[11]回答表!X331,""))</f>
        <v/>
      </c>
      <c r="BK203" s="84"/>
      <c r="BL203" s="84"/>
      <c r="BM203" s="87"/>
      <c r="BN203" s="83" t="str">
        <f>IF([11]回答表!X46="●",[11]回答表!X315,IF([11]回答表!AA46="●",[11]回答表!X332,""))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IF([11]回答表!AA46="●","●","")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IF([11]回答表!AD46="●","●","")</f>
        <v/>
      </c>
      <c r="O212" s="99"/>
      <c r="P212" s="99"/>
      <c r="Q212" s="100"/>
      <c r="R212" s="38"/>
      <c r="S212" s="38"/>
      <c r="T212" s="38"/>
      <c r="U212" s="107" t="str">
        <f>IF([11]回答表!AD46="●",[11]回答表!B337,"")</f>
        <v/>
      </c>
      <c r="V212" s="108"/>
      <c r="W212" s="108"/>
      <c r="X212" s="108"/>
      <c r="Y212" s="108"/>
      <c r="Z212" s="108"/>
      <c r="AA212" s="108"/>
      <c r="AB212" s="108"/>
      <c r="AC212" s="108"/>
      <c r="AD212" s="108"/>
      <c r="AE212" s="108"/>
      <c r="AF212" s="108"/>
      <c r="AG212" s="108"/>
      <c r="AH212" s="108"/>
      <c r="AI212" s="108"/>
      <c r="AJ212" s="109"/>
      <c r="AK212" s="62"/>
      <c r="AL212" s="62"/>
      <c r="AM212" s="107" t="str">
        <f>IF([11]回答表!AD46="●",[11]回答表!B343,"")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IF([11]回答表!X47="●","●","")</f>
        <v/>
      </c>
      <c r="O224" s="99"/>
      <c r="P224" s="99"/>
      <c r="Q224" s="100"/>
      <c r="R224" s="38"/>
      <c r="S224" s="38"/>
      <c r="T224" s="38"/>
      <c r="U224" s="107" t="str">
        <f>IF([11]回答表!X47="●",[11]回答表!B356,IF([11]回答表!AA47="●",[11]回答表!B379,""))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IF([11]回答表!X47="●",[11]回答表!B362,"")</f>
        <v/>
      </c>
      <c r="AO224" s="182"/>
      <c r="AP224" s="182"/>
      <c r="AQ224" s="182"/>
      <c r="AR224" s="182"/>
      <c r="AS224" s="182"/>
      <c r="AT224" s="182"/>
      <c r="AU224" s="182"/>
      <c r="AV224" s="182"/>
      <c r="AW224" s="182"/>
      <c r="AX224" s="182"/>
      <c r="AY224" s="182"/>
      <c r="AZ224" s="182"/>
      <c r="BA224" s="182"/>
      <c r="BB224" s="183"/>
      <c r="BC224" s="39"/>
      <c r="BD224" s="34"/>
      <c r="BE224" s="34"/>
      <c r="BF224" s="116" t="str">
        <f>IF([11]回答表!X47="●",[11]回答表!B368,IF([11]回答表!AA47="●",[11]回答表!B385,""))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IF([11]回答表!X47="●",[11]回答表!E368,IF([11]回答表!AA47="●",[11]回答表!E385,""))</f>
        <v/>
      </c>
      <c r="BG227" s="84"/>
      <c r="BH227" s="84"/>
      <c r="BI227" s="84"/>
      <c r="BJ227" s="83" t="str">
        <f>IF([11]回答表!X47="●",[11]回答表!E369,IF([11]回答表!AA47="●",[11]回答表!E386,""))</f>
        <v/>
      </c>
      <c r="BK227" s="84"/>
      <c r="BL227" s="84"/>
      <c r="BM227" s="87"/>
      <c r="BN227" s="83" t="str">
        <f>IF([11]回答表!X47="●",[11]回答表!E370,IF([11]回答表!AA47="●",[11]回答表!E387,""))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IF([11]回答表!AA47="●","●","")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IF([11]回答表!AD47="●","●","")</f>
        <v/>
      </c>
      <c r="O236" s="99"/>
      <c r="P236" s="99"/>
      <c r="Q236" s="100"/>
      <c r="R236" s="38"/>
      <c r="S236" s="38"/>
      <c r="T236" s="38"/>
      <c r="U236" s="107" t="str">
        <f>IF([11]回答表!AD47="●",[11]回答表!B392,"")</f>
        <v/>
      </c>
      <c r="V236" s="108"/>
      <c r="W236" s="108"/>
      <c r="X236" s="108"/>
      <c r="Y236" s="108"/>
      <c r="Z236" s="108"/>
      <c r="AA236" s="108"/>
      <c r="AB236" s="108"/>
      <c r="AC236" s="108"/>
      <c r="AD236" s="108"/>
      <c r="AE236" s="108"/>
      <c r="AF236" s="108"/>
      <c r="AG236" s="108"/>
      <c r="AH236" s="108"/>
      <c r="AI236" s="108"/>
      <c r="AJ236" s="109"/>
      <c r="AK236" s="62"/>
      <c r="AL236" s="62"/>
      <c r="AM236" s="107" t="str">
        <f>IF([11]回答表!AD47="●",[11]回答表!B398,"")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IF([11]回答表!X48="●","●","")</f>
        <v/>
      </c>
      <c r="O248" s="99"/>
      <c r="P248" s="99"/>
      <c r="Q248" s="100"/>
      <c r="R248" s="38"/>
      <c r="S248" s="38"/>
      <c r="T248" s="38"/>
      <c r="U248" s="107" t="str">
        <f>IF([11]回答表!X48="●",[11]回答表!B411,IF([11]回答表!AA48="●",[11]回答表!B425,""))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IF([11]回答表!X48="●",[11]回答表!BC418,IF([11]回答表!AA48="●",[11]回答表!BC432,""))</f>
        <v/>
      </c>
      <c r="AR248" s="151"/>
      <c r="AS248" s="151"/>
      <c r="AT248" s="151"/>
      <c r="AU248" s="173" t="s">
        <v>73</v>
      </c>
      <c r="AV248" s="174"/>
      <c r="AW248" s="174"/>
      <c r="AX248" s="175"/>
      <c r="AY248" s="151" t="str">
        <f>IF([11]回答表!X48="●",[11]回答表!BC423,IF([11]回答表!AA48="●",[11]回答表!BC437,""))</f>
        <v/>
      </c>
      <c r="AZ248" s="151"/>
      <c r="BA248" s="151"/>
      <c r="BB248" s="151"/>
      <c r="BC248" s="39"/>
      <c r="BD248" s="34"/>
      <c r="BE248" s="34"/>
      <c r="BF248" s="116" t="str">
        <f>IF([11]回答表!X48="●",[11]回答表!S417,IF([11]回答表!AA48="●",[11]回答表!S431,""))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IF([11]回答表!X48="●",[11]回答表!BC419,IF([11]回答表!AA48="●",[11]回答表!BC433,""))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IF([11]回答表!X48="●",[11]回答表!V417,IF([11]回答表!AA48="●",[11]回答表!V431,""))</f>
        <v/>
      </c>
      <c r="BG251" s="84"/>
      <c r="BH251" s="84"/>
      <c r="BI251" s="84"/>
      <c r="BJ251" s="83" t="str">
        <f>IF([11]回答表!X48="●",[11]回答表!V418,IF([11]回答表!AA48="●",[11]回答表!V432,""))</f>
        <v/>
      </c>
      <c r="BK251" s="84"/>
      <c r="BL251" s="84"/>
      <c r="BM251" s="87"/>
      <c r="BN251" s="83" t="str">
        <f>IF([11]回答表!X48="●",[11]回答表!V419,IF([11]回答表!AA48="●",[11]回答表!V433,""))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IF([11]回答表!X48="●",[11]回答表!BC420,IF([11]回答表!AA48="●",[11]回答表!BC434,""))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IF([11]回答表!X48="●",[11]回答表!BC424,IF([11]回答表!AA48="●",[11]回答表!BC438,""))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IF([11]回答表!AA48="●","●","")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IF([11]回答表!X48="●",[11]回答表!BC421,IF([11]回答表!AA48="●",[11]回答表!BC435,""))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IF([11]回答表!X48="●",[11]回答表!BC422,IF([11]回答表!AA48="●",[11]回答表!BC436,""))</f>
        <v/>
      </c>
      <c r="AR256" s="151"/>
      <c r="AS256" s="151"/>
      <c r="AT256" s="151"/>
      <c r="AU256" s="152" t="s">
        <v>79</v>
      </c>
      <c r="AV256" s="153"/>
      <c r="AW256" s="153"/>
      <c r="AX256" s="154"/>
      <c r="AY256" s="158" t="str">
        <f>IF([11]回答表!X48="●",[11]回答表!BC425,IF([11]回答表!AA48="●",[11]回答表!BC439,""))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IF([11]回答表!AD48="●","●","")</f>
        <v/>
      </c>
      <c r="O260" s="99"/>
      <c r="P260" s="99"/>
      <c r="Q260" s="100"/>
      <c r="R260" s="38"/>
      <c r="S260" s="38"/>
      <c r="T260" s="38"/>
      <c r="U260" s="107" t="str">
        <f>IF([11]回答表!AD48="●",[11]回答表!B439,"")</f>
        <v/>
      </c>
      <c r="V260" s="108"/>
      <c r="W260" s="108"/>
      <c r="X260" s="108"/>
      <c r="Y260" s="108"/>
      <c r="Z260" s="108"/>
      <c r="AA260" s="108"/>
      <c r="AB260" s="108"/>
      <c r="AC260" s="108"/>
      <c r="AD260" s="108"/>
      <c r="AE260" s="108"/>
      <c r="AF260" s="108"/>
      <c r="AG260" s="108"/>
      <c r="AH260" s="108"/>
      <c r="AI260" s="108"/>
      <c r="AJ260" s="109"/>
      <c r="AK260" s="55"/>
      <c r="AL260" s="55"/>
      <c r="AM260" s="107" t="str">
        <f>IF([11]回答表!AD48="●",[11]回答表!B445,"")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IF([11]回答表!X49="●","●","")</f>
        <v/>
      </c>
      <c r="O271" s="99"/>
      <c r="P271" s="99"/>
      <c r="Q271" s="100"/>
      <c r="R271" s="38"/>
      <c r="S271" s="38"/>
      <c r="T271" s="38"/>
      <c r="U271" s="107" t="str">
        <f>IF([11]回答表!X49="●",[11]回答表!B458,IF([11]回答表!AA49="●",[11]回答表!B475,""))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IF([11]回答表!X49="●",[11]回答表!B468,IF([11]回答表!AA49="●",[11]回答表!B485,""))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IF([11]回答表!X49="●",[11]回答表!G464,IF([11]回答表!AA49="●",[11]回答表!G481,""))</f>
        <v/>
      </c>
      <c r="AN273" s="120"/>
      <c r="AO273" s="120"/>
      <c r="AP273" s="120"/>
      <c r="AQ273" s="120"/>
      <c r="AR273" s="120"/>
      <c r="AS273" s="120"/>
      <c r="AT273" s="121"/>
      <c r="AU273" s="119" t="str">
        <f>IF([11]回答表!X49="●",[11]回答表!G465,IF([11]回答表!AA49="●",[11]回答表!G482,""))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IF([11]回答表!X49="●",[11]回答表!E468,IF([11]回答表!AA49="●",[11]回答表!E485,""))</f>
        <v/>
      </c>
      <c r="BG274" s="84"/>
      <c r="BH274" s="84"/>
      <c r="BI274" s="84"/>
      <c r="BJ274" s="83" t="str">
        <f>IF([11]回答表!X49="●",[11]回答表!E469,IF([11]回答表!AA49="●",[11]回答表!E486,""))</f>
        <v/>
      </c>
      <c r="BK274" s="84"/>
      <c r="BL274" s="84"/>
      <c r="BM274" s="87"/>
      <c r="BN274" s="83" t="str">
        <f>IF([11]回答表!X49="●",[11]回答表!E470,IF([11]回答表!AA49="●",[11]回答表!E487,""))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IF([11]回答表!AA49="●","●","")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IF([11]回答表!AD49="●","●","")</f>
        <v/>
      </c>
      <c r="O283" s="99"/>
      <c r="P283" s="99"/>
      <c r="Q283" s="100"/>
      <c r="R283" s="38"/>
      <c r="S283" s="38"/>
      <c r="T283" s="38"/>
      <c r="U283" s="107" t="str">
        <f>IF([11]回答表!AD49="●",[11]回答表!B492,"")</f>
        <v/>
      </c>
      <c r="V283" s="108"/>
      <c r="W283" s="108"/>
      <c r="X283" s="108"/>
      <c r="Y283" s="108"/>
      <c r="Z283" s="108"/>
      <c r="AA283" s="108"/>
      <c r="AB283" s="108"/>
      <c r="AC283" s="108"/>
      <c r="AD283" s="108"/>
      <c r="AE283" s="108"/>
      <c r="AF283" s="108"/>
      <c r="AG283" s="108"/>
      <c r="AH283" s="108"/>
      <c r="AI283" s="108"/>
      <c r="AJ283" s="109"/>
      <c r="AK283" s="49"/>
      <c r="AL283" s="49"/>
      <c r="AM283" s="107" t="str">
        <f>IF([11]回答表!AD49="●",[11]回答表!B498,"")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IF([11]回答表!R50="●",[11]回答表!B511,"")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70849-0A7A-4283-8824-FC6D28A7EFE1}">
  <sheetPr>
    <pageSetUpPr fitToPage="1"/>
  </sheetPr>
  <dimension ref="A1:CN315"/>
  <sheetViews>
    <sheetView showZeros="0" view="pageBreakPreview" topLeftCell="A4" zoomScale="60" zoomScaleNormal="55" workbookViewId="0">
      <selection activeCell="BN142" sqref="BN142:BQ14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IF(COUNTIF([9]回答表!K15,"*")&gt;0,[9]回答表!K15,"")</f>
        <v>大館市</v>
      </c>
      <c r="D11" s="299"/>
      <c r="E11" s="299"/>
      <c r="F11" s="299"/>
      <c r="G11" s="299"/>
      <c r="H11" s="299"/>
      <c r="I11" s="299"/>
      <c r="J11" s="299"/>
      <c r="K11" s="299"/>
      <c r="L11" s="299"/>
      <c r="M11" s="299"/>
      <c r="N11" s="299"/>
      <c r="O11" s="299"/>
      <c r="P11" s="299"/>
      <c r="Q11" s="299"/>
      <c r="R11" s="299"/>
      <c r="S11" s="299"/>
      <c r="T11" s="299"/>
      <c r="U11" s="306" t="str">
        <f>IF(COUNTIF([9]回答表!F17,"*")&gt;0,[9]回答表!F17,"")</f>
        <v>工業用水道事業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IF(COUNTIF([9]回答表!W17,"*")&gt;0,[9]回答表!W17,"")</f>
        <v>―</v>
      </c>
      <c r="AP11" s="301"/>
      <c r="AQ11" s="301"/>
      <c r="AR11" s="301"/>
      <c r="AS11" s="301"/>
      <c r="AT11" s="301"/>
      <c r="AU11" s="301"/>
      <c r="AV11" s="301"/>
      <c r="AW11" s="301"/>
      <c r="AX11" s="301"/>
      <c r="AY11" s="301"/>
      <c r="AZ11" s="301"/>
      <c r="BA11" s="301"/>
      <c r="BB11" s="301"/>
      <c r="BC11" s="301"/>
      <c r="BD11" s="301"/>
      <c r="BE11" s="301"/>
      <c r="BF11" s="302"/>
      <c r="BG11" s="305" t="str">
        <f>IF(COUNTIF([9]回答表!F19,"*")&gt;0,[9]回答表!F19,"")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IF([9]回答表!R43="●","●","")</f>
        <v/>
      </c>
      <c r="E24" s="123"/>
      <c r="F24" s="123"/>
      <c r="G24" s="123"/>
      <c r="H24" s="123"/>
      <c r="I24" s="123"/>
      <c r="J24" s="124"/>
      <c r="K24" s="122" t="str">
        <f>IF([9]回答表!R44="●","●","")</f>
        <v/>
      </c>
      <c r="L24" s="123"/>
      <c r="M24" s="123"/>
      <c r="N24" s="123"/>
      <c r="O24" s="123"/>
      <c r="P24" s="123"/>
      <c r="Q24" s="124"/>
      <c r="R24" s="122" t="str">
        <f>IF([9]回答表!R45="●","●","")</f>
        <v/>
      </c>
      <c r="S24" s="123"/>
      <c r="T24" s="123"/>
      <c r="U24" s="123"/>
      <c r="V24" s="123"/>
      <c r="W24" s="123"/>
      <c r="X24" s="124"/>
      <c r="Y24" s="122" t="str">
        <f>IF([9]回答表!R46="●","●","")</f>
        <v/>
      </c>
      <c r="Z24" s="123"/>
      <c r="AA24" s="123"/>
      <c r="AB24" s="123"/>
      <c r="AC24" s="123"/>
      <c r="AD24" s="123"/>
      <c r="AE24" s="124"/>
      <c r="AF24" s="122" t="str">
        <f>IF([9]回答表!R47="●","●","")</f>
        <v/>
      </c>
      <c r="AG24" s="123"/>
      <c r="AH24" s="123"/>
      <c r="AI24" s="123"/>
      <c r="AJ24" s="123"/>
      <c r="AK24" s="123"/>
      <c r="AL24" s="124"/>
      <c r="AM24" s="122" t="str">
        <f>IF([9]回答表!R48="●","●","")</f>
        <v/>
      </c>
      <c r="AN24" s="123"/>
      <c r="AO24" s="123"/>
      <c r="AP24" s="123"/>
      <c r="AQ24" s="123"/>
      <c r="AR24" s="123"/>
      <c r="AS24" s="124"/>
      <c r="AT24" s="122" t="str">
        <f>IF([9]回答表!R49="●","●","")</f>
        <v/>
      </c>
      <c r="AU24" s="123"/>
      <c r="AV24" s="123"/>
      <c r="AW24" s="123"/>
      <c r="AX24" s="123"/>
      <c r="AY24" s="123"/>
      <c r="AZ24" s="124"/>
      <c r="BA24" s="18"/>
      <c r="BB24" s="119" t="str">
        <f>IF([9]回答表!R50="●","●","")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IF([9]回答表!X43="●","●","")</f>
        <v/>
      </c>
      <c r="O36" s="99"/>
      <c r="P36" s="99"/>
      <c r="Q36" s="100"/>
      <c r="R36" s="38"/>
      <c r="S36" s="38"/>
      <c r="T36" s="38"/>
      <c r="U36" s="107" t="str">
        <f>IF([9]回答表!X43="●",[9]回答表!B59,IF([9]回答表!AA43="●",[9]回答表!B79,""))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IF([9]回答表!X43="●",[9]回答表!S65,IF([9]回答表!AA43="●",[9]回答表!S85,""))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IF([9]回答表!X43="●",[9]回答表!G65,IF([9]回答表!AA43="●",[9]回答表!G85,""))</f>
        <v/>
      </c>
      <c r="AN38" s="120"/>
      <c r="AO38" s="120"/>
      <c r="AP38" s="120"/>
      <c r="AQ38" s="120"/>
      <c r="AR38" s="120"/>
      <c r="AS38" s="120"/>
      <c r="AT38" s="121"/>
      <c r="AU38" s="119" t="str">
        <f>IF([9]回答表!X43="●",[9]回答表!G66,IF([9]回答表!AA43="●",[9]回答表!G86,""))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IF([9]回答表!X43="●",[9]回答表!V65,IF([9]回答表!AA43="●",[9]回答表!V85,""))</f>
        <v/>
      </c>
      <c r="BG39" s="249"/>
      <c r="BH39" s="249"/>
      <c r="BI39" s="250"/>
      <c r="BJ39" s="83" t="str">
        <f>IF([9]回答表!X43="●",[9]回答表!V66,IF([9]回答表!AA43="●",[9]回答表!V86,""))</f>
        <v/>
      </c>
      <c r="BK39" s="249"/>
      <c r="BL39" s="249"/>
      <c r="BM39" s="250"/>
      <c r="BN39" s="83" t="str">
        <f>IF([9]回答表!X43="●",[9]回答表!V67,IF([9]回答表!AA43="●",[9]回答表!V87,""))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IF([9]回答表!X43="●",[9]回答表!O71,IF([9]回答表!AA43="●",[9]回答表!O91,""))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IF([9]回答表!X43="●",[9]回答表!O72,IF([9]回答表!AA43="●",[9]回答表!O92,""))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IF([9]回答表!AA43="●","●","")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IF([9]回答表!X43="●",[9]回答表!O73,IF([9]回答表!AA43="●",[9]回答表!O93,""))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IF([9]回答表!X43="●",[9]回答表!O74,IF([9]回答表!AA43="●",[9]回答表!O94,""))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IF([9]回答表!X43="●",[9]回答表!AG71,IF([9]回答表!AA43="●",[9]回答表!AG91,""))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IF([9]回答表!X43="●",[9]回答表!AG72,IF([9]回答表!AA43="●",[9]回答表!AG92,""))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IF([9]回答表!AD43="●","●","")</f>
        <v/>
      </c>
      <c r="O51" s="99"/>
      <c r="P51" s="99"/>
      <c r="Q51" s="100"/>
      <c r="R51" s="38"/>
      <c r="S51" s="38"/>
      <c r="T51" s="38"/>
      <c r="U51" s="107" t="str">
        <f>IF([9]回答表!AD43="●",[9]回答表!B99,"")</f>
        <v/>
      </c>
      <c r="V51" s="108"/>
      <c r="W51" s="108"/>
      <c r="X51" s="108"/>
      <c r="Y51" s="108"/>
      <c r="Z51" s="108"/>
      <c r="AA51" s="108"/>
      <c r="AB51" s="108"/>
      <c r="AC51" s="108"/>
      <c r="AD51" s="108"/>
      <c r="AE51" s="108"/>
      <c r="AF51" s="108"/>
      <c r="AG51" s="108"/>
      <c r="AH51" s="108"/>
      <c r="AI51" s="108"/>
      <c r="AJ51" s="109"/>
      <c r="AK51" s="55"/>
      <c r="AL51" s="55"/>
      <c r="AM51" s="107" t="str">
        <f>IF([9]回答表!AD43="●",[9]回答表!B104,"")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IF([9]回答表!X44="●","●","")</f>
        <v/>
      </c>
      <c r="O62" s="99"/>
      <c r="P62" s="99"/>
      <c r="Q62" s="100"/>
      <c r="R62" s="38"/>
      <c r="S62" s="38"/>
      <c r="T62" s="38"/>
      <c r="U62" s="107" t="str">
        <f>IF([9]回答表!X44="●",[9]回答表!B115,IF([9]回答表!AA44="●",[9]回答表!B127,""))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IF([9]回答表!X44="●",[9]回答表!S121,IF([9]回答表!AA44="●",[9]回答表!S133,""))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IF([9]回答表!X44="●",[9]回答表!J121,IF([9]回答表!AA44="●",[9]回答表!J133,""))</f>
        <v/>
      </c>
      <c r="AN65" s="120"/>
      <c r="AO65" s="120"/>
      <c r="AP65" s="120"/>
      <c r="AQ65" s="120"/>
      <c r="AR65" s="120"/>
      <c r="AS65" s="120"/>
      <c r="AT65" s="121"/>
      <c r="AU65" s="119" t="str">
        <f>IF([9]回答表!X44="●",[9]回答表!J122,IF([9]回答表!AA44="●",[9]回答表!J134,""))</f>
        <v/>
      </c>
      <c r="AV65" s="120"/>
      <c r="AW65" s="120"/>
      <c r="AX65" s="120"/>
      <c r="AY65" s="120"/>
      <c r="AZ65" s="120"/>
      <c r="BA65" s="120"/>
      <c r="BB65" s="121"/>
      <c r="BC65" s="39"/>
      <c r="BD65" s="34"/>
      <c r="BE65" s="34"/>
      <c r="BF65" s="83" t="str">
        <f>IF([9]回答表!X44="●",[9]回答表!V121,IF([9]回答表!AA44="●",[9]回答表!V133,""))</f>
        <v/>
      </c>
      <c r="BG65" s="84"/>
      <c r="BH65" s="84"/>
      <c r="BI65" s="84"/>
      <c r="BJ65" s="83" t="str">
        <f>IF([9]回答表!X44="●",[9]回答表!V122,IF([9]回答表!AA44="●",[9]回答表!V134,""))</f>
        <v/>
      </c>
      <c r="BK65" s="84"/>
      <c r="BL65" s="84"/>
      <c r="BM65" s="84"/>
      <c r="BN65" s="83" t="str">
        <f>IF([9]回答表!X44="●",[9]回答表!V123,IF([9]回答表!AA44="●",[9]回答表!V135,""))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IF([9]回答表!AA44="●","●","")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IF([9]回答表!AD44="●","●","")</f>
        <v/>
      </c>
      <c r="O74" s="99"/>
      <c r="P74" s="99"/>
      <c r="Q74" s="100"/>
      <c r="R74" s="38"/>
      <c r="S74" s="38"/>
      <c r="T74" s="38"/>
      <c r="U74" s="107" t="str">
        <f>IF([9]回答表!AD44="●",[9]回答表!B140,"")</f>
        <v/>
      </c>
      <c r="V74" s="108"/>
      <c r="W74" s="108"/>
      <c r="X74" s="108"/>
      <c r="Y74" s="108"/>
      <c r="Z74" s="108"/>
      <c r="AA74" s="108"/>
      <c r="AB74" s="108"/>
      <c r="AC74" s="108"/>
      <c r="AD74" s="108"/>
      <c r="AE74" s="108"/>
      <c r="AF74" s="108"/>
      <c r="AG74" s="108"/>
      <c r="AH74" s="108"/>
      <c r="AI74" s="108"/>
      <c r="AJ74" s="109"/>
      <c r="AK74" s="55"/>
      <c r="AL74" s="55"/>
      <c r="AM74" s="107" t="str">
        <f>IF([9]回答表!AD44="●",[9]回答表!B146,"")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IF([9]回答表!F17="水道事業",IF([9]回答表!X45="●","●",""),"")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IF([9]回答表!F17="水道事業",IF([9]回答表!X45="●",[9]回答表!B158,IF([9]回答表!AA45="●",[9]回答表!B223,"")),"")</f>
        <v/>
      </c>
      <c r="AN86" s="212"/>
      <c r="AO86" s="212"/>
      <c r="AP86" s="212"/>
      <c r="AQ86" s="212"/>
      <c r="AR86" s="212"/>
      <c r="AS86" s="212"/>
      <c r="AT86" s="212"/>
      <c r="AU86" s="212"/>
      <c r="AV86" s="212"/>
      <c r="AW86" s="212"/>
      <c r="AX86" s="212"/>
      <c r="AY86" s="212"/>
      <c r="AZ86" s="212"/>
      <c r="BA86" s="212"/>
      <c r="BB86" s="212"/>
      <c r="BC86" s="213"/>
      <c r="BD86" s="34"/>
      <c r="BE86" s="34"/>
      <c r="BF86" s="116" t="str">
        <f>IF([9]回答表!F17="水道事業",IF([9]回答表!X45="●",[9]回答表!B212,IF([9]回答表!AA45="●",[9]回答表!B278,"")),"")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IF([9]回答表!F17="水道事業",IF([9]回答表!X45="●",[9]回答表!J166,IF([9]回答表!AA45="●",[9]回答表!J231,"")),"")</f>
        <v/>
      </c>
      <c r="V88" s="120"/>
      <c r="W88" s="120"/>
      <c r="X88" s="120"/>
      <c r="Y88" s="120"/>
      <c r="Z88" s="120"/>
      <c r="AA88" s="120"/>
      <c r="AB88" s="121"/>
      <c r="AC88" s="119" t="str">
        <f>IF([9]回答表!F17="水道事業",IF([9]回答表!X45="●",[9]回答表!J173,IF([9]回答表!AA45="●",[9]回答表!J238,"")),"")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IF([9]回答表!F17="水道事業",IF([9]回答表!X45="●",[9]回答表!E212,IF([9]回答表!AA45="●",[9]回答表!E278,"")),"")</f>
        <v/>
      </c>
      <c r="BG89" s="84"/>
      <c r="BH89" s="84"/>
      <c r="BI89" s="84"/>
      <c r="BJ89" s="83" t="str">
        <f>IF([9]回答表!F17="水道事業",IF([9]回答表!X45="●",[9]回答表!E213,IF([9]回答表!AA45="●",[9]回答表!E279,"")),"")</f>
        <v/>
      </c>
      <c r="BK89" s="84"/>
      <c r="BL89" s="84"/>
      <c r="BM89" s="84"/>
      <c r="BN89" s="83" t="str">
        <f>IF([9]回答表!F17="水道事業",IF([9]回答表!X45="●",[9]回答表!E214,IF([9]回答表!AA45="●",[9]回答表!E280,"")),"")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IF([9]回答表!F17="水道事業",IF([9]回答表!AA45="●","●",""),"")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IF([9]回答表!F17="水道事業",IF([9]回答表!X45="●",[9]回答表!J176,IF([9]回答表!AA45="●",[9]回答表!J241,"")),"")</f>
        <v/>
      </c>
      <c r="V93" s="120"/>
      <c r="W93" s="120"/>
      <c r="X93" s="120"/>
      <c r="Y93" s="120"/>
      <c r="Z93" s="120"/>
      <c r="AA93" s="120"/>
      <c r="AB93" s="121"/>
      <c r="AC93" s="119" t="str">
        <f>IF([9]回答表!F17="水道事業",IF([9]回答表!X45="●",[9]回答表!J180,IF([9]回答表!AA45="●",[9]回答表!J245,"")),"")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IF([9]回答表!F17="水道事業",IF([9]回答表!AD45="●","●",""),"")</f>
        <v/>
      </c>
      <c r="O98" s="99"/>
      <c r="P98" s="99"/>
      <c r="Q98" s="100"/>
      <c r="R98" s="38"/>
      <c r="S98" s="38"/>
      <c r="T98" s="38"/>
      <c r="U98" s="107" t="str">
        <f>IF([9]回答表!F17="水道事業",IF([9]回答表!AD45="●",[9]回答表!B289,""),"")</f>
        <v/>
      </c>
      <c r="V98" s="108"/>
      <c r="W98" s="108"/>
      <c r="X98" s="108"/>
      <c r="Y98" s="108"/>
      <c r="Z98" s="108"/>
      <c r="AA98" s="108"/>
      <c r="AB98" s="108"/>
      <c r="AC98" s="108"/>
      <c r="AD98" s="108"/>
      <c r="AE98" s="108"/>
      <c r="AF98" s="108"/>
      <c r="AG98" s="108"/>
      <c r="AH98" s="108"/>
      <c r="AI98" s="108"/>
      <c r="AJ98" s="109"/>
      <c r="AK98" s="55"/>
      <c r="AL98" s="55"/>
      <c r="AM98" s="107" t="str">
        <f>IF([9]回答表!F17="水道事業",IF([9]回答表!AD45="●",[9]回答表!B295,""),"")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IF([9]回答表!F17="簡易水道事業",IF([9]回答表!X45="●",[9]回答表!B158,IF([9]回答表!AA45="●",[9]回答表!B223,"")),"")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IF([9]回答表!F17="簡易水道事業",IF([9]回答表!X45="●",[9]回答表!B212,IF([9]回答表!AA45="●",[9]回答表!B278,"")),"")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IF([9]回答表!F17="簡易水道事業",IF([9]回答表!X45="●","●",""),"")</f>
        <v/>
      </c>
      <c r="O112" s="99"/>
      <c r="P112" s="99"/>
      <c r="Q112" s="100"/>
      <c r="R112" s="38"/>
      <c r="S112" s="38"/>
      <c r="T112" s="38"/>
      <c r="U112" s="119" t="str">
        <f>IF([9]回答表!F17="簡易水道事業",IF([9]回答表!X45="●",[9]回答表!Y185,IF([9]回答表!AA45="●",[9]回答表!Y251,"")),"")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IF([9]回答表!F17="簡易水道事業",IF([9]回答表!X45="●",[9]回答表!E212,IF([9]回答表!AA45="●",[9]回答表!E278,"")),"")</f>
        <v/>
      </c>
      <c r="BG113" s="84"/>
      <c r="BH113" s="84"/>
      <c r="BI113" s="84"/>
      <c r="BJ113" s="83" t="str">
        <f>IF([9]回答表!F17="簡易水道事業",IF([9]回答表!X45="●",[9]回答表!E213,IF([9]回答表!AA45="●",[9]回答表!E279,"")),"")</f>
        <v/>
      </c>
      <c r="BK113" s="84"/>
      <c r="BL113" s="84"/>
      <c r="BM113" s="84"/>
      <c r="BN113" s="83" t="str">
        <f>IF([9]回答表!F17="簡易水道事業",IF([9]回答表!X45="●",[9]回答表!E214,IF([9]回答表!AA45="●",[9]回答表!E280,"")),"")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IF([9]回答表!F17="簡易水道事業",IF([9]回答表!X45="●",[9]回答表!Y186,IF([9]回答表!AA45="●",[9]回答表!Y252,"")),"")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IF([9]回答表!F17="簡易水道事業",IF([9]回答表!AA45="●","●",""),"")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IF([9]回答表!F17="簡易水道事業",IF([9]回答表!X45="●",[9]回答表!Y187,IF([9]回答表!AA45="●",[9]回答表!Y253,"")),"")</f>
        <v/>
      </c>
      <c r="V122" s="120"/>
      <c r="W122" s="120"/>
      <c r="X122" s="120"/>
      <c r="Y122" s="120"/>
      <c r="Z122" s="120"/>
      <c r="AA122" s="120"/>
      <c r="AB122" s="120"/>
      <c r="AC122" s="120"/>
      <c r="AD122" s="120"/>
      <c r="AE122" s="120"/>
      <c r="AF122" s="120"/>
      <c r="AG122" s="120"/>
      <c r="AH122" s="120"/>
      <c r="AI122" s="120"/>
      <c r="AJ122" s="121"/>
      <c r="AK122" s="18"/>
      <c r="AL122" s="18"/>
      <c r="AM122" s="228" t="str">
        <f>IF([9]回答表!F17="簡易水道事業",IF([9]回答表!X45="●",[9]回答表!Y189,IF([9]回答表!AA45="●",[9]回答表!Y255,"")),"")</f>
        <v/>
      </c>
      <c r="AN122" s="228"/>
      <c r="AO122" s="228"/>
      <c r="AP122" s="228"/>
      <c r="AQ122" s="228"/>
      <c r="AR122" s="228"/>
      <c r="AS122" s="228" t="str">
        <f>IF([9]回答表!F17="簡易水道事業",IF([9]回答表!X45="●",[9]回答表!Y190,IF([9]回答表!AA45="●",[9]回答表!Y256,"")),"")</f>
        <v/>
      </c>
      <c r="AT122" s="228"/>
      <c r="AU122" s="228"/>
      <c r="AV122" s="228"/>
      <c r="AW122" s="228"/>
      <c r="AX122" s="228"/>
      <c r="AY122" s="228" t="str">
        <f>IF([9]回答表!F17="簡易水道事業",IF([9]回答表!X45="●",[9]回答表!Y191,IF([9]回答表!AA45="●",[9]回答表!Y257,"")),"")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IF([9]回答表!F17="簡易水道事業",IF([9]回答表!AD45="●","●",""),"")</f>
        <v/>
      </c>
      <c r="O127" s="99"/>
      <c r="P127" s="99"/>
      <c r="Q127" s="100"/>
      <c r="R127" s="38"/>
      <c r="S127" s="38"/>
      <c r="T127" s="38"/>
      <c r="U127" s="107" t="str">
        <f>IF([9]回答表!F17="簡易水道事業",IF([9]回答表!AD45="●",[9]回答表!B289,""),"")</f>
        <v/>
      </c>
      <c r="V127" s="108"/>
      <c r="W127" s="108"/>
      <c r="X127" s="108"/>
      <c r="Y127" s="108"/>
      <c r="Z127" s="108"/>
      <c r="AA127" s="108"/>
      <c r="AB127" s="108"/>
      <c r="AC127" s="108"/>
      <c r="AD127" s="108"/>
      <c r="AE127" s="108"/>
      <c r="AF127" s="108"/>
      <c r="AG127" s="108"/>
      <c r="AH127" s="108"/>
      <c r="AI127" s="108"/>
      <c r="AJ127" s="109"/>
      <c r="AK127" s="55"/>
      <c r="AL127" s="55"/>
      <c r="AM127" s="107" t="str">
        <f>IF([9]回答表!F17="簡易水道事業",IF([9]回答表!AD45="●",[9]回答表!B295,""),"")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IF([9]回答表!F17="下水道事業",IF([9]回答表!X45="●","●",""),"")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IF([9]回答表!F17="下水道事業",IF([9]回答表!X45="●",[9]回答表!B158,IF([9]回答表!AA45="●",[9]回答表!B223,"")),"")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IF([9]回答表!F17="下水道事業",IF([9]回答表!X45="●",[9]回答表!B212,IF([9]回答表!AA45="●",[9]回答表!B278,"")),"")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IF([9]回答表!F17="下水道事業",IF([9]回答表!X45="●",[9]回答表!Y193,IF([9]回答表!AA45="●",[9]回答表!Y259,"")),"")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IF([9]回答表!F17="下水道事業",IF([9]回答表!X45="●",[9]回答表!E212,IF([9]回答表!AA45="●",[9]回答表!E278,"")),"")</f>
        <v/>
      </c>
      <c r="BG142" s="84"/>
      <c r="BH142" s="84"/>
      <c r="BI142" s="84"/>
      <c r="BJ142" s="83" t="str">
        <f>IF([9]回答表!F17="下水道事業",IF([9]回答表!X45="●",[9]回答表!E213,IF([9]回答表!AA45="●",[9]回答表!E279,"")),"")</f>
        <v/>
      </c>
      <c r="BK142" s="84"/>
      <c r="BL142" s="84"/>
      <c r="BM142" s="84"/>
      <c r="BN142" s="83" t="str">
        <f>IF([9]回答表!F17="下水道事業",IF([9]回答表!X45="●",[9]回答表!E214,IF([9]回答表!AA45="●",[9]回答表!E280,"")),"")</f>
        <v/>
      </c>
      <c r="BO142" s="84"/>
      <c r="BP142" s="84"/>
      <c r="BQ142" s="87"/>
      <c r="BR142" s="37"/>
      <c r="BX142" s="211" t="str">
        <f>IF([9]回答表!AQ20="下水道事業",IF([9]回答表!BI48="○",[9]回答表!AM161,IF([9]回答表!BL48="○",[9]回答表!AM226,"")),"")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IF([9]回答表!F17="下水道事業",IF([9]回答表!X45="●",[9]回答表!Y195,IF([9]回答表!AA45="●",[9]回答表!Y261,"")),"")</f>
        <v/>
      </c>
      <c r="V147" s="120"/>
      <c r="W147" s="120"/>
      <c r="X147" s="120"/>
      <c r="Y147" s="120"/>
      <c r="Z147" s="120"/>
      <c r="AA147" s="120"/>
      <c r="AB147" s="121"/>
      <c r="AC147" s="119" t="str">
        <f>IF([9]回答表!F17="下水道事業",IF([9]回答表!X45="●",[9]回答表!Y196,IF([9]回答表!AA45="●",[9]回答表!Y262,"")),"")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IF([9]回答表!F17="下水道事業",IF([9]回答表!X45="●",[9]回答表!Y198,IF([9]回答表!AA45="●",[9]回答表!Y264,"")),"")</f>
        <v/>
      </c>
      <c r="V153" s="120"/>
      <c r="W153" s="120"/>
      <c r="X153" s="120"/>
      <c r="Y153" s="120"/>
      <c r="Z153" s="120"/>
      <c r="AA153" s="120"/>
      <c r="AB153" s="121"/>
      <c r="AC153" s="119" t="str">
        <f>IF([9]回答表!F17="下水道事業",IF([9]回答表!X45="●",[9]回答表!Y199,IF([9]回答表!AA45="●",[9]回答表!Y265,"")),"")</f>
        <v/>
      </c>
      <c r="AD153" s="120"/>
      <c r="AE153" s="120"/>
      <c r="AF153" s="120"/>
      <c r="AG153" s="120"/>
      <c r="AH153" s="120"/>
      <c r="AI153" s="120"/>
      <c r="AJ153" s="121"/>
      <c r="AK153" s="119" t="str">
        <f>IF([9]回答表!F17="下水道事業",IF([9]回答表!X45="●",[9]回答表!Y200,IF([9]回答表!AA45="●",[9]回答表!Y266,"")),"")</f>
        <v/>
      </c>
      <c r="AL153" s="120"/>
      <c r="AM153" s="120"/>
      <c r="AN153" s="120"/>
      <c r="AO153" s="120"/>
      <c r="AP153" s="120"/>
      <c r="AQ153" s="120"/>
      <c r="AR153" s="121"/>
      <c r="AS153" s="119" t="str">
        <f>IF([9]回答表!F17="下水道事業",IF([9]回答表!X45="●",[9]回答表!Y201,IF([9]回答表!AA45="●",[9]回答表!Y267,"")),"")</f>
        <v/>
      </c>
      <c r="AT153" s="120"/>
      <c r="AU153" s="120"/>
      <c r="AV153" s="120"/>
      <c r="AW153" s="120"/>
      <c r="AX153" s="120"/>
      <c r="AY153" s="120"/>
      <c r="AZ153" s="121"/>
      <c r="BA153" s="119" t="str">
        <f>IF([9]回答表!F17="下水道事業",IF([9]回答表!X45="●",[9]回答表!Y202,IF([9]回答表!AA45="●",[9]回答表!Y268,"")),"")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IF([9]回答表!F17="下水道事業",IF([9]回答表!AA45="●","●",""),"")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IF([9]回答表!F17="下水道事業",IF([9]回答表!X45="●",[9]回答表!Y207,IF([9]回答表!AA45="●",[9]回答表!Y273,"")),"")</f>
        <v/>
      </c>
      <c r="V159" s="120"/>
      <c r="W159" s="120"/>
      <c r="X159" s="120"/>
      <c r="Y159" s="120"/>
      <c r="Z159" s="120"/>
      <c r="AA159" s="120"/>
      <c r="AB159" s="121"/>
      <c r="AC159" s="119" t="str">
        <f>IF([9]回答表!F17="下水道事業",IF([9]回答表!X45="●",[9]回答表!Y208,IF([9]回答表!AA45="●",[9]回答表!Y274,"")),"")</f>
        <v/>
      </c>
      <c r="AD159" s="120"/>
      <c r="AE159" s="120"/>
      <c r="AF159" s="120"/>
      <c r="AG159" s="120"/>
      <c r="AH159" s="120"/>
      <c r="AI159" s="120"/>
      <c r="AJ159" s="121"/>
      <c r="AK159" s="119" t="str">
        <f>IF([9]回答表!F17="下水道事業",IF([9]回答表!X45="●",[9]回答表!Y209,IF([9]回答表!AA45="●",[9]回答表!Y275,"")),"")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IF([9]回答表!F17="下水道事業",IF([9]回答表!AD45="●","●",""),"")</f>
        <v/>
      </c>
      <c r="O164" s="99"/>
      <c r="P164" s="99"/>
      <c r="Q164" s="100"/>
      <c r="R164" s="38"/>
      <c r="S164" s="38"/>
      <c r="T164" s="38"/>
      <c r="U164" s="107" t="str">
        <f>IF([9]回答表!F17="下水道事業",IF([9]回答表!AD45="●",[9]回答表!B289,""),"")</f>
        <v/>
      </c>
      <c r="V164" s="108"/>
      <c r="W164" s="108"/>
      <c r="X164" s="108"/>
      <c r="Y164" s="108"/>
      <c r="Z164" s="108"/>
      <c r="AA164" s="108"/>
      <c r="AB164" s="108"/>
      <c r="AC164" s="108"/>
      <c r="AD164" s="108"/>
      <c r="AE164" s="108"/>
      <c r="AF164" s="108"/>
      <c r="AG164" s="108"/>
      <c r="AH164" s="108"/>
      <c r="AI164" s="108"/>
      <c r="AJ164" s="109"/>
      <c r="AK164" s="55"/>
      <c r="AL164" s="55"/>
      <c r="AM164" s="107" t="str">
        <f>IF([9]回答表!F17="下水道事業",IF([9]回答表!AD45="●",[9]回答表!B295,""),"")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IF([9]回答表!BD17="●",IF([9]回答表!X45="●","●",""),"")</f>
        <v/>
      </c>
      <c r="O176" s="99"/>
      <c r="P176" s="99"/>
      <c r="Q176" s="100"/>
      <c r="R176" s="38"/>
      <c r="S176" s="38"/>
      <c r="T176" s="38"/>
      <c r="U176" s="107" t="str">
        <f>IF([9]回答表!BD17="●",IF([9]回答表!X45="●",[9]回答表!B158,IF([9]回答表!AA45="●",[9]回答表!B223,"")),"")</f>
        <v/>
      </c>
      <c r="V176" s="108"/>
      <c r="W176" s="108"/>
      <c r="X176" s="108"/>
      <c r="Y176" s="108"/>
      <c r="Z176" s="108"/>
      <c r="AA176" s="108"/>
      <c r="AB176" s="108"/>
      <c r="AC176" s="108"/>
      <c r="AD176" s="108"/>
      <c r="AE176" s="108"/>
      <c r="AF176" s="108"/>
      <c r="AG176" s="108"/>
      <c r="AH176" s="108"/>
      <c r="AI176" s="108"/>
      <c r="AJ176" s="109"/>
      <c r="AK176" s="49"/>
      <c r="AL176" s="49"/>
      <c r="AM176" s="116" t="str">
        <f>IF([9]回答表!BD17="●",IF([9]回答表!X45="●",[9]回答表!B212,IF([9]回答表!AA45="●",[9]回答表!B278,"")),"")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IF([9]回答表!BD17="●",IF([9]回答表!X45="●",[9]回答表!E212,IF([9]回答表!AA45="●",[9]回答表!E278,"")),"")</f>
        <v/>
      </c>
      <c r="AN179" s="84"/>
      <c r="AO179" s="84"/>
      <c r="AP179" s="84"/>
      <c r="AQ179" s="83" t="str">
        <f>IF([9]回答表!BD17="●",IF([9]回答表!X45="●",[9]回答表!E213,IF([9]回答表!AA45="●",[9]回答表!E279,"")),"")</f>
        <v/>
      </c>
      <c r="AR179" s="84"/>
      <c r="AS179" s="84"/>
      <c r="AT179" s="84"/>
      <c r="AU179" s="83" t="str">
        <f>IF([9]回答表!BD17="●",IF([9]回答表!X45="●",[9]回答表!E214,IF([9]回答表!AA45="●",[9]回答表!E280,"")),"")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IF([9]回答表!BD17="●",IF([9]回答表!AA45="●","●",""),"")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IF([9]回答表!BD17="●",IF([9]回答表!AD45="●","●",""),"")</f>
        <v/>
      </c>
      <c r="O188" s="99"/>
      <c r="P188" s="99"/>
      <c r="Q188" s="100"/>
      <c r="R188" s="38"/>
      <c r="S188" s="38"/>
      <c r="T188" s="38"/>
      <c r="U188" s="107" t="str">
        <f>IF([9]回答表!BD17="●",IF([9]回答表!AD45="●",[9]回答表!B289,""),"")</f>
        <v/>
      </c>
      <c r="V188" s="108"/>
      <c r="W188" s="108"/>
      <c r="X188" s="108"/>
      <c r="Y188" s="108"/>
      <c r="Z188" s="108"/>
      <c r="AA188" s="108"/>
      <c r="AB188" s="108"/>
      <c r="AC188" s="108"/>
      <c r="AD188" s="108"/>
      <c r="AE188" s="108"/>
      <c r="AF188" s="108"/>
      <c r="AG188" s="108"/>
      <c r="AH188" s="108"/>
      <c r="AI188" s="108"/>
      <c r="AJ188" s="109"/>
      <c r="AK188" s="55"/>
      <c r="AL188" s="55"/>
      <c r="AM188" s="107" t="str">
        <f>IF([9]回答表!BD17="●",IF([9]回答表!AD45="●",[9]回答表!B295,""),"")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IF([9]回答表!X46="●","●","")</f>
        <v/>
      </c>
      <c r="O200" s="99"/>
      <c r="P200" s="99"/>
      <c r="Q200" s="100"/>
      <c r="R200" s="38"/>
      <c r="S200" s="38"/>
      <c r="T200" s="38"/>
      <c r="U200" s="107" t="str">
        <f>IF([9]回答表!X46="●",[9]回答表!B307,IF([9]回答表!AA46="●",[9]回答表!B324,""))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IF([9]回答表!X46="●",[9]回答表!U313,IF([9]回答表!AA46="●",[9]回答表!U330,""))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IF([9]回答表!X46="●",[9]回答表!G313,IF([9]回答表!AA46="●",[9]回答表!G330,""))</f>
        <v/>
      </c>
      <c r="AN203" s="120"/>
      <c r="AO203" s="120"/>
      <c r="AP203" s="120"/>
      <c r="AQ203" s="120"/>
      <c r="AR203" s="120"/>
      <c r="AS203" s="120"/>
      <c r="AT203" s="121"/>
      <c r="AU203" s="119" t="str">
        <f>IF([9]回答表!X46="●",[9]回答表!G314,IF([9]回答表!AA46="●",[9]回答表!G331,""))</f>
        <v/>
      </c>
      <c r="AV203" s="120"/>
      <c r="AW203" s="120"/>
      <c r="AX203" s="120"/>
      <c r="AY203" s="120"/>
      <c r="AZ203" s="120"/>
      <c r="BA203" s="120"/>
      <c r="BB203" s="121"/>
      <c r="BC203" s="39"/>
      <c r="BD203" s="34"/>
      <c r="BE203" s="34"/>
      <c r="BF203" s="83" t="str">
        <f>IF([9]回答表!X46="●",[9]回答表!X313,IF([9]回答表!AA46="●",[9]回答表!X330,""))</f>
        <v/>
      </c>
      <c r="BG203" s="84"/>
      <c r="BH203" s="84"/>
      <c r="BI203" s="84"/>
      <c r="BJ203" s="83" t="str">
        <f>IF([9]回答表!X46="●",[9]回答表!X314,IF([9]回答表!AA46="●",[9]回答表!X331,""))</f>
        <v/>
      </c>
      <c r="BK203" s="84"/>
      <c r="BL203" s="84"/>
      <c r="BM203" s="87"/>
      <c r="BN203" s="83" t="str">
        <f>IF([9]回答表!X46="●",[9]回答表!X315,IF([9]回答表!AA46="●",[9]回答表!X332,""))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IF([9]回答表!AA46="●","●","")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IF([9]回答表!AD46="●","●","")</f>
        <v/>
      </c>
      <c r="O212" s="99"/>
      <c r="P212" s="99"/>
      <c r="Q212" s="100"/>
      <c r="R212" s="38"/>
      <c r="S212" s="38"/>
      <c r="T212" s="38"/>
      <c r="U212" s="107" t="str">
        <f>IF([9]回答表!AD46="●",[9]回答表!B337,"")</f>
        <v/>
      </c>
      <c r="V212" s="108"/>
      <c r="W212" s="108"/>
      <c r="X212" s="108"/>
      <c r="Y212" s="108"/>
      <c r="Z212" s="108"/>
      <c r="AA212" s="108"/>
      <c r="AB212" s="108"/>
      <c r="AC212" s="108"/>
      <c r="AD212" s="108"/>
      <c r="AE212" s="108"/>
      <c r="AF212" s="108"/>
      <c r="AG212" s="108"/>
      <c r="AH212" s="108"/>
      <c r="AI212" s="108"/>
      <c r="AJ212" s="109"/>
      <c r="AK212" s="62"/>
      <c r="AL212" s="62"/>
      <c r="AM212" s="107" t="str">
        <f>IF([9]回答表!AD46="●",[9]回答表!B343,"")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IF([9]回答表!X47="●","●","")</f>
        <v/>
      </c>
      <c r="O224" s="99"/>
      <c r="P224" s="99"/>
      <c r="Q224" s="100"/>
      <c r="R224" s="38"/>
      <c r="S224" s="38"/>
      <c r="T224" s="38"/>
      <c r="U224" s="107" t="str">
        <f>IF([9]回答表!X47="●",[9]回答表!B356,IF([9]回答表!AA47="●",[9]回答表!B379,""))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IF([9]回答表!X47="●",[9]回答表!B362,"")</f>
        <v/>
      </c>
      <c r="AO224" s="182"/>
      <c r="AP224" s="182"/>
      <c r="AQ224" s="182"/>
      <c r="AR224" s="182"/>
      <c r="AS224" s="182"/>
      <c r="AT224" s="182"/>
      <c r="AU224" s="182"/>
      <c r="AV224" s="182"/>
      <c r="AW224" s="182"/>
      <c r="AX224" s="182"/>
      <c r="AY224" s="182"/>
      <c r="AZ224" s="182"/>
      <c r="BA224" s="182"/>
      <c r="BB224" s="183"/>
      <c r="BC224" s="39"/>
      <c r="BD224" s="34"/>
      <c r="BE224" s="34"/>
      <c r="BF224" s="116" t="str">
        <f>IF([9]回答表!X47="●",[9]回答表!B368,IF([9]回答表!AA47="●",[9]回答表!B385,""))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IF([9]回答表!X47="●",[9]回答表!E368,IF([9]回答表!AA47="●",[9]回答表!E385,""))</f>
        <v/>
      </c>
      <c r="BG227" s="84"/>
      <c r="BH227" s="84"/>
      <c r="BI227" s="84"/>
      <c r="BJ227" s="83" t="str">
        <f>IF([9]回答表!X47="●",[9]回答表!E369,IF([9]回答表!AA47="●",[9]回答表!E386,""))</f>
        <v/>
      </c>
      <c r="BK227" s="84"/>
      <c r="BL227" s="84"/>
      <c r="BM227" s="87"/>
      <c r="BN227" s="83" t="str">
        <f>IF([9]回答表!X47="●",[9]回答表!E370,IF([9]回答表!AA47="●",[9]回答表!E387,""))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IF([9]回答表!AA47="●","●","")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IF([9]回答表!AD47="●","●","")</f>
        <v/>
      </c>
      <c r="O236" s="99"/>
      <c r="P236" s="99"/>
      <c r="Q236" s="100"/>
      <c r="R236" s="38"/>
      <c r="S236" s="38"/>
      <c r="T236" s="38"/>
      <c r="U236" s="107" t="str">
        <f>IF([9]回答表!AD47="●",[9]回答表!B392,"")</f>
        <v/>
      </c>
      <c r="V236" s="108"/>
      <c r="W236" s="108"/>
      <c r="X236" s="108"/>
      <c r="Y236" s="108"/>
      <c r="Z236" s="108"/>
      <c r="AA236" s="108"/>
      <c r="AB236" s="108"/>
      <c r="AC236" s="108"/>
      <c r="AD236" s="108"/>
      <c r="AE236" s="108"/>
      <c r="AF236" s="108"/>
      <c r="AG236" s="108"/>
      <c r="AH236" s="108"/>
      <c r="AI236" s="108"/>
      <c r="AJ236" s="109"/>
      <c r="AK236" s="62"/>
      <c r="AL236" s="62"/>
      <c r="AM236" s="107" t="str">
        <f>IF([9]回答表!AD47="●",[9]回答表!B398,"")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IF([9]回答表!X48="●","●","")</f>
        <v/>
      </c>
      <c r="O248" s="99"/>
      <c r="P248" s="99"/>
      <c r="Q248" s="100"/>
      <c r="R248" s="38"/>
      <c r="S248" s="38"/>
      <c r="T248" s="38"/>
      <c r="U248" s="107" t="str">
        <f>IF([9]回答表!X48="●",[9]回答表!B411,IF([9]回答表!AA48="●",[9]回答表!B425,""))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IF([9]回答表!X48="●",[9]回答表!BC418,IF([9]回答表!AA48="●",[9]回答表!BC432,""))</f>
        <v/>
      </c>
      <c r="AR248" s="151"/>
      <c r="AS248" s="151"/>
      <c r="AT248" s="151"/>
      <c r="AU248" s="173" t="s">
        <v>73</v>
      </c>
      <c r="AV248" s="174"/>
      <c r="AW248" s="174"/>
      <c r="AX248" s="175"/>
      <c r="AY248" s="151" t="str">
        <f>IF([9]回答表!X48="●",[9]回答表!BC423,IF([9]回答表!AA48="●",[9]回答表!BC437,""))</f>
        <v/>
      </c>
      <c r="AZ248" s="151"/>
      <c r="BA248" s="151"/>
      <c r="BB248" s="151"/>
      <c r="BC248" s="39"/>
      <c r="BD248" s="34"/>
      <c r="BE248" s="34"/>
      <c r="BF248" s="116" t="str">
        <f>IF([9]回答表!X48="●",[9]回答表!S417,IF([9]回答表!AA48="●",[9]回答表!S431,""))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IF([9]回答表!X48="●",[9]回答表!BC419,IF([9]回答表!AA48="●",[9]回答表!BC433,""))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IF([9]回答表!X48="●",[9]回答表!V417,IF([9]回答表!AA48="●",[9]回答表!V431,""))</f>
        <v/>
      </c>
      <c r="BG251" s="84"/>
      <c r="BH251" s="84"/>
      <c r="BI251" s="84"/>
      <c r="BJ251" s="83" t="str">
        <f>IF([9]回答表!X48="●",[9]回答表!V418,IF([9]回答表!AA48="●",[9]回答表!V432,""))</f>
        <v/>
      </c>
      <c r="BK251" s="84"/>
      <c r="BL251" s="84"/>
      <c r="BM251" s="87"/>
      <c r="BN251" s="83" t="str">
        <f>IF([9]回答表!X48="●",[9]回答表!V419,IF([9]回答表!AA48="●",[9]回答表!V433,""))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IF([9]回答表!X48="●",[9]回答表!BC420,IF([9]回答表!AA48="●",[9]回答表!BC434,""))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IF([9]回答表!X48="●",[9]回答表!BC424,IF([9]回答表!AA48="●",[9]回答表!BC438,""))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IF([9]回答表!AA48="●","●","")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IF([9]回答表!X48="●",[9]回答表!BC421,IF([9]回答表!AA48="●",[9]回答表!BC435,""))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IF([9]回答表!X48="●",[9]回答表!BC422,IF([9]回答表!AA48="●",[9]回答表!BC436,""))</f>
        <v/>
      </c>
      <c r="AR256" s="151"/>
      <c r="AS256" s="151"/>
      <c r="AT256" s="151"/>
      <c r="AU256" s="152" t="s">
        <v>79</v>
      </c>
      <c r="AV256" s="153"/>
      <c r="AW256" s="153"/>
      <c r="AX256" s="154"/>
      <c r="AY256" s="158" t="str">
        <f>IF([9]回答表!X48="●",[9]回答表!BC425,IF([9]回答表!AA48="●",[9]回答表!BC439,""))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IF([9]回答表!AD48="●","●","")</f>
        <v/>
      </c>
      <c r="O260" s="99"/>
      <c r="P260" s="99"/>
      <c r="Q260" s="100"/>
      <c r="R260" s="38"/>
      <c r="S260" s="38"/>
      <c r="T260" s="38"/>
      <c r="U260" s="107" t="str">
        <f>IF([9]回答表!AD48="●",[9]回答表!B439,"")</f>
        <v/>
      </c>
      <c r="V260" s="108"/>
      <c r="W260" s="108"/>
      <c r="X260" s="108"/>
      <c r="Y260" s="108"/>
      <c r="Z260" s="108"/>
      <c r="AA260" s="108"/>
      <c r="AB260" s="108"/>
      <c r="AC260" s="108"/>
      <c r="AD260" s="108"/>
      <c r="AE260" s="108"/>
      <c r="AF260" s="108"/>
      <c r="AG260" s="108"/>
      <c r="AH260" s="108"/>
      <c r="AI260" s="108"/>
      <c r="AJ260" s="109"/>
      <c r="AK260" s="55"/>
      <c r="AL260" s="55"/>
      <c r="AM260" s="107" t="str">
        <f>IF([9]回答表!AD48="●",[9]回答表!B445,"")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IF([9]回答表!X49="●","●","")</f>
        <v/>
      </c>
      <c r="O271" s="99"/>
      <c r="P271" s="99"/>
      <c r="Q271" s="100"/>
      <c r="R271" s="38"/>
      <c r="S271" s="38"/>
      <c r="T271" s="38"/>
      <c r="U271" s="107" t="str">
        <f>IF([9]回答表!X49="●",[9]回答表!B458,IF([9]回答表!AA49="●",[9]回答表!B475,""))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IF([9]回答表!X49="●",[9]回答表!B468,IF([9]回答表!AA49="●",[9]回答表!B485,""))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IF([9]回答表!X49="●",[9]回答表!G464,IF([9]回答表!AA49="●",[9]回答表!G481,""))</f>
        <v/>
      </c>
      <c r="AN273" s="120"/>
      <c r="AO273" s="120"/>
      <c r="AP273" s="120"/>
      <c r="AQ273" s="120"/>
      <c r="AR273" s="120"/>
      <c r="AS273" s="120"/>
      <c r="AT273" s="121"/>
      <c r="AU273" s="119" t="str">
        <f>IF([9]回答表!X49="●",[9]回答表!G465,IF([9]回答表!AA49="●",[9]回答表!G482,""))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IF([9]回答表!X49="●",[9]回答表!E468,IF([9]回答表!AA49="●",[9]回答表!E485,""))</f>
        <v/>
      </c>
      <c r="BG274" s="84"/>
      <c r="BH274" s="84"/>
      <c r="BI274" s="84"/>
      <c r="BJ274" s="83" t="str">
        <f>IF([9]回答表!X49="●",[9]回答表!E469,IF([9]回答表!AA49="●",[9]回答表!E486,""))</f>
        <v/>
      </c>
      <c r="BK274" s="84"/>
      <c r="BL274" s="84"/>
      <c r="BM274" s="87"/>
      <c r="BN274" s="83" t="str">
        <f>IF([9]回答表!X49="●",[9]回答表!E470,IF([9]回答表!AA49="●",[9]回答表!E487,""))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IF([9]回答表!AA49="●","●","")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IF([9]回答表!AD49="●","●","")</f>
        <v/>
      </c>
      <c r="O283" s="99"/>
      <c r="P283" s="99"/>
      <c r="Q283" s="100"/>
      <c r="R283" s="38"/>
      <c r="S283" s="38"/>
      <c r="T283" s="38"/>
      <c r="U283" s="107" t="str">
        <f>IF([9]回答表!AD49="●",[9]回答表!B492,"")</f>
        <v/>
      </c>
      <c r="V283" s="108"/>
      <c r="W283" s="108"/>
      <c r="X283" s="108"/>
      <c r="Y283" s="108"/>
      <c r="Z283" s="108"/>
      <c r="AA283" s="108"/>
      <c r="AB283" s="108"/>
      <c r="AC283" s="108"/>
      <c r="AD283" s="108"/>
      <c r="AE283" s="108"/>
      <c r="AF283" s="108"/>
      <c r="AG283" s="108"/>
      <c r="AH283" s="108"/>
      <c r="AI283" s="108"/>
      <c r="AJ283" s="109"/>
      <c r="AK283" s="49"/>
      <c r="AL283" s="49"/>
      <c r="AM283" s="107" t="str">
        <f>IF([9]回答表!AD49="●",[9]回答表!B498,"")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IF([9]回答表!R50="●",[9]回答表!B511,"")</f>
        <v>現行の経営体制・手法で健全な事業運営が実施できているため大きな改革の予定はなし。
今後の方向性
①専門的な知識や技術を持った人材の育成とその知識や技術を継承していくために研修等を実施し、安全性を強化する。
②逓減型従量制料金制度による安価な料金体制を継続することで企業誘致に貢献し、収益の増加を図る。</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DDFBE-0EBA-4D7F-B94A-0BCBBAA4B6B5}">
  <sheetPr>
    <pageSetUpPr fitToPage="1"/>
  </sheetPr>
  <dimension ref="A1:CN315"/>
  <sheetViews>
    <sheetView showZeros="0" view="pageBreakPreview" zoomScale="60" zoomScaleNormal="55" workbookViewId="0">
      <selection activeCell="U62" sqref="U62:AJ71"/>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IF(COUNTIF([8]回答表!K15,"*")&gt;0,[8]回答表!K15,"")</f>
        <v>大館市</v>
      </c>
      <c r="D11" s="299"/>
      <c r="E11" s="299"/>
      <c r="F11" s="299"/>
      <c r="G11" s="299"/>
      <c r="H11" s="299"/>
      <c r="I11" s="299"/>
      <c r="J11" s="299"/>
      <c r="K11" s="299"/>
      <c r="L11" s="299"/>
      <c r="M11" s="299"/>
      <c r="N11" s="299"/>
      <c r="O11" s="299"/>
      <c r="P11" s="299"/>
      <c r="Q11" s="299"/>
      <c r="R11" s="299"/>
      <c r="S11" s="299"/>
      <c r="T11" s="299"/>
      <c r="U11" s="306" t="str">
        <f>IF(COUNTIF([8]回答表!F17,"*")&gt;0,[8]回答表!F17,"")</f>
        <v>簡易水道事業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IF(COUNTIF([8]回答表!W17,"*")&gt;0,[8]回答表!W17,"")</f>
        <v>―</v>
      </c>
      <c r="AP11" s="301"/>
      <c r="AQ11" s="301"/>
      <c r="AR11" s="301"/>
      <c r="AS11" s="301"/>
      <c r="AT11" s="301"/>
      <c r="AU11" s="301"/>
      <c r="AV11" s="301"/>
      <c r="AW11" s="301"/>
      <c r="AX11" s="301"/>
      <c r="AY11" s="301"/>
      <c r="AZ11" s="301"/>
      <c r="BA11" s="301"/>
      <c r="BB11" s="301"/>
      <c r="BC11" s="301"/>
      <c r="BD11" s="301"/>
      <c r="BE11" s="301"/>
      <c r="BF11" s="302"/>
      <c r="BG11" s="305" t="str">
        <f>IF(COUNTIF([8]回答表!F19,"*")&gt;0,[8]回答表!F19,"")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IF([8]回答表!R43="●","●","")</f>
        <v>●</v>
      </c>
      <c r="E24" s="123"/>
      <c r="F24" s="123"/>
      <c r="G24" s="123"/>
      <c r="H24" s="123"/>
      <c r="I24" s="123"/>
      <c r="J24" s="124"/>
      <c r="K24" s="122" t="str">
        <f>IF([8]回答表!R44="●","●","")</f>
        <v/>
      </c>
      <c r="L24" s="123"/>
      <c r="M24" s="123"/>
      <c r="N24" s="123"/>
      <c r="O24" s="123"/>
      <c r="P24" s="123"/>
      <c r="Q24" s="124"/>
      <c r="R24" s="122" t="str">
        <f>IF([8]回答表!R45="●","●","")</f>
        <v/>
      </c>
      <c r="S24" s="123"/>
      <c r="T24" s="123"/>
      <c r="U24" s="123"/>
      <c r="V24" s="123"/>
      <c r="W24" s="123"/>
      <c r="X24" s="124"/>
      <c r="Y24" s="122" t="str">
        <f>IF([8]回答表!R46="●","●","")</f>
        <v/>
      </c>
      <c r="Z24" s="123"/>
      <c r="AA24" s="123"/>
      <c r="AB24" s="123"/>
      <c r="AC24" s="123"/>
      <c r="AD24" s="123"/>
      <c r="AE24" s="124"/>
      <c r="AF24" s="122" t="str">
        <f>IF([8]回答表!R47="●","●","")</f>
        <v/>
      </c>
      <c r="AG24" s="123"/>
      <c r="AH24" s="123"/>
      <c r="AI24" s="123"/>
      <c r="AJ24" s="123"/>
      <c r="AK24" s="123"/>
      <c r="AL24" s="124"/>
      <c r="AM24" s="122" t="str">
        <f>IF([8]回答表!R48="●","●","")</f>
        <v/>
      </c>
      <c r="AN24" s="123"/>
      <c r="AO24" s="123"/>
      <c r="AP24" s="123"/>
      <c r="AQ24" s="123"/>
      <c r="AR24" s="123"/>
      <c r="AS24" s="124"/>
      <c r="AT24" s="122" t="str">
        <f>IF([8]回答表!R49="●","●","")</f>
        <v/>
      </c>
      <c r="AU24" s="123"/>
      <c r="AV24" s="123"/>
      <c r="AW24" s="123"/>
      <c r="AX24" s="123"/>
      <c r="AY24" s="123"/>
      <c r="AZ24" s="124"/>
      <c r="BA24" s="18"/>
      <c r="BB24" s="119" t="str">
        <f>IF([8]回答表!R50="●","●","")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IF([8]回答表!X43="●","●","")</f>
        <v>●</v>
      </c>
      <c r="O36" s="99"/>
      <c r="P36" s="99"/>
      <c r="Q36" s="100"/>
      <c r="R36" s="38"/>
      <c r="S36" s="38"/>
      <c r="T36" s="38"/>
      <c r="U36" s="107" t="str">
        <f>IF([8]回答表!X43="●",[8]回答表!B59,IF([8]回答表!AA43="●",[8]回答表!B79,""))</f>
        <v>上水道と簡易水道に分かれていたため契約や決算など事務処理が繁雑であったが、統合したことにより迅速に処理できるようになった。</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IF([8]回答表!X43="●",[8]回答表!S65,IF([8]回答表!AA43="●",[8]回答表!S85,""))</f>
        <v>平成</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IF([8]回答表!X43="●",[8]回答表!G65,IF([8]回答表!AA43="●",[8]回答表!G85,""))</f>
        <v>●</v>
      </c>
      <c r="AN38" s="120"/>
      <c r="AO38" s="120"/>
      <c r="AP38" s="120"/>
      <c r="AQ38" s="120"/>
      <c r="AR38" s="120"/>
      <c r="AS38" s="120"/>
      <c r="AT38" s="121"/>
      <c r="AU38" s="119" t="str">
        <f>IF([8]回答表!X43="●",[8]回答表!G66,IF([8]回答表!AA43="●",[8]回答表!G86,""))</f>
        <v xml:space="preserve">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f>IF([8]回答表!X43="●",[8]回答表!V65,IF([8]回答表!AA43="●",[8]回答表!V85,""))</f>
        <v>29</v>
      </c>
      <c r="BG39" s="249"/>
      <c r="BH39" s="249"/>
      <c r="BI39" s="250"/>
      <c r="BJ39" s="83">
        <f>IF([8]回答表!X43="●",[8]回答表!V66,IF([8]回答表!AA43="●",[8]回答表!V86,""))</f>
        <v>3</v>
      </c>
      <c r="BK39" s="249"/>
      <c r="BL39" s="249"/>
      <c r="BM39" s="250"/>
      <c r="BN39" s="83">
        <f>IF([8]回答表!X43="●",[8]回答表!V67,IF([8]回答表!AA43="●",[8]回答表!V87,""))</f>
        <v>31</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IF([8]回答表!X43="●",[8]回答表!O71,IF([8]回答表!AA43="●",[8]回答表!O91,""))</f>
        <v xml:space="preserve">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IF([8]回答表!X43="●",[8]回答表!O72,IF([8]回答表!AA43="●",[8]回答表!O92,""))</f>
        <v xml:space="preserve">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IF([8]回答表!AA43="●","●","")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IF([8]回答表!X43="●",[8]回答表!O73,IF([8]回答表!AA43="●",[8]回答表!O93,""))</f>
        <v xml:space="preserve">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IF([8]回答表!X43="●",[8]回答表!O74,IF([8]回答表!AA43="●",[8]回答表!O94,""))</f>
        <v xml:space="preserve">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IF([8]回答表!X43="●",[8]回答表!AG71,IF([8]回答表!AA43="●",[8]回答表!AG91,""))</f>
        <v>●</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IF([8]回答表!X43="●",[8]回答表!AG72,IF([8]回答表!AA43="●",[8]回答表!AG92,""))</f>
        <v xml:space="preserve">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IF([8]回答表!AD43="●","●","")</f>
        <v/>
      </c>
      <c r="O51" s="99"/>
      <c r="P51" s="99"/>
      <c r="Q51" s="100"/>
      <c r="R51" s="38"/>
      <c r="S51" s="38"/>
      <c r="T51" s="38"/>
      <c r="U51" s="107" t="str">
        <f>IF([8]回答表!AD43="●",[8]回答表!B99,"")</f>
        <v/>
      </c>
      <c r="V51" s="108"/>
      <c r="W51" s="108"/>
      <c r="X51" s="108"/>
      <c r="Y51" s="108"/>
      <c r="Z51" s="108"/>
      <c r="AA51" s="108"/>
      <c r="AB51" s="108"/>
      <c r="AC51" s="108"/>
      <c r="AD51" s="108"/>
      <c r="AE51" s="108"/>
      <c r="AF51" s="108"/>
      <c r="AG51" s="108"/>
      <c r="AH51" s="108"/>
      <c r="AI51" s="108"/>
      <c r="AJ51" s="109"/>
      <c r="AK51" s="55"/>
      <c r="AL51" s="55"/>
      <c r="AM51" s="107" t="str">
        <f>IF([8]回答表!AD43="●",[8]回答表!B104,"")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IF([8]回答表!X44="●","●","")</f>
        <v/>
      </c>
      <c r="O62" s="99"/>
      <c r="P62" s="99"/>
      <c r="Q62" s="100"/>
      <c r="R62" s="38"/>
      <c r="S62" s="38"/>
      <c r="T62" s="38"/>
      <c r="U62" s="107" t="str">
        <f>IF([8]回答表!X44="●",[8]回答表!B115,IF([8]回答表!AA44="●",[8]回答表!B127,""))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IF([8]回答表!X44="●",[8]回答表!S121,IF([8]回答表!AA44="●",[8]回答表!S133,""))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IF([8]回答表!X44="●",[8]回答表!J121,IF([8]回答表!AA44="●",[8]回答表!J133,""))</f>
        <v/>
      </c>
      <c r="AN65" s="120"/>
      <c r="AO65" s="120"/>
      <c r="AP65" s="120"/>
      <c r="AQ65" s="120"/>
      <c r="AR65" s="120"/>
      <c r="AS65" s="120"/>
      <c r="AT65" s="121"/>
      <c r="AU65" s="119" t="str">
        <f>IF([8]回答表!X44="●",[8]回答表!J122,IF([8]回答表!AA44="●",[8]回答表!J134,""))</f>
        <v/>
      </c>
      <c r="AV65" s="120"/>
      <c r="AW65" s="120"/>
      <c r="AX65" s="120"/>
      <c r="AY65" s="120"/>
      <c r="AZ65" s="120"/>
      <c r="BA65" s="120"/>
      <c r="BB65" s="121"/>
      <c r="BC65" s="39"/>
      <c r="BD65" s="34"/>
      <c r="BE65" s="34"/>
      <c r="BF65" s="83" t="str">
        <f>IF([8]回答表!X44="●",[8]回答表!V121,IF([8]回答表!AA44="●",[8]回答表!V133,""))</f>
        <v/>
      </c>
      <c r="BG65" s="84"/>
      <c r="BH65" s="84"/>
      <c r="BI65" s="84"/>
      <c r="BJ65" s="83" t="str">
        <f>IF([8]回答表!X44="●",[8]回答表!V122,IF([8]回答表!AA44="●",[8]回答表!V134,""))</f>
        <v/>
      </c>
      <c r="BK65" s="84"/>
      <c r="BL65" s="84"/>
      <c r="BM65" s="84"/>
      <c r="BN65" s="83" t="str">
        <f>IF([8]回答表!X44="●",[8]回答表!V123,IF([8]回答表!AA44="●",[8]回答表!V135,""))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IF([8]回答表!AA44="●","●","")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IF([8]回答表!AD44="●","●","")</f>
        <v/>
      </c>
      <c r="O74" s="99"/>
      <c r="P74" s="99"/>
      <c r="Q74" s="100"/>
      <c r="R74" s="38"/>
      <c r="S74" s="38"/>
      <c r="T74" s="38"/>
      <c r="U74" s="107" t="str">
        <f>IF([8]回答表!AD44="●",[8]回答表!B140,"")</f>
        <v/>
      </c>
      <c r="V74" s="108"/>
      <c r="W74" s="108"/>
      <c r="X74" s="108"/>
      <c r="Y74" s="108"/>
      <c r="Z74" s="108"/>
      <c r="AA74" s="108"/>
      <c r="AB74" s="108"/>
      <c r="AC74" s="108"/>
      <c r="AD74" s="108"/>
      <c r="AE74" s="108"/>
      <c r="AF74" s="108"/>
      <c r="AG74" s="108"/>
      <c r="AH74" s="108"/>
      <c r="AI74" s="108"/>
      <c r="AJ74" s="109"/>
      <c r="AK74" s="55"/>
      <c r="AL74" s="55"/>
      <c r="AM74" s="107" t="str">
        <f>IF([8]回答表!AD44="●",[8]回答表!B146,"")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IF([8]回答表!F17="水道事業",IF([8]回答表!X45="●","●",""),"")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IF([8]回答表!F17="水道事業",IF([8]回答表!X45="●",[8]回答表!B158,IF([8]回答表!AA45="●",[8]回答表!B223,"")),"")</f>
        <v/>
      </c>
      <c r="AN86" s="212"/>
      <c r="AO86" s="212"/>
      <c r="AP86" s="212"/>
      <c r="AQ86" s="212"/>
      <c r="AR86" s="212"/>
      <c r="AS86" s="212"/>
      <c r="AT86" s="212"/>
      <c r="AU86" s="212"/>
      <c r="AV86" s="212"/>
      <c r="AW86" s="212"/>
      <c r="AX86" s="212"/>
      <c r="AY86" s="212"/>
      <c r="AZ86" s="212"/>
      <c r="BA86" s="212"/>
      <c r="BB86" s="212"/>
      <c r="BC86" s="213"/>
      <c r="BD86" s="34"/>
      <c r="BE86" s="34"/>
      <c r="BF86" s="116" t="str">
        <f>IF([8]回答表!F17="水道事業",IF([8]回答表!X45="●",[8]回答表!B212,IF([8]回答表!AA45="●",[8]回答表!B278,"")),"")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IF([8]回答表!F17="水道事業",IF([8]回答表!X45="●",[8]回答表!J166,IF([8]回答表!AA45="●",[8]回答表!J231,"")),"")</f>
        <v/>
      </c>
      <c r="V88" s="120"/>
      <c r="W88" s="120"/>
      <c r="X88" s="120"/>
      <c r="Y88" s="120"/>
      <c r="Z88" s="120"/>
      <c r="AA88" s="120"/>
      <c r="AB88" s="121"/>
      <c r="AC88" s="119" t="str">
        <f>IF([8]回答表!F17="水道事業",IF([8]回答表!X45="●",[8]回答表!J173,IF([8]回答表!AA45="●",[8]回答表!J238,"")),"")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IF([8]回答表!F17="水道事業",IF([8]回答表!X45="●",[8]回答表!E212,IF([8]回答表!AA45="●",[8]回答表!E278,"")),"")</f>
        <v/>
      </c>
      <c r="BG89" s="84"/>
      <c r="BH89" s="84"/>
      <c r="BI89" s="84"/>
      <c r="BJ89" s="83" t="str">
        <f>IF([8]回答表!F17="水道事業",IF([8]回答表!X45="●",[8]回答表!E213,IF([8]回答表!AA45="●",[8]回答表!E279,"")),"")</f>
        <v/>
      </c>
      <c r="BK89" s="84"/>
      <c r="BL89" s="84"/>
      <c r="BM89" s="84"/>
      <c r="BN89" s="83" t="str">
        <f>IF([8]回答表!F17="水道事業",IF([8]回答表!X45="●",[8]回答表!E214,IF([8]回答表!AA45="●",[8]回答表!E280,"")),"")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IF([8]回答表!F17="水道事業",IF([8]回答表!AA45="●","●",""),"")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IF([8]回答表!F17="水道事業",IF([8]回答表!X45="●",[8]回答表!J176,IF([8]回答表!AA45="●",[8]回答表!J241,"")),"")</f>
        <v/>
      </c>
      <c r="V93" s="120"/>
      <c r="W93" s="120"/>
      <c r="X93" s="120"/>
      <c r="Y93" s="120"/>
      <c r="Z93" s="120"/>
      <c r="AA93" s="120"/>
      <c r="AB93" s="121"/>
      <c r="AC93" s="119" t="str">
        <f>IF([8]回答表!F17="水道事業",IF([8]回答表!X45="●",[8]回答表!J180,IF([8]回答表!AA45="●",[8]回答表!J245,"")),"")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IF([8]回答表!F17="水道事業",IF([8]回答表!AD45="●","●",""),"")</f>
        <v/>
      </c>
      <c r="O98" s="99"/>
      <c r="P98" s="99"/>
      <c r="Q98" s="100"/>
      <c r="R98" s="38"/>
      <c r="S98" s="38"/>
      <c r="T98" s="38"/>
      <c r="U98" s="107" t="str">
        <f>IF([8]回答表!F17="水道事業",IF([8]回答表!AD45="●",[8]回答表!B289,""),"")</f>
        <v/>
      </c>
      <c r="V98" s="108"/>
      <c r="W98" s="108"/>
      <c r="X98" s="108"/>
      <c r="Y98" s="108"/>
      <c r="Z98" s="108"/>
      <c r="AA98" s="108"/>
      <c r="AB98" s="108"/>
      <c r="AC98" s="108"/>
      <c r="AD98" s="108"/>
      <c r="AE98" s="108"/>
      <c r="AF98" s="108"/>
      <c r="AG98" s="108"/>
      <c r="AH98" s="108"/>
      <c r="AI98" s="108"/>
      <c r="AJ98" s="109"/>
      <c r="AK98" s="55"/>
      <c r="AL98" s="55"/>
      <c r="AM98" s="107" t="str">
        <f>IF([8]回答表!F17="水道事業",IF([8]回答表!AD45="●",[8]回答表!B295,""),"")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IF([8]回答表!F17="簡易水道事業",IF([8]回答表!X45="●",[8]回答表!B158,IF([8]回答表!AA45="●",[8]回答表!B223,"")),"")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IF([8]回答表!F17="簡易水道事業",IF([8]回答表!X45="●",[8]回答表!B212,IF([8]回答表!AA45="●",[8]回答表!B278,"")),"")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IF([8]回答表!F17="簡易水道事業",IF([8]回答表!X45="●","●",""),"")</f>
        <v/>
      </c>
      <c r="O112" s="99"/>
      <c r="P112" s="99"/>
      <c r="Q112" s="100"/>
      <c r="R112" s="38"/>
      <c r="S112" s="38"/>
      <c r="T112" s="38"/>
      <c r="U112" s="119" t="str">
        <f>IF([8]回答表!F17="簡易水道事業",IF([8]回答表!X45="●",[8]回答表!Y185,IF([8]回答表!AA45="●",[8]回答表!Y251,"")),"")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IF([8]回答表!F17="簡易水道事業",IF([8]回答表!X45="●",[8]回答表!E212,IF([8]回答表!AA45="●",[8]回答表!E278,"")),"")</f>
        <v/>
      </c>
      <c r="BG113" s="84"/>
      <c r="BH113" s="84"/>
      <c r="BI113" s="84"/>
      <c r="BJ113" s="83" t="str">
        <f>IF([8]回答表!F17="簡易水道事業",IF([8]回答表!X45="●",[8]回答表!E213,IF([8]回答表!AA45="●",[8]回答表!E279,"")),"")</f>
        <v/>
      </c>
      <c r="BK113" s="84"/>
      <c r="BL113" s="84"/>
      <c r="BM113" s="84"/>
      <c r="BN113" s="83" t="str">
        <f>IF([8]回答表!F17="簡易水道事業",IF([8]回答表!X45="●",[8]回答表!E214,IF([8]回答表!AA45="●",[8]回答表!E280,"")),"")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IF([8]回答表!F17="簡易水道事業",IF([8]回答表!X45="●",[8]回答表!Y186,IF([8]回答表!AA45="●",[8]回答表!Y252,"")),"")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IF([8]回答表!F17="簡易水道事業",IF([8]回答表!AA45="●","●",""),"")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IF([8]回答表!F17="簡易水道事業",IF([8]回答表!X45="●",[8]回答表!Y187,IF([8]回答表!AA45="●",[8]回答表!Y253,"")),"")</f>
        <v/>
      </c>
      <c r="V122" s="120"/>
      <c r="W122" s="120"/>
      <c r="X122" s="120"/>
      <c r="Y122" s="120"/>
      <c r="Z122" s="120"/>
      <c r="AA122" s="120"/>
      <c r="AB122" s="120"/>
      <c r="AC122" s="120"/>
      <c r="AD122" s="120"/>
      <c r="AE122" s="120"/>
      <c r="AF122" s="120"/>
      <c r="AG122" s="120"/>
      <c r="AH122" s="120"/>
      <c r="AI122" s="120"/>
      <c r="AJ122" s="121"/>
      <c r="AK122" s="18"/>
      <c r="AL122" s="18"/>
      <c r="AM122" s="228" t="str">
        <f>IF([8]回答表!F17="簡易水道事業",IF([8]回答表!X45="●",[8]回答表!Y189,IF([8]回答表!AA45="●",[8]回答表!Y255,"")),"")</f>
        <v/>
      </c>
      <c r="AN122" s="228"/>
      <c r="AO122" s="228"/>
      <c r="AP122" s="228"/>
      <c r="AQ122" s="228"/>
      <c r="AR122" s="228"/>
      <c r="AS122" s="228" t="str">
        <f>IF([8]回答表!F17="簡易水道事業",IF([8]回答表!X45="●",[8]回答表!Y190,IF([8]回答表!AA45="●",[8]回答表!Y256,"")),"")</f>
        <v/>
      </c>
      <c r="AT122" s="228"/>
      <c r="AU122" s="228"/>
      <c r="AV122" s="228"/>
      <c r="AW122" s="228"/>
      <c r="AX122" s="228"/>
      <c r="AY122" s="228" t="str">
        <f>IF([8]回答表!F17="簡易水道事業",IF([8]回答表!X45="●",[8]回答表!Y191,IF([8]回答表!AA45="●",[8]回答表!Y257,"")),"")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IF([8]回答表!F17="簡易水道事業",IF([8]回答表!AD45="●","●",""),"")</f>
        <v/>
      </c>
      <c r="O127" s="99"/>
      <c r="P127" s="99"/>
      <c r="Q127" s="100"/>
      <c r="R127" s="38"/>
      <c r="S127" s="38"/>
      <c r="T127" s="38"/>
      <c r="U127" s="107" t="str">
        <f>IF([8]回答表!F17="簡易水道事業",IF([8]回答表!AD45="●",[8]回答表!B289,""),"")</f>
        <v/>
      </c>
      <c r="V127" s="108"/>
      <c r="W127" s="108"/>
      <c r="X127" s="108"/>
      <c r="Y127" s="108"/>
      <c r="Z127" s="108"/>
      <c r="AA127" s="108"/>
      <c r="AB127" s="108"/>
      <c r="AC127" s="108"/>
      <c r="AD127" s="108"/>
      <c r="AE127" s="108"/>
      <c r="AF127" s="108"/>
      <c r="AG127" s="108"/>
      <c r="AH127" s="108"/>
      <c r="AI127" s="108"/>
      <c r="AJ127" s="109"/>
      <c r="AK127" s="55"/>
      <c r="AL127" s="55"/>
      <c r="AM127" s="107" t="str">
        <f>IF([8]回答表!F17="簡易水道事業",IF([8]回答表!AD45="●",[8]回答表!B295,""),"")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IF([8]回答表!F17="下水道事業",IF([8]回答表!X45="●","●",""),"")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IF([8]回答表!F17="下水道事業",IF([8]回答表!X45="●",[8]回答表!B158,IF([8]回答表!AA45="●",[8]回答表!B223,"")),"")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IF([8]回答表!F17="下水道事業",IF([8]回答表!X45="●",[8]回答表!B212,IF([8]回答表!AA45="●",[8]回答表!B278,"")),"")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IF([8]回答表!F17="下水道事業",IF([8]回答表!X45="●",[8]回答表!Y193,IF([8]回答表!AA45="●",[8]回答表!Y259,"")),"")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IF([8]回答表!F17="下水道事業",IF([8]回答表!X45="●",[8]回答表!E212,IF([8]回答表!AA45="●",[8]回答表!E278,"")),"")</f>
        <v/>
      </c>
      <c r="BG142" s="84"/>
      <c r="BH142" s="84"/>
      <c r="BI142" s="84"/>
      <c r="BJ142" s="83" t="str">
        <f>IF([8]回答表!F17="下水道事業",IF([8]回答表!X45="●",[8]回答表!E213,IF([8]回答表!AA45="●",[8]回答表!E279,"")),"")</f>
        <v/>
      </c>
      <c r="BK142" s="84"/>
      <c r="BL142" s="84"/>
      <c r="BM142" s="84"/>
      <c r="BN142" s="83" t="str">
        <f>IF([8]回答表!F17="下水道事業",IF([8]回答表!X45="●",[8]回答表!E214,IF([8]回答表!AA45="●",[8]回答表!E280,"")),"")</f>
        <v/>
      </c>
      <c r="BO142" s="84"/>
      <c r="BP142" s="84"/>
      <c r="BQ142" s="87"/>
      <c r="BR142" s="37"/>
      <c r="BX142" s="211" t="str">
        <f>IF([8]回答表!AQ20="下水道事業",IF([8]回答表!BI48="○",[8]回答表!AM161,IF([8]回答表!BL48="○",[8]回答表!AM226,"")),"")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IF([8]回答表!F17="下水道事業",IF([8]回答表!X45="●",[8]回答表!Y195,IF([8]回答表!AA45="●",[8]回答表!Y261,"")),"")</f>
        <v/>
      </c>
      <c r="V147" s="120"/>
      <c r="W147" s="120"/>
      <c r="X147" s="120"/>
      <c r="Y147" s="120"/>
      <c r="Z147" s="120"/>
      <c r="AA147" s="120"/>
      <c r="AB147" s="121"/>
      <c r="AC147" s="119" t="str">
        <f>IF([8]回答表!F17="下水道事業",IF([8]回答表!X45="●",[8]回答表!Y196,IF([8]回答表!AA45="●",[8]回答表!Y262,"")),"")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IF([8]回答表!F17="下水道事業",IF([8]回答表!X45="●",[8]回答表!Y198,IF([8]回答表!AA45="●",[8]回答表!Y264,"")),"")</f>
        <v/>
      </c>
      <c r="V153" s="120"/>
      <c r="W153" s="120"/>
      <c r="X153" s="120"/>
      <c r="Y153" s="120"/>
      <c r="Z153" s="120"/>
      <c r="AA153" s="120"/>
      <c r="AB153" s="121"/>
      <c r="AC153" s="119" t="str">
        <f>IF([8]回答表!F17="下水道事業",IF([8]回答表!X45="●",[8]回答表!Y199,IF([8]回答表!AA45="●",[8]回答表!Y265,"")),"")</f>
        <v/>
      </c>
      <c r="AD153" s="120"/>
      <c r="AE153" s="120"/>
      <c r="AF153" s="120"/>
      <c r="AG153" s="120"/>
      <c r="AH153" s="120"/>
      <c r="AI153" s="120"/>
      <c r="AJ153" s="121"/>
      <c r="AK153" s="119" t="str">
        <f>IF([8]回答表!F17="下水道事業",IF([8]回答表!X45="●",[8]回答表!Y200,IF([8]回答表!AA45="●",[8]回答表!Y266,"")),"")</f>
        <v/>
      </c>
      <c r="AL153" s="120"/>
      <c r="AM153" s="120"/>
      <c r="AN153" s="120"/>
      <c r="AO153" s="120"/>
      <c r="AP153" s="120"/>
      <c r="AQ153" s="120"/>
      <c r="AR153" s="121"/>
      <c r="AS153" s="119" t="str">
        <f>IF([8]回答表!F17="下水道事業",IF([8]回答表!X45="●",[8]回答表!Y201,IF([8]回答表!AA45="●",[8]回答表!Y267,"")),"")</f>
        <v/>
      </c>
      <c r="AT153" s="120"/>
      <c r="AU153" s="120"/>
      <c r="AV153" s="120"/>
      <c r="AW153" s="120"/>
      <c r="AX153" s="120"/>
      <c r="AY153" s="120"/>
      <c r="AZ153" s="121"/>
      <c r="BA153" s="119" t="str">
        <f>IF([8]回答表!F17="下水道事業",IF([8]回答表!X45="●",[8]回答表!Y202,IF([8]回答表!AA45="●",[8]回答表!Y268,"")),"")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IF([8]回答表!F17="下水道事業",IF([8]回答表!AA45="●","●",""),"")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IF([8]回答表!F17="下水道事業",IF([8]回答表!X45="●",[8]回答表!Y207,IF([8]回答表!AA45="●",[8]回答表!Y273,"")),"")</f>
        <v/>
      </c>
      <c r="V159" s="120"/>
      <c r="W159" s="120"/>
      <c r="X159" s="120"/>
      <c r="Y159" s="120"/>
      <c r="Z159" s="120"/>
      <c r="AA159" s="120"/>
      <c r="AB159" s="121"/>
      <c r="AC159" s="119" t="str">
        <f>IF([8]回答表!F17="下水道事業",IF([8]回答表!X45="●",[8]回答表!Y208,IF([8]回答表!AA45="●",[8]回答表!Y274,"")),"")</f>
        <v/>
      </c>
      <c r="AD159" s="120"/>
      <c r="AE159" s="120"/>
      <c r="AF159" s="120"/>
      <c r="AG159" s="120"/>
      <c r="AH159" s="120"/>
      <c r="AI159" s="120"/>
      <c r="AJ159" s="121"/>
      <c r="AK159" s="119" t="str">
        <f>IF([8]回答表!F17="下水道事業",IF([8]回答表!X45="●",[8]回答表!Y209,IF([8]回答表!AA45="●",[8]回答表!Y275,"")),"")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IF([8]回答表!F17="下水道事業",IF([8]回答表!AD45="●","●",""),"")</f>
        <v/>
      </c>
      <c r="O164" s="99"/>
      <c r="P164" s="99"/>
      <c r="Q164" s="100"/>
      <c r="R164" s="38"/>
      <c r="S164" s="38"/>
      <c r="T164" s="38"/>
      <c r="U164" s="107" t="str">
        <f>IF([8]回答表!F17="下水道事業",IF([8]回答表!AD45="●",[8]回答表!B289,""),"")</f>
        <v/>
      </c>
      <c r="V164" s="108"/>
      <c r="W164" s="108"/>
      <c r="X164" s="108"/>
      <c r="Y164" s="108"/>
      <c r="Z164" s="108"/>
      <c r="AA164" s="108"/>
      <c r="AB164" s="108"/>
      <c r="AC164" s="108"/>
      <c r="AD164" s="108"/>
      <c r="AE164" s="108"/>
      <c r="AF164" s="108"/>
      <c r="AG164" s="108"/>
      <c r="AH164" s="108"/>
      <c r="AI164" s="108"/>
      <c r="AJ164" s="109"/>
      <c r="AK164" s="55"/>
      <c r="AL164" s="55"/>
      <c r="AM164" s="107" t="str">
        <f>IF([8]回答表!F17="下水道事業",IF([8]回答表!AD45="●",[8]回答表!B295,""),"")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IF([8]回答表!BD17="●",IF([8]回答表!X45="●","●",""),"")</f>
        <v/>
      </c>
      <c r="O176" s="99"/>
      <c r="P176" s="99"/>
      <c r="Q176" s="100"/>
      <c r="R176" s="38"/>
      <c r="S176" s="38"/>
      <c r="T176" s="38"/>
      <c r="U176" s="107" t="str">
        <f>IF([8]回答表!BD17="●",IF([8]回答表!X45="●",[8]回答表!B158,IF([8]回答表!AA45="●",[8]回答表!B223,"")),"")</f>
        <v/>
      </c>
      <c r="V176" s="108"/>
      <c r="W176" s="108"/>
      <c r="X176" s="108"/>
      <c r="Y176" s="108"/>
      <c r="Z176" s="108"/>
      <c r="AA176" s="108"/>
      <c r="AB176" s="108"/>
      <c r="AC176" s="108"/>
      <c r="AD176" s="108"/>
      <c r="AE176" s="108"/>
      <c r="AF176" s="108"/>
      <c r="AG176" s="108"/>
      <c r="AH176" s="108"/>
      <c r="AI176" s="108"/>
      <c r="AJ176" s="109"/>
      <c r="AK176" s="49"/>
      <c r="AL176" s="49"/>
      <c r="AM176" s="116" t="str">
        <f>IF([8]回答表!BD17="●",IF([8]回答表!X45="●",[8]回答表!B212,IF([8]回答表!AA45="●",[8]回答表!B278,"")),"")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IF([8]回答表!BD17="●",IF([8]回答表!X45="●",[8]回答表!E212,IF([8]回答表!AA45="●",[8]回答表!E278,"")),"")</f>
        <v/>
      </c>
      <c r="AN179" s="84"/>
      <c r="AO179" s="84"/>
      <c r="AP179" s="84"/>
      <c r="AQ179" s="83" t="str">
        <f>IF([8]回答表!BD17="●",IF([8]回答表!X45="●",[8]回答表!E213,IF([8]回答表!AA45="●",[8]回答表!E279,"")),"")</f>
        <v/>
      </c>
      <c r="AR179" s="84"/>
      <c r="AS179" s="84"/>
      <c r="AT179" s="84"/>
      <c r="AU179" s="83" t="str">
        <f>IF([8]回答表!BD17="●",IF([8]回答表!X45="●",[8]回答表!E214,IF([8]回答表!AA45="●",[8]回答表!E280,"")),"")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IF([8]回答表!BD17="●",IF([8]回答表!AA45="●","●",""),"")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IF([8]回答表!BD17="●",IF([8]回答表!AD45="●","●",""),"")</f>
        <v/>
      </c>
      <c r="O188" s="99"/>
      <c r="P188" s="99"/>
      <c r="Q188" s="100"/>
      <c r="R188" s="38"/>
      <c r="S188" s="38"/>
      <c r="T188" s="38"/>
      <c r="U188" s="107" t="str">
        <f>IF([8]回答表!BD17="●",IF([8]回答表!AD45="●",[8]回答表!B289,""),"")</f>
        <v/>
      </c>
      <c r="V188" s="108"/>
      <c r="W188" s="108"/>
      <c r="X188" s="108"/>
      <c r="Y188" s="108"/>
      <c r="Z188" s="108"/>
      <c r="AA188" s="108"/>
      <c r="AB188" s="108"/>
      <c r="AC188" s="108"/>
      <c r="AD188" s="108"/>
      <c r="AE188" s="108"/>
      <c r="AF188" s="108"/>
      <c r="AG188" s="108"/>
      <c r="AH188" s="108"/>
      <c r="AI188" s="108"/>
      <c r="AJ188" s="109"/>
      <c r="AK188" s="55"/>
      <c r="AL188" s="55"/>
      <c r="AM188" s="107" t="str">
        <f>IF([8]回答表!BD17="●",IF([8]回答表!AD45="●",[8]回答表!B295,""),"")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IF([8]回答表!X46="●","●","")</f>
        <v/>
      </c>
      <c r="O200" s="99"/>
      <c r="P200" s="99"/>
      <c r="Q200" s="100"/>
      <c r="R200" s="38"/>
      <c r="S200" s="38"/>
      <c r="T200" s="38"/>
      <c r="U200" s="107" t="str">
        <f>IF([8]回答表!X46="●",[8]回答表!B307,IF([8]回答表!AA46="●",[8]回答表!B324,""))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IF([8]回答表!X46="●",[8]回答表!U313,IF([8]回答表!AA46="●",[8]回答表!U330,""))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IF([8]回答表!X46="●",[8]回答表!G313,IF([8]回答表!AA46="●",[8]回答表!G330,""))</f>
        <v/>
      </c>
      <c r="AN203" s="120"/>
      <c r="AO203" s="120"/>
      <c r="AP203" s="120"/>
      <c r="AQ203" s="120"/>
      <c r="AR203" s="120"/>
      <c r="AS203" s="120"/>
      <c r="AT203" s="121"/>
      <c r="AU203" s="119" t="str">
        <f>IF([8]回答表!X46="●",[8]回答表!G314,IF([8]回答表!AA46="●",[8]回答表!G331,""))</f>
        <v/>
      </c>
      <c r="AV203" s="120"/>
      <c r="AW203" s="120"/>
      <c r="AX203" s="120"/>
      <c r="AY203" s="120"/>
      <c r="AZ203" s="120"/>
      <c r="BA203" s="120"/>
      <c r="BB203" s="121"/>
      <c r="BC203" s="39"/>
      <c r="BD203" s="34"/>
      <c r="BE203" s="34"/>
      <c r="BF203" s="83" t="str">
        <f>IF([8]回答表!X46="●",[8]回答表!X313,IF([8]回答表!AA46="●",[8]回答表!X330,""))</f>
        <v/>
      </c>
      <c r="BG203" s="84"/>
      <c r="BH203" s="84"/>
      <c r="BI203" s="84"/>
      <c r="BJ203" s="83" t="str">
        <f>IF([8]回答表!X46="●",[8]回答表!X314,IF([8]回答表!AA46="●",[8]回答表!X331,""))</f>
        <v/>
      </c>
      <c r="BK203" s="84"/>
      <c r="BL203" s="84"/>
      <c r="BM203" s="87"/>
      <c r="BN203" s="83" t="str">
        <f>IF([8]回答表!X46="●",[8]回答表!X315,IF([8]回答表!AA46="●",[8]回答表!X332,""))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IF([8]回答表!AA46="●","●","")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IF([8]回答表!AD46="●","●","")</f>
        <v/>
      </c>
      <c r="O212" s="99"/>
      <c r="P212" s="99"/>
      <c r="Q212" s="100"/>
      <c r="R212" s="38"/>
      <c r="S212" s="38"/>
      <c r="T212" s="38"/>
      <c r="U212" s="107" t="str">
        <f>IF([8]回答表!AD46="●",[8]回答表!B337,"")</f>
        <v/>
      </c>
      <c r="V212" s="108"/>
      <c r="W212" s="108"/>
      <c r="X212" s="108"/>
      <c r="Y212" s="108"/>
      <c r="Z212" s="108"/>
      <c r="AA212" s="108"/>
      <c r="AB212" s="108"/>
      <c r="AC212" s="108"/>
      <c r="AD212" s="108"/>
      <c r="AE212" s="108"/>
      <c r="AF212" s="108"/>
      <c r="AG212" s="108"/>
      <c r="AH212" s="108"/>
      <c r="AI212" s="108"/>
      <c r="AJ212" s="109"/>
      <c r="AK212" s="62"/>
      <c r="AL212" s="62"/>
      <c r="AM212" s="107" t="str">
        <f>IF([8]回答表!AD46="●",[8]回答表!B343,"")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IF([8]回答表!X47="●","●","")</f>
        <v/>
      </c>
      <c r="O224" s="99"/>
      <c r="P224" s="99"/>
      <c r="Q224" s="100"/>
      <c r="R224" s="38"/>
      <c r="S224" s="38"/>
      <c r="T224" s="38"/>
      <c r="U224" s="107" t="str">
        <f>IF([8]回答表!X47="●",[8]回答表!B356,IF([8]回答表!AA47="●",[8]回答表!B379,""))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IF([8]回答表!X47="●",[8]回答表!B362,"")</f>
        <v/>
      </c>
      <c r="AO224" s="182"/>
      <c r="AP224" s="182"/>
      <c r="AQ224" s="182"/>
      <c r="AR224" s="182"/>
      <c r="AS224" s="182"/>
      <c r="AT224" s="182"/>
      <c r="AU224" s="182"/>
      <c r="AV224" s="182"/>
      <c r="AW224" s="182"/>
      <c r="AX224" s="182"/>
      <c r="AY224" s="182"/>
      <c r="AZ224" s="182"/>
      <c r="BA224" s="182"/>
      <c r="BB224" s="183"/>
      <c r="BC224" s="39"/>
      <c r="BD224" s="34"/>
      <c r="BE224" s="34"/>
      <c r="BF224" s="116" t="str">
        <f>IF([8]回答表!X47="●",[8]回答表!B368,IF([8]回答表!AA47="●",[8]回答表!B385,""))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IF([8]回答表!X47="●",[8]回答表!E368,IF([8]回答表!AA47="●",[8]回答表!E385,""))</f>
        <v/>
      </c>
      <c r="BG227" s="84"/>
      <c r="BH227" s="84"/>
      <c r="BI227" s="84"/>
      <c r="BJ227" s="83" t="str">
        <f>IF([8]回答表!X47="●",[8]回答表!E369,IF([8]回答表!AA47="●",[8]回答表!E386,""))</f>
        <v/>
      </c>
      <c r="BK227" s="84"/>
      <c r="BL227" s="84"/>
      <c r="BM227" s="87"/>
      <c r="BN227" s="83" t="str">
        <f>IF([8]回答表!X47="●",[8]回答表!E370,IF([8]回答表!AA47="●",[8]回答表!E387,""))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IF([8]回答表!AA47="●","●","")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IF([8]回答表!AD47="●","●","")</f>
        <v/>
      </c>
      <c r="O236" s="99"/>
      <c r="P236" s="99"/>
      <c r="Q236" s="100"/>
      <c r="R236" s="38"/>
      <c r="S236" s="38"/>
      <c r="T236" s="38"/>
      <c r="U236" s="107" t="str">
        <f>IF([8]回答表!AD47="●",[8]回答表!B392,"")</f>
        <v/>
      </c>
      <c r="V236" s="108"/>
      <c r="W236" s="108"/>
      <c r="X236" s="108"/>
      <c r="Y236" s="108"/>
      <c r="Z236" s="108"/>
      <c r="AA236" s="108"/>
      <c r="AB236" s="108"/>
      <c r="AC236" s="108"/>
      <c r="AD236" s="108"/>
      <c r="AE236" s="108"/>
      <c r="AF236" s="108"/>
      <c r="AG236" s="108"/>
      <c r="AH236" s="108"/>
      <c r="AI236" s="108"/>
      <c r="AJ236" s="109"/>
      <c r="AK236" s="62"/>
      <c r="AL236" s="62"/>
      <c r="AM236" s="107" t="str">
        <f>IF([8]回答表!AD47="●",[8]回答表!B398,"")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IF([8]回答表!X48="●","●","")</f>
        <v/>
      </c>
      <c r="O248" s="99"/>
      <c r="P248" s="99"/>
      <c r="Q248" s="100"/>
      <c r="R248" s="38"/>
      <c r="S248" s="38"/>
      <c r="T248" s="38"/>
      <c r="U248" s="107" t="str">
        <f>IF([8]回答表!X48="●",[8]回答表!B411,IF([8]回答表!AA48="●",[8]回答表!B425,""))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IF([8]回答表!X48="●",[8]回答表!BC418,IF([8]回答表!AA48="●",[8]回答表!BC432,""))</f>
        <v/>
      </c>
      <c r="AR248" s="151"/>
      <c r="AS248" s="151"/>
      <c r="AT248" s="151"/>
      <c r="AU248" s="173" t="s">
        <v>73</v>
      </c>
      <c r="AV248" s="174"/>
      <c r="AW248" s="174"/>
      <c r="AX248" s="175"/>
      <c r="AY248" s="151" t="str">
        <f>IF([8]回答表!X48="●",[8]回答表!BC423,IF([8]回答表!AA48="●",[8]回答表!BC437,""))</f>
        <v/>
      </c>
      <c r="AZ248" s="151"/>
      <c r="BA248" s="151"/>
      <c r="BB248" s="151"/>
      <c r="BC248" s="39"/>
      <c r="BD248" s="34"/>
      <c r="BE248" s="34"/>
      <c r="BF248" s="116" t="str">
        <f>IF([8]回答表!X48="●",[8]回答表!S417,IF([8]回答表!AA48="●",[8]回答表!S431,""))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IF([8]回答表!X48="●",[8]回答表!BC419,IF([8]回答表!AA48="●",[8]回答表!BC433,""))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IF([8]回答表!X48="●",[8]回答表!V417,IF([8]回答表!AA48="●",[8]回答表!V431,""))</f>
        <v/>
      </c>
      <c r="BG251" s="84"/>
      <c r="BH251" s="84"/>
      <c r="BI251" s="84"/>
      <c r="BJ251" s="83" t="str">
        <f>IF([8]回答表!X48="●",[8]回答表!V418,IF([8]回答表!AA48="●",[8]回答表!V432,""))</f>
        <v/>
      </c>
      <c r="BK251" s="84"/>
      <c r="BL251" s="84"/>
      <c r="BM251" s="87"/>
      <c r="BN251" s="83" t="str">
        <f>IF([8]回答表!X48="●",[8]回答表!V419,IF([8]回答表!AA48="●",[8]回答表!V433,""))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IF([8]回答表!X48="●",[8]回答表!BC420,IF([8]回答表!AA48="●",[8]回答表!BC434,""))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IF([8]回答表!X48="●",[8]回答表!BC424,IF([8]回答表!AA48="●",[8]回答表!BC438,""))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IF([8]回答表!AA48="●","●","")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IF([8]回答表!X48="●",[8]回答表!BC421,IF([8]回答表!AA48="●",[8]回答表!BC435,""))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IF([8]回答表!X48="●",[8]回答表!BC422,IF([8]回答表!AA48="●",[8]回答表!BC436,""))</f>
        <v/>
      </c>
      <c r="AR256" s="151"/>
      <c r="AS256" s="151"/>
      <c r="AT256" s="151"/>
      <c r="AU256" s="152" t="s">
        <v>79</v>
      </c>
      <c r="AV256" s="153"/>
      <c r="AW256" s="153"/>
      <c r="AX256" s="154"/>
      <c r="AY256" s="158" t="str">
        <f>IF([8]回答表!X48="●",[8]回答表!BC425,IF([8]回答表!AA48="●",[8]回答表!BC439,""))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IF([8]回答表!AD48="●","●","")</f>
        <v/>
      </c>
      <c r="O260" s="99"/>
      <c r="P260" s="99"/>
      <c r="Q260" s="100"/>
      <c r="R260" s="38"/>
      <c r="S260" s="38"/>
      <c r="T260" s="38"/>
      <c r="U260" s="107" t="str">
        <f>IF([8]回答表!AD48="●",[8]回答表!B439,"")</f>
        <v/>
      </c>
      <c r="V260" s="108"/>
      <c r="W260" s="108"/>
      <c r="X260" s="108"/>
      <c r="Y260" s="108"/>
      <c r="Z260" s="108"/>
      <c r="AA260" s="108"/>
      <c r="AB260" s="108"/>
      <c r="AC260" s="108"/>
      <c r="AD260" s="108"/>
      <c r="AE260" s="108"/>
      <c r="AF260" s="108"/>
      <c r="AG260" s="108"/>
      <c r="AH260" s="108"/>
      <c r="AI260" s="108"/>
      <c r="AJ260" s="109"/>
      <c r="AK260" s="55"/>
      <c r="AL260" s="55"/>
      <c r="AM260" s="107" t="str">
        <f>IF([8]回答表!AD48="●",[8]回答表!B445,"")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IF([8]回答表!X49="●","●","")</f>
        <v/>
      </c>
      <c r="O271" s="99"/>
      <c r="P271" s="99"/>
      <c r="Q271" s="100"/>
      <c r="R271" s="38"/>
      <c r="S271" s="38"/>
      <c r="T271" s="38"/>
      <c r="U271" s="107" t="str">
        <f>IF([8]回答表!X49="●",[8]回答表!B458,IF([8]回答表!AA49="●",[8]回答表!B475,""))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IF([8]回答表!X49="●",[8]回答表!B468,IF([8]回答表!AA49="●",[8]回答表!B485,""))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IF([8]回答表!X49="●",[8]回答表!G464,IF([8]回答表!AA49="●",[8]回答表!G481,""))</f>
        <v/>
      </c>
      <c r="AN273" s="120"/>
      <c r="AO273" s="120"/>
      <c r="AP273" s="120"/>
      <c r="AQ273" s="120"/>
      <c r="AR273" s="120"/>
      <c r="AS273" s="120"/>
      <c r="AT273" s="121"/>
      <c r="AU273" s="119" t="str">
        <f>IF([8]回答表!X49="●",[8]回答表!G465,IF([8]回答表!AA49="●",[8]回答表!G482,""))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IF([8]回答表!X49="●",[8]回答表!E468,IF([8]回答表!AA49="●",[8]回答表!E485,""))</f>
        <v/>
      </c>
      <c r="BG274" s="84"/>
      <c r="BH274" s="84"/>
      <c r="BI274" s="84"/>
      <c r="BJ274" s="83" t="str">
        <f>IF([8]回答表!X49="●",[8]回答表!E469,IF([8]回答表!AA49="●",[8]回答表!E486,""))</f>
        <v/>
      </c>
      <c r="BK274" s="84"/>
      <c r="BL274" s="84"/>
      <c r="BM274" s="87"/>
      <c r="BN274" s="83" t="str">
        <f>IF([8]回答表!X49="●",[8]回答表!E470,IF([8]回答表!AA49="●",[8]回答表!E487,""))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IF([8]回答表!AA49="●","●","")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IF([8]回答表!AD49="●","●","")</f>
        <v/>
      </c>
      <c r="O283" s="99"/>
      <c r="P283" s="99"/>
      <c r="Q283" s="100"/>
      <c r="R283" s="38"/>
      <c r="S283" s="38"/>
      <c r="T283" s="38"/>
      <c r="U283" s="107" t="str">
        <f>IF([8]回答表!AD49="●",[8]回答表!B492,"")</f>
        <v/>
      </c>
      <c r="V283" s="108"/>
      <c r="W283" s="108"/>
      <c r="X283" s="108"/>
      <c r="Y283" s="108"/>
      <c r="Z283" s="108"/>
      <c r="AA283" s="108"/>
      <c r="AB283" s="108"/>
      <c r="AC283" s="108"/>
      <c r="AD283" s="108"/>
      <c r="AE283" s="108"/>
      <c r="AF283" s="108"/>
      <c r="AG283" s="108"/>
      <c r="AH283" s="108"/>
      <c r="AI283" s="108"/>
      <c r="AJ283" s="109"/>
      <c r="AK283" s="49"/>
      <c r="AL283" s="49"/>
      <c r="AM283" s="107" t="str">
        <f>IF([8]回答表!AD49="●",[8]回答表!B498,"")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IF([8]回答表!R50="●",[8]回答表!B511,"")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4D870-53CC-4FD6-83B6-F8E2143DECA9}">
  <sheetPr>
    <pageSetUpPr fitToPage="1"/>
  </sheetPr>
  <dimension ref="A1:CN315"/>
  <sheetViews>
    <sheetView showZeros="0" view="pageBreakPreview" zoomScale="60" zoomScaleNormal="55" workbookViewId="0">
      <selection activeCell="BL1" sqref="BL1"/>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IF(COUNTIF([12]回答表!K15,"*")&gt;0,[12]回答表!K15,"")</f>
        <v>大館市</v>
      </c>
      <c r="D11" s="299"/>
      <c r="E11" s="299"/>
      <c r="F11" s="299"/>
      <c r="G11" s="299"/>
      <c r="H11" s="299"/>
      <c r="I11" s="299"/>
      <c r="J11" s="299"/>
      <c r="K11" s="299"/>
      <c r="L11" s="299"/>
      <c r="M11" s="299"/>
      <c r="N11" s="299"/>
      <c r="O11" s="299"/>
      <c r="P11" s="299"/>
      <c r="Q11" s="299"/>
      <c r="R11" s="299"/>
      <c r="S11" s="299"/>
      <c r="T11" s="299"/>
      <c r="U11" s="306" t="str">
        <f>IF(COUNTIF([12]回答表!F17,"*")&gt;0,[12]回答表!F17,"")</f>
        <v>病院事業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IF(COUNTIF([12]回答表!W17,"*")&gt;0,[12]回答表!W17,"")</f>
        <v>―</v>
      </c>
      <c r="AP11" s="301"/>
      <c r="AQ11" s="301"/>
      <c r="AR11" s="301"/>
      <c r="AS11" s="301"/>
      <c r="AT11" s="301"/>
      <c r="AU11" s="301"/>
      <c r="AV11" s="301"/>
      <c r="AW11" s="301"/>
      <c r="AX11" s="301"/>
      <c r="AY11" s="301"/>
      <c r="AZ11" s="301"/>
      <c r="BA11" s="301"/>
      <c r="BB11" s="301"/>
      <c r="BC11" s="301"/>
      <c r="BD11" s="301"/>
      <c r="BE11" s="301"/>
      <c r="BF11" s="302"/>
      <c r="BG11" s="305" t="str">
        <f>IF(COUNTIF([12]回答表!F19,"*")&gt;0,[12]回答表!F19,"")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IF([12]回答表!R43="●","●","")</f>
        <v/>
      </c>
      <c r="E24" s="123"/>
      <c r="F24" s="123"/>
      <c r="G24" s="123"/>
      <c r="H24" s="123"/>
      <c r="I24" s="123"/>
      <c r="J24" s="124"/>
      <c r="K24" s="122" t="str">
        <f>IF([12]回答表!R44="●","●","")</f>
        <v/>
      </c>
      <c r="L24" s="123"/>
      <c r="M24" s="123"/>
      <c r="N24" s="123"/>
      <c r="O24" s="123"/>
      <c r="P24" s="123"/>
      <c r="Q24" s="124"/>
      <c r="R24" s="122" t="str">
        <f>IF([12]回答表!R45="●","●","")</f>
        <v/>
      </c>
      <c r="S24" s="123"/>
      <c r="T24" s="123"/>
      <c r="U24" s="123"/>
      <c r="V24" s="123"/>
      <c r="W24" s="123"/>
      <c r="X24" s="124"/>
      <c r="Y24" s="122" t="str">
        <f>IF([12]回答表!R46="●","●","")</f>
        <v/>
      </c>
      <c r="Z24" s="123"/>
      <c r="AA24" s="123"/>
      <c r="AB24" s="123"/>
      <c r="AC24" s="123"/>
      <c r="AD24" s="123"/>
      <c r="AE24" s="124"/>
      <c r="AF24" s="122" t="str">
        <f>IF([12]回答表!R47="●","●","")</f>
        <v/>
      </c>
      <c r="AG24" s="123"/>
      <c r="AH24" s="123"/>
      <c r="AI24" s="123"/>
      <c r="AJ24" s="123"/>
      <c r="AK24" s="123"/>
      <c r="AL24" s="124"/>
      <c r="AM24" s="122" t="str">
        <f>IF([12]回答表!R48="●","●","")</f>
        <v/>
      </c>
      <c r="AN24" s="123"/>
      <c r="AO24" s="123"/>
      <c r="AP24" s="123"/>
      <c r="AQ24" s="123"/>
      <c r="AR24" s="123"/>
      <c r="AS24" s="124"/>
      <c r="AT24" s="122" t="str">
        <f>IF([12]回答表!R49="●","●","")</f>
        <v/>
      </c>
      <c r="AU24" s="123"/>
      <c r="AV24" s="123"/>
      <c r="AW24" s="123"/>
      <c r="AX24" s="123"/>
      <c r="AY24" s="123"/>
      <c r="AZ24" s="124"/>
      <c r="BA24" s="18"/>
      <c r="BB24" s="119" t="str">
        <f>IF([12]回答表!R50="●","●","")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IF([12]回答表!X43="●","●","")</f>
        <v/>
      </c>
      <c r="O36" s="99"/>
      <c r="P36" s="99"/>
      <c r="Q36" s="100"/>
      <c r="R36" s="38"/>
      <c r="S36" s="38"/>
      <c r="T36" s="38"/>
      <c r="U36" s="107" t="str">
        <f>IF([12]回答表!X43="●",[12]回答表!B59,IF([12]回答表!AA43="●",[12]回答表!B79,""))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IF([12]回答表!X43="●",[12]回答表!S65,IF([12]回答表!AA43="●",[12]回答表!S85,""))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IF([12]回答表!X43="●",[12]回答表!G65,IF([12]回答表!AA43="●",[12]回答表!G85,""))</f>
        <v/>
      </c>
      <c r="AN38" s="120"/>
      <c r="AO38" s="120"/>
      <c r="AP38" s="120"/>
      <c r="AQ38" s="120"/>
      <c r="AR38" s="120"/>
      <c r="AS38" s="120"/>
      <c r="AT38" s="121"/>
      <c r="AU38" s="119" t="str">
        <f>IF([12]回答表!X43="●",[12]回答表!G66,IF([12]回答表!AA43="●",[12]回答表!G86,""))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IF([12]回答表!X43="●",[12]回答表!V65,IF([12]回答表!AA43="●",[12]回答表!V85,""))</f>
        <v/>
      </c>
      <c r="BG39" s="249"/>
      <c r="BH39" s="249"/>
      <c r="BI39" s="250"/>
      <c r="BJ39" s="83" t="str">
        <f>IF([12]回答表!X43="●",[12]回答表!V66,IF([12]回答表!AA43="●",[12]回答表!V86,""))</f>
        <v/>
      </c>
      <c r="BK39" s="249"/>
      <c r="BL39" s="249"/>
      <c r="BM39" s="250"/>
      <c r="BN39" s="83" t="str">
        <f>IF([12]回答表!X43="●",[12]回答表!V67,IF([12]回答表!AA43="●",[12]回答表!V87,""))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IF([12]回答表!X43="●",[12]回答表!O71,IF([12]回答表!AA43="●",[12]回答表!O91,""))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IF([12]回答表!X43="●",[12]回答表!O72,IF([12]回答表!AA43="●",[12]回答表!O92,""))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IF([12]回答表!AA43="●","●","")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IF([12]回答表!X43="●",[12]回答表!O73,IF([12]回答表!AA43="●",[12]回答表!O93,""))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IF([12]回答表!X43="●",[12]回答表!O74,IF([12]回答表!AA43="●",[12]回答表!O94,""))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IF([12]回答表!X43="●",[12]回答表!AG71,IF([12]回答表!AA43="●",[12]回答表!AG91,""))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IF([12]回答表!X43="●",[12]回答表!AG72,IF([12]回答表!AA43="●",[12]回答表!AG92,""))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IF([12]回答表!AD43="●","●","")</f>
        <v/>
      </c>
      <c r="O51" s="99"/>
      <c r="P51" s="99"/>
      <c r="Q51" s="100"/>
      <c r="R51" s="38"/>
      <c r="S51" s="38"/>
      <c r="T51" s="38"/>
      <c r="U51" s="107" t="str">
        <f>IF([12]回答表!AD43="●",[12]回答表!B99,"")</f>
        <v/>
      </c>
      <c r="V51" s="108"/>
      <c r="W51" s="108"/>
      <c r="X51" s="108"/>
      <c r="Y51" s="108"/>
      <c r="Z51" s="108"/>
      <c r="AA51" s="108"/>
      <c r="AB51" s="108"/>
      <c r="AC51" s="108"/>
      <c r="AD51" s="108"/>
      <c r="AE51" s="108"/>
      <c r="AF51" s="108"/>
      <c r="AG51" s="108"/>
      <c r="AH51" s="108"/>
      <c r="AI51" s="108"/>
      <c r="AJ51" s="109"/>
      <c r="AK51" s="55"/>
      <c r="AL51" s="55"/>
      <c r="AM51" s="107" t="str">
        <f>IF([12]回答表!AD43="●",[12]回答表!B104,"")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IF([12]回答表!X44="●","●","")</f>
        <v/>
      </c>
      <c r="O62" s="99"/>
      <c r="P62" s="99"/>
      <c r="Q62" s="100"/>
      <c r="R62" s="38"/>
      <c r="S62" s="38"/>
      <c r="T62" s="38"/>
      <c r="U62" s="107" t="str">
        <f>IF([12]回答表!X44="●",[12]回答表!B115,IF([12]回答表!AA44="●",[12]回答表!B127,""))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IF([12]回答表!X44="●",[12]回答表!S121,IF([12]回答表!AA44="●",[12]回答表!S133,""))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IF([12]回答表!X44="●",[12]回答表!J121,IF([12]回答表!AA44="●",[12]回答表!J133,""))</f>
        <v/>
      </c>
      <c r="AN65" s="120"/>
      <c r="AO65" s="120"/>
      <c r="AP65" s="120"/>
      <c r="AQ65" s="120"/>
      <c r="AR65" s="120"/>
      <c r="AS65" s="120"/>
      <c r="AT65" s="121"/>
      <c r="AU65" s="119" t="str">
        <f>IF([12]回答表!X44="●",[12]回答表!J122,IF([12]回答表!AA44="●",[12]回答表!J134,""))</f>
        <v/>
      </c>
      <c r="AV65" s="120"/>
      <c r="AW65" s="120"/>
      <c r="AX65" s="120"/>
      <c r="AY65" s="120"/>
      <c r="AZ65" s="120"/>
      <c r="BA65" s="120"/>
      <c r="BB65" s="121"/>
      <c r="BC65" s="39"/>
      <c r="BD65" s="34"/>
      <c r="BE65" s="34"/>
      <c r="BF65" s="83" t="str">
        <f>IF([12]回答表!X44="●",[12]回答表!V121,IF([12]回答表!AA44="●",[12]回答表!V133,""))</f>
        <v/>
      </c>
      <c r="BG65" s="84"/>
      <c r="BH65" s="84"/>
      <c r="BI65" s="84"/>
      <c r="BJ65" s="83" t="str">
        <f>IF([12]回答表!X44="●",[12]回答表!V122,IF([12]回答表!AA44="●",[12]回答表!V134,""))</f>
        <v/>
      </c>
      <c r="BK65" s="84"/>
      <c r="BL65" s="84"/>
      <c r="BM65" s="84"/>
      <c r="BN65" s="83" t="str">
        <f>IF([12]回答表!X44="●",[12]回答表!V123,IF([12]回答表!AA44="●",[12]回答表!V135,""))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IF([12]回答表!AA44="●","●","")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IF([12]回答表!AD44="●","●","")</f>
        <v/>
      </c>
      <c r="O74" s="99"/>
      <c r="P74" s="99"/>
      <c r="Q74" s="100"/>
      <c r="R74" s="38"/>
      <c r="S74" s="38"/>
      <c r="T74" s="38"/>
      <c r="U74" s="107" t="str">
        <f>IF([12]回答表!AD44="●",[12]回答表!B140,"")</f>
        <v/>
      </c>
      <c r="V74" s="108"/>
      <c r="W74" s="108"/>
      <c r="X74" s="108"/>
      <c r="Y74" s="108"/>
      <c r="Z74" s="108"/>
      <c r="AA74" s="108"/>
      <c r="AB74" s="108"/>
      <c r="AC74" s="108"/>
      <c r="AD74" s="108"/>
      <c r="AE74" s="108"/>
      <c r="AF74" s="108"/>
      <c r="AG74" s="108"/>
      <c r="AH74" s="108"/>
      <c r="AI74" s="108"/>
      <c r="AJ74" s="109"/>
      <c r="AK74" s="55"/>
      <c r="AL74" s="55"/>
      <c r="AM74" s="107" t="str">
        <f>IF([12]回答表!AD44="●",[12]回答表!B146,"")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IF([12]回答表!F17="水道事業",IF([12]回答表!X45="●","●",""),"")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IF([12]回答表!F17="水道事業",IF([12]回答表!X45="●",[12]回答表!B158,IF([12]回答表!AA45="●",[12]回答表!B223,"")),"")</f>
        <v/>
      </c>
      <c r="AN86" s="212"/>
      <c r="AO86" s="212"/>
      <c r="AP86" s="212"/>
      <c r="AQ86" s="212"/>
      <c r="AR86" s="212"/>
      <c r="AS86" s="212"/>
      <c r="AT86" s="212"/>
      <c r="AU86" s="212"/>
      <c r="AV86" s="212"/>
      <c r="AW86" s="212"/>
      <c r="AX86" s="212"/>
      <c r="AY86" s="212"/>
      <c r="AZ86" s="212"/>
      <c r="BA86" s="212"/>
      <c r="BB86" s="212"/>
      <c r="BC86" s="213"/>
      <c r="BD86" s="34"/>
      <c r="BE86" s="34"/>
      <c r="BF86" s="116" t="str">
        <f>IF([12]回答表!F17="水道事業",IF([12]回答表!X45="●",[12]回答表!B212,IF([12]回答表!AA45="●",[12]回答表!B278,"")),"")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IF([12]回答表!F17="水道事業",IF([12]回答表!X45="●",[12]回答表!J166,IF([12]回答表!AA45="●",[12]回答表!J231,"")),"")</f>
        <v/>
      </c>
      <c r="V88" s="120"/>
      <c r="W88" s="120"/>
      <c r="X88" s="120"/>
      <c r="Y88" s="120"/>
      <c r="Z88" s="120"/>
      <c r="AA88" s="120"/>
      <c r="AB88" s="121"/>
      <c r="AC88" s="119" t="str">
        <f>IF([12]回答表!F17="水道事業",IF([12]回答表!X45="●",[12]回答表!J173,IF([12]回答表!AA45="●",[12]回答表!J238,"")),"")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IF([12]回答表!F17="水道事業",IF([12]回答表!X45="●",[12]回答表!E212,IF([12]回答表!AA45="●",[12]回答表!E278,"")),"")</f>
        <v/>
      </c>
      <c r="BG89" s="84"/>
      <c r="BH89" s="84"/>
      <c r="BI89" s="84"/>
      <c r="BJ89" s="83" t="str">
        <f>IF([12]回答表!F17="水道事業",IF([12]回答表!X45="●",[12]回答表!E213,IF([12]回答表!AA45="●",[12]回答表!E279,"")),"")</f>
        <v/>
      </c>
      <c r="BK89" s="84"/>
      <c r="BL89" s="84"/>
      <c r="BM89" s="84"/>
      <c r="BN89" s="83" t="str">
        <f>IF([12]回答表!F17="水道事業",IF([12]回答表!X45="●",[12]回答表!E214,IF([12]回答表!AA45="●",[12]回答表!E280,"")),"")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IF([12]回答表!F17="水道事業",IF([12]回答表!AA45="●","●",""),"")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IF([12]回答表!F17="水道事業",IF([12]回答表!X45="●",[12]回答表!J176,IF([12]回答表!AA45="●",[12]回答表!J241,"")),"")</f>
        <v/>
      </c>
      <c r="V93" s="120"/>
      <c r="W93" s="120"/>
      <c r="X93" s="120"/>
      <c r="Y93" s="120"/>
      <c r="Z93" s="120"/>
      <c r="AA93" s="120"/>
      <c r="AB93" s="121"/>
      <c r="AC93" s="119" t="str">
        <f>IF([12]回答表!F17="水道事業",IF([12]回答表!X45="●",[12]回答表!J180,IF([12]回答表!AA45="●",[12]回答表!J245,"")),"")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IF([12]回答表!F17="水道事業",IF([12]回答表!AD45="●","●",""),"")</f>
        <v/>
      </c>
      <c r="O98" s="99"/>
      <c r="P98" s="99"/>
      <c r="Q98" s="100"/>
      <c r="R98" s="38"/>
      <c r="S98" s="38"/>
      <c r="T98" s="38"/>
      <c r="U98" s="107" t="str">
        <f>IF([12]回答表!F17="水道事業",IF([12]回答表!AD45="●",[12]回答表!B289,""),"")</f>
        <v/>
      </c>
      <c r="V98" s="108"/>
      <c r="W98" s="108"/>
      <c r="X98" s="108"/>
      <c r="Y98" s="108"/>
      <c r="Z98" s="108"/>
      <c r="AA98" s="108"/>
      <c r="AB98" s="108"/>
      <c r="AC98" s="108"/>
      <c r="AD98" s="108"/>
      <c r="AE98" s="108"/>
      <c r="AF98" s="108"/>
      <c r="AG98" s="108"/>
      <c r="AH98" s="108"/>
      <c r="AI98" s="108"/>
      <c r="AJ98" s="109"/>
      <c r="AK98" s="55"/>
      <c r="AL98" s="55"/>
      <c r="AM98" s="107" t="str">
        <f>IF([12]回答表!F17="水道事業",IF([12]回答表!AD45="●",[12]回答表!B295,""),"")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IF([12]回答表!F17="簡易水道事業",IF([12]回答表!X45="●",[12]回答表!B158,IF([12]回答表!AA45="●",[12]回答表!B223,"")),"")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IF([12]回答表!F17="簡易水道事業",IF([12]回答表!X45="●",[12]回答表!B212,IF([12]回答表!AA45="●",[12]回答表!B278,"")),"")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IF([12]回答表!F17="簡易水道事業",IF([12]回答表!X45="●","●",""),"")</f>
        <v/>
      </c>
      <c r="O112" s="99"/>
      <c r="P112" s="99"/>
      <c r="Q112" s="100"/>
      <c r="R112" s="38"/>
      <c r="S112" s="38"/>
      <c r="T112" s="38"/>
      <c r="U112" s="119" t="str">
        <f>IF([12]回答表!F17="簡易水道事業",IF([12]回答表!X45="●",[12]回答表!Y185,IF([12]回答表!AA45="●",[12]回答表!Y251,"")),"")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IF([12]回答表!F17="簡易水道事業",IF([12]回答表!X45="●",[12]回答表!E212,IF([12]回答表!AA45="●",[12]回答表!E278,"")),"")</f>
        <v/>
      </c>
      <c r="BG113" s="84"/>
      <c r="BH113" s="84"/>
      <c r="BI113" s="84"/>
      <c r="BJ113" s="83" t="str">
        <f>IF([12]回答表!F17="簡易水道事業",IF([12]回答表!X45="●",[12]回答表!E213,IF([12]回答表!AA45="●",[12]回答表!E279,"")),"")</f>
        <v/>
      </c>
      <c r="BK113" s="84"/>
      <c r="BL113" s="84"/>
      <c r="BM113" s="84"/>
      <c r="BN113" s="83" t="str">
        <f>IF([12]回答表!F17="簡易水道事業",IF([12]回答表!X45="●",[12]回答表!E214,IF([12]回答表!AA45="●",[12]回答表!E280,"")),"")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IF([12]回答表!F17="簡易水道事業",IF([12]回答表!X45="●",[12]回答表!Y186,IF([12]回答表!AA45="●",[12]回答表!Y252,"")),"")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IF([12]回答表!F17="簡易水道事業",IF([12]回答表!AA45="●","●",""),"")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IF([12]回答表!F17="簡易水道事業",IF([12]回答表!X45="●",[12]回答表!Y187,IF([12]回答表!AA45="●",[12]回答表!Y253,"")),"")</f>
        <v/>
      </c>
      <c r="V122" s="120"/>
      <c r="W122" s="120"/>
      <c r="X122" s="120"/>
      <c r="Y122" s="120"/>
      <c r="Z122" s="120"/>
      <c r="AA122" s="120"/>
      <c r="AB122" s="120"/>
      <c r="AC122" s="120"/>
      <c r="AD122" s="120"/>
      <c r="AE122" s="120"/>
      <c r="AF122" s="120"/>
      <c r="AG122" s="120"/>
      <c r="AH122" s="120"/>
      <c r="AI122" s="120"/>
      <c r="AJ122" s="121"/>
      <c r="AK122" s="18"/>
      <c r="AL122" s="18"/>
      <c r="AM122" s="228" t="str">
        <f>IF([12]回答表!F17="簡易水道事業",IF([12]回答表!X45="●",[12]回答表!Y189,IF([12]回答表!AA45="●",[12]回答表!Y255,"")),"")</f>
        <v/>
      </c>
      <c r="AN122" s="228"/>
      <c r="AO122" s="228"/>
      <c r="AP122" s="228"/>
      <c r="AQ122" s="228"/>
      <c r="AR122" s="228"/>
      <c r="AS122" s="228" t="str">
        <f>IF([12]回答表!F17="簡易水道事業",IF([12]回答表!X45="●",[12]回答表!Y190,IF([12]回答表!AA45="●",[12]回答表!Y256,"")),"")</f>
        <v/>
      </c>
      <c r="AT122" s="228"/>
      <c r="AU122" s="228"/>
      <c r="AV122" s="228"/>
      <c r="AW122" s="228"/>
      <c r="AX122" s="228"/>
      <c r="AY122" s="228" t="str">
        <f>IF([12]回答表!F17="簡易水道事業",IF([12]回答表!X45="●",[12]回答表!Y191,IF([12]回答表!AA45="●",[12]回答表!Y257,"")),"")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IF([12]回答表!F17="簡易水道事業",IF([12]回答表!AD45="●","●",""),"")</f>
        <v/>
      </c>
      <c r="O127" s="99"/>
      <c r="P127" s="99"/>
      <c r="Q127" s="100"/>
      <c r="R127" s="38"/>
      <c r="S127" s="38"/>
      <c r="T127" s="38"/>
      <c r="U127" s="107" t="str">
        <f>IF([12]回答表!F17="簡易水道事業",IF([12]回答表!AD45="●",[12]回答表!B289,""),"")</f>
        <v/>
      </c>
      <c r="V127" s="108"/>
      <c r="W127" s="108"/>
      <c r="X127" s="108"/>
      <c r="Y127" s="108"/>
      <c r="Z127" s="108"/>
      <c r="AA127" s="108"/>
      <c r="AB127" s="108"/>
      <c r="AC127" s="108"/>
      <c r="AD127" s="108"/>
      <c r="AE127" s="108"/>
      <c r="AF127" s="108"/>
      <c r="AG127" s="108"/>
      <c r="AH127" s="108"/>
      <c r="AI127" s="108"/>
      <c r="AJ127" s="109"/>
      <c r="AK127" s="55"/>
      <c r="AL127" s="55"/>
      <c r="AM127" s="107" t="str">
        <f>IF([12]回答表!F17="簡易水道事業",IF([12]回答表!AD45="●",[12]回答表!B295,""),"")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IF([12]回答表!F17="下水道事業",IF([12]回答表!X45="●","●",""),"")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IF([12]回答表!F17="下水道事業",IF([12]回答表!X45="●",[12]回答表!B158,IF([12]回答表!AA45="●",[12]回答表!B223,"")),"")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IF([12]回答表!F17="下水道事業",IF([12]回答表!X45="●",[12]回答表!B212,IF([12]回答表!AA45="●",[12]回答表!B278,"")),"")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IF([12]回答表!F17="下水道事業",IF([12]回答表!X45="●",[12]回答表!Y193,IF([12]回答表!AA45="●",[12]回答表!Y259,"")),"")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IF([12]回答表!F17="下水道事業",IF([12]回答表!X45="●",[12]回答表!E212,IF([12]回答表!AA45="●",[12]回答表!E278,"")),"")</f>
        <v/>
      </c>
      <c r="BG142" s="84"/>
      <c r="BH142" s="84"/>
      <c r="BI142" s="84"/>
      <c r="BJ142" s="83" t="str">
        <f>IF([12]回答表!F17="下水道事業",IF([12]回答表!X45="●",[12]回答表!E213,IF([12]回答表!AA45="●",[12]回答表!E279,"")),"")</f>
        <v/>
      </c>
      <c r="BK142" s="84"/>
      <c r="BL142" s="84"/>
      <c r="BM142" s="84"/>
      <c r="BN142" s="83" t="str">
        <f>IF([12]回答表!F17="下水道事業",IF([12]回答表!X45="●",[12]回答表!E214,IF([12]回答表!AA45="●",[12]回答表!E280,"")),"")</f>
        <v/>
      </c>
      <c r="BO142" s="84"/>
      <c r="BP142" s="84"/>
      <c r="BQ142" s="87"/>
      <c r="BR142" s="37"/>
      <c r="BX142" s="211" t="str">
        <f>IF([12]回答表!AQ20="下水道事業",IF([12]回答表!BI48="○",[12]回答表!AM161,IF([12]回答表!BL48="○",[12]回答表!AM226,"")),"")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IF([12]回答表!F17="下水道事業",IF([12]回答表!X45="●",[12]回答表!Y195,IF([12]回答表!AA45="●",[12]回答表!Y261,"")),"")</f>
        <v/>
      </c>
      <c r="V147" s="120"/>
      <c r="W147" s="120"/>
      <c r="X147" s="120"/>
      <c r="Y147" s="120"/>
      <c r="Z147" s="120"/>
      <c r="AA147" s="120"/>
      <c r="AB147" s="121"/>
      <c r="AC147" s="119" t="str">
        <f>IF([12]回答表!F17="下水道事業",IF([12]回答表!X45="●",[12]回答表!Y196,IF([12]回答表!AA45="●",[12]回答表!Y262,"")),"")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IF([12]回答表!F17="下水道事業",IF([12]回答表!X45="●",[12]回答表!Y198,IF([12]回答表!AA45="●",[12]回答表!Y264,"")),"")</f>
        <v/>
      </c>
      <c r="V153" s="120"/>
      <c r="W153" s="120"/>
      <c r="X153" s="120"/>
      <c r="Y153" s="120"/>
      <c r="Z153" s="120"/>
      <c r="AA153" s="120"/>
      <c r="AB153" s="121"/>
      <c r="AC153" s="119" t="str">
        <f>IF([12]回答表!F17="下水道事業",IF([12]回答表!X45="●",[12]回答表!Y199,IF([12]回答表!AA45="●",[12]回答表!Y265,"")),"")</f>
        <v/>
      </c>
      <c r="AD153" s="120"/>
      <c r="AE153" s="120"/>
      <c r="AF153" s="120"/>
      <c r="AG153" s="120"/>
      <c r="AH153" s="120"/>
      <c r="AI153" s="120"/>
      <c r="AJ153" s="121"/>
      <c r="AK153" s="119" t="str">
        <f>IF([12]回答表!F17="下水道事業",IF([12]回答表!X45="●",[12]回答表!Y200,IF([12]回答表!AA45="●",[12]回答表!Y266,"")),"")</f>
        <v/>
      </c>
      <c r="AL153" s="120"/>
      <c r="AM153" s="120"/>
      <c r="AN153" s="120"/>
      <c r="AO153" s="120"/>
      <c r="AP153" s="120"/>
      <c r="AQ153" s="120"/>
      <c r="AR153" s="121"/>
      <c r="AS153" s="119" t="str">
        <f>IF([12]回答表!F17="下水道事業",IF([12]回答表!X45="●",[12]回答表!Y201,IF([12]回答表!AA45="●",[12]回答表!Y267,"")),"")</f>
        <v/>
      </c>
      <c r="AT153" s="120"/>
      <c r="AU153" s="120"/>
      <c r="AV153" s="120"/>
      <c r="AW153" s="120"/>
      <c r="AX153" s="120"/>
      <c r="AY153" s="120"/>
      <c r="AZ153" s="121"/>
      <c r="BA153" s="119" t="str">
        <f>IF([12]回答表!F17="下水道事業",IF([12]回答表!X45="●",[12]回答表!Y202,IF([12]回答表!AA45="●",[12]回答表!Y268,"")),"")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IF([12]回答表!F17="下水道事業",IF([12]回答表!AA45="●","●",""),"")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IF([12]回答表!F17="下水道事業",IF([12]回答表!X45="●",[12]回答表!Y207,IF([12]回答表!AA45="●",[12]回答表!Y273,"")),"")</f>
        <v/>
      </c>
      <c r="V159" s="120"/>
      <c r="W159" s="120"/>
      <c r="X159" s="120"/>
      <c r="Y159" s="120"/>
      <c r="Z159" s="120"/>
      <c r="AA159" s="120"/>
      <c r="AB159" s="121"/>
      <c r="AC159" s="119" t="str">
        <f>IF([12]回答表!F17="下水道事業",IF([12]回答表!X45="●",[12]回答表!Y208,IF([12]回答表!AA45="●",[12]回答表!Y274,"")),"")</f>
        <v/>
      </c>
      <c r="AD159" s="120"/>
      <c r="AE159" s="120"/>
      <c r="AF159" s="120"/>
      <c r="AG159" s="120"/>
      <c r="AH159" s="120"/>
      <c r="AI159" s="120"/>
      <c r="AJ159" s="121"/>
      <c r="AK159" s="119" t="str">
        <f>IF([12]回答表!F17="下水道事業",IF([12]回答表!X45="●",[12]回答表!Y209,IF([12]回答表!AA45="●",[12]回答表!Y275,"")),"")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IF([12]回答表!F17="下水道事業",IF([12]回答表!AD45="●","●",""),"")</f>
        <v/>
      </c>
      <c r="O164" s="99"/>
      <c r="P164" s="99"/>
      <c r="Q164" s="100"/>
      <c r="R164" s="38"/>
      <c r="S164" s="38"/>
      <c r="T164" s="38"/>
      <c r="U164" s="107" t="str">
        <f>IF([12]回答表!F17="下水道事業",IF([12]回答表!AD45="●",[12]回答表!B289,""),"")</f>
        <v/>
      </c>
      <c r="V164" s="108"/>
      <c r="W164" s="108"/>
      <c r="X164" s="108"/>
      <c r="Y164" s="108"/>
      <c r="Z164" s="108"/>
      <c r="AA164" s="108"/>
      <c r="AB164" s="108"/>
      <c r="AC164" s="108"/>
      <c r="AD164" s="108"/>
      <c r="AE164" s="108"/>
      <c r="AF164" s="108"/>
      <c r="AG164" s="108"/>
      <c r="AH164" s="108"/>
      <c r="AI164" s="108"/>
      <c r="AJ164" s="109"/>
      <c r="AK164" s="55"/>
      <c r="AL164" s="55"/>
      <c r="AM164" s="107" t="str">
        <f>IF([12]回答表!F17="下水道事業",IF([12]回答表!AD45="●",[12]回答表!B295,""),"")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IF([12]回答表!BD17="●",IF([12]回答表!X45="●","●",""),"")</f>
        <v/>
      </c>
      <c r="O176" s="99"/>
      <c r="P176" s="99"/>
      <c r="Q176" s="100"/>
      <c r="R176" s="38"/>
      <c r="S176" s="38"/>
      <c r="T176" s="38"/>
      <c r="U176" s="107" t="str">
        <f>IF([12]回答表!BD17="●",IF([12]回答表!X45="●",[12]回答表!B158,IF([12]回答表!AA45="●",[12]回答表!B223,"")),"")</f>
        <v/>
      </c>
      <c r="V176" s="108"/>
      <c r="W176" s="108"/>
      <c r="X176" s="108"/>
      <c r="Y176" s="108"/>
      <c r="Z176" s="108"/>
      <c r="AA176" s="108"/>
      <c r="AB176" s="108"/>
      <c r="AC176" s="108"/>
      <c r="AD176" s="108"/>
      <c r="AE176" s="108"/>
      <c r="AF176" s="108"/>
      <c r="AG176" s="108"/>
      <c r="AH176" s="108"/>
      <c r="AI176" s="108"/>
      <c r="AJ176" s="109"/>
      <c r="AK176" s="49"/>
      <c r="AL176" s="49"/>
      <c r="AM176" s="116" t="str">
        <f>IF([12]回答表!BD17="●",IF([12]回答表!X45="●",[12]回答表!B212,IF([12]回答表!AA45="●",[12]回答表!B278,"")),"")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IF([12]回答表!BD17="●",IF([12]回答表!X45="●",[12]回答表!E212,IF([12]回答表!AA45="●",[12]回答表!E278,"")),"")</f>
        <v/>
      </c>
      <c r="AN179" s="84"/>
      <c r="AO179" s="84"/>
      <c r="AP179" s="84"/>
      <c r="AQ179" s="83" t="str">
        <f>IF([12]回答表!BD17="●",IF([12]回答表!X45="●",[12]回答表!E213,IF([12]回答表!AA45="●",[12]回答表!E279,"")),"")</f>
        <v/>
      </c>
      <c r="AR179" s="84"/>
      <c r="AS179" s="84"/>
      <c r="AT179" s="84"/>
      <c r="AU179" s="83" t="str">
        <f>IF([12]回答表!BD17="●",IF([12]回答表!X45="●",[12]回答表!E214,IF([12]回答表!AA45="●",[12]回答表!E280,"")),"")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IF([12]回答表!BD17="●",IF([12]回答表!AA45="●","●",""),"")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IF([12]回答表!BD17="●",IF([12]回答表!AD45="●","●",""),"")</f>
        <v/>
      </c>
      <c r="O188" s="99"/>
      <c r="P188" s="99"/>
      <c r="Q188" s="100"/>
      <c r="R188" s="38"/>
      <c r="S188" s="38"/>
      <c r="T188" s="38"/>
      <c r="U188" s="107" t="str">
        <f>IF([12]回答表!BD17="●",IF([12]回答表!AD45="●",[12]回答表!B289,""),"")</f>
        <v/>
      </c>
      <c r="V188" s="108"/>
      <c r="W188" s="108"/>
      <c r="X188" s="108"/>
      <c r="Y188" s="108"/>
      <c r="Z188" s="108"/>
      <c r="AA188" s="108"/>
      <c r="AB188" s="108"/>
      <c r="AC188" s="108"/>
      <c r="AD188" s="108"/>
      <c r="AE188" s="108"/>
      <c r="AF188" s="108"/>
      <c r="AG188" s="108"/>
      <c r="AH188" s="108"/>
      <c r="AI188" s="108"/>
      <c r="AJ188" s="109"/>
      <c r="AK188" s="55"/>
      <c r="AL188" s="55"/>
      <c r="AM188" s="107" t="str">
        <f>IF([12]回答表!BD17="●",IF([12]回答表!AD45="●",[12]回答表!B295,""),"")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IF([12]回答表!X46="●","●","")</f>
        <v/>
      </c>
      <c r="O200" s="99"/>
      <c r="P200" s="99"/>
      <c r="Q200" s="100"/>
      <c r="R200" s="38"/>
      <c r="S200" s="38"/>
      <c r="T200" s="38"/>
      <c r="U200" s="107" t="str">
        <f>IF([12]回答表!X46="●",[12]回答表!B307,IF([12]回答表!AA46="●",[12]回答表!B324,""))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IF([12]回答表!X46="●",[12]回答表!U313,IF([12]回答表!AA46="●",[12]回答表!U330,""))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IF([12]回答表!X46="●",[12]回答表!G313,IF([12]回答表!AA46="●",[12]回答表!G330,""))</f>
        <v/>
      </c>
      <c r="AN203" s="120"/>
      <c r="AO203" s="120"/>
      <c r="AP203" s="120"/>
      <c r="AQ203" s="120"/>
      <c r="AR203" s="120"/>
      <c r="AS203" s="120"/>
      <c r="AT203" s="121"/>
      <c r="AU203" s="119" t="str">
        <f>IF([12]回答表!X46="●",[12]回答表!G314,IF([12]回答表!AA46="●",[12]回答表!G331,""))</f>
        <v/>
      </c>
      <c r="AV203" s="120"/>
      <c r="AW203" s="120"/>
      <c r="AX203" s="120"/>
      <c r="AY203" s="120"/>
      <c r="AZ203" s="120"/>
      <c r="BA203" s="120"/>
      <c r="BB203" s="121"/>
      <c r="BC203" s="39"/>
      <c r="BD203" s="34"/>
      <c r="BE203" s="34"/>
      <c r="BF203" s="83" t="str">
        <f>IF([12]回答表!X46="●",[12]回答表!X313,IF([12]回答表!AA46="●",[12]回答表!X330,""))</f>
        <v/>
      </c>
      <c r="BG203" s="84"/>
      <c r="BH203" s="84"/>
      <c r="BI203" s="84"/>
      <c r="BJ203" s="83" t="str">
        <f>IF([12]回答表!X46="●",[12]回答表!X314,IF([12]回答表!AA46="●",[12]回答表!X331,""))</f>
        <v/>
      </c>
      <c r="BK203" s="84"/>
      <c r="BL203" s="84"/>
      <c r="BM203" s="87"/>
      <c r="BN203" s="83" t="str">
        <f>IF([12]回答表!X46="●",[12]回答表!X315,IF([12]回答表!AA46="●",[12]回答表!X332,""))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IF([12]回答表!AA46="●","●","")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IF([12]回答表!AD46="●","●","")</f>
        <v/>
      </c>
      <c r="O212" s="99"/>
      <c r="P212" s="99"/>
      <c r="Q212" s="100"/>
      <c r="R212" s="38"/>
      <c r="S212" s="38"/>
      <c r="T212" s="38"/>
      <c r="U212" s="107" t="str">
        <f>IF([12]回答表!AD46="●",[12]回答表!B337,"")</f>
        <v/>
      </c>
      <c r="V212" s="108"/>
      <c r="W212" s="108"/>
      <c r="X212" s="108"/>
      <c r="Y212" s="108"/>
      <c r="Z212" s="108"/>
      <c r="AA212" s="108"/>
      <c r="AB212" s="108"/>
      <c r="AC212" s="108"/>
      <c r="AD212" s="108"/>
      <c r="AE212" s="108"/>
      <c r="AF212" s="108"/>
      <c r="AG212" s="108"/>
      <c r="AH212" s="108"/>
      <c r="AI212" s="108"/>
      <c r="AJ212" s="109"/>
      <c r="AK212" s="62"/>
      <c r="AL212" s="62"/>
      <c r="AM212" s="107" t="str">
        <f>IF([12]回答表!AD46="●",[12]回答表!B343,"")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IF([12]回答表!X47="●","●","")</f>
        <v/>
      </c>
      <c r="O224" s="99"/>
      <c r="P224" s="99"/>
      <c r="Q224" s="100"/>
      <c r="R224" s="38"/>
      <c r="S224" s="38"/>
      <c r="T224" s="38"/>
      <c r="U224" s="107" t="str">
        <f>IF([12]回答表!X47="●",[12]回答表!B356,IF([12]回答表!AA47="●",[12]回答表!B379,""))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IF([12]回答表!X47="●",[12]回答表!B362,"")</f>
        <v/>
      </c>
      <c r="AO224" s="182"/>
      <c r="AP224" s="182"/>
      <c r="AQ224" s="182"/>
      <c r="AR224" s="182"/>
      <c r="AS224" s="182"/>
      <c r="AT224" s="182"/>
      <c r="AU224" s="182"/>
      <c r="AV224" s="182"/>
      <c r="AW224" s="182"/>
      <c r="AX224" s="182"/>
      <c r="AY224" s="182"/>
      <c r="AZ224" s="182"/>
      <c r="BA224" s="182"/>
      <c r="BB224" s="183"/>
      <c r="BC224" s="39"/>
      <c r="BD224" s="34"/>
      <c r="BE224" s="34"/>
      <c r="BF224" s="116" t="str">
        <f>IF([12]回答表!X47="●",[12]回答表!B368,IF([12]回答表!AA47="●",[12]回答表!B385,""))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IF([12]回答表!X47="●",[12]回答表!E368,IF([12]回答表!AA47="●",[12]回答表!E385,""))</f>
        <v/>
      </c>
      <c r="BG227" s="84"/>
      <c r="BH227" s="84"/>
      <c r="BI227" s="84"/>
      <c r="BJ227" s="83" t="str">
        <f>IF([12]回答表!X47="●",[12]回答表!E369,IF([12]回答表!AA47="●",[12]回答表!E386,""))</f>
        <v/>
      </c>
      <c r="BK227" s="84"/>
      <c r="BL227" s="84"/>
      <c r="BM227" s="87"/>
      <c r="BN227" s="83" t="str">
        <f>IF([12]回答表!X47="●",[12]回答表!E370,IF([12]回答表!AA47="●",[12]回答表!E387,""))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IF([12]回答表!AA47="●","●","")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IF([12]回答表!AD47="●","●","")</f>
        <v/>
      </c>
      <c r="O236" s="99"/>
      <c r="P236" s="99"/>
      <c r="Q236" s="100"/>
      <c r="R236" s="38"/>
      <c r="S236" s="38"/>
      <c r="T236" s="38"/>
      <c r="U236" s="107" t="str">
        <f>IF([12]回答表!AD47="●",[12]回答表!B392,"")</f>
        <v/>
      </c>
      <c r="V236" s="108"/>
      <c r="W236" s="108"/>
      <c r="X236" s="108"/>
      <c r="Y236" s="108"/>
      <c r="Z236" s="108"/>
      <c r="AA236" s="108"/>
      <c r="AB236" s="108"/>
      <c r="AC236" s="108"/>
      <c r="AD236" s="108"/>
      <c r="AE236" s="108"/>
      <c r="AF236" s="108"/>
      <c r="AG236" s="108"/>
      <c r="AH236" s="108"/>
      <c r="AI236" s="108"/>
      <c r="AJ236" s="109"/>
      <c r="AK236" s="62"/>
      <c r="AL236" s="62"/>
      <c r="AM236" s="107" t="str">
        <f>IF([12]回答表!AD47="●",[12]回答表!B398,"")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IF([12]回答表!X48="●","●","")</f>
        <v/>
      </c>
      <c r="O248" s="99"/>
      <c r="P248" s="99"/>
      <c r="Q248" s="100"/>
      <c r="R248" s="38"/>
      <c r="S248" s="38"/>
      <c r="T248" s="38"/>
      <c r="U248" s="107" t="str">
        <f>IF([12]回答表!X48="●",[12]回答表!B411,IF([12]回答表!AA48="●",[12]回答表!B425,""))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IF([12]回答表!X48="●",[12]回答表!BC418,IF([12]回答表!AA48="●",[12]回答表!BC432,""))</f>
        <v/>
      </c>
      <c r="AR248" s="151"/>
      <c r="AS248" s="151"/>
      <c r="AT248" s="151"/>
      <c r="AU248" s="173" t="s">
        <v>73</v>
      </c>
      <c r="AV248" s="174"/>
      <c r="AW248" s="174"/>
      <c r="AX248" s="175"/>
      <c r="AY248" s="151" t="str">
        <f>IF([12]回答表!X48="●",[12]回答表!BC423,IF([12]回答表!AA48="●",[12]回答表!BC437,""))</f>
        <v/>
      </c>
      <c r="AZ248" s="151"/>
      <c r="BA248" s="151"/>
      <c r="BB248" s="151"/>
      <c r="BC248" s="39"/>
      <c r="BD248" s="34"/>
      <c r="BE248" s="34"/>
      <c r="BF248" s="116" t="str">
        <f>IF([12]回答表!X48="●",[12]回答表!S417,IF([12]回答表!AA48="●",[12]回答表!S431,""))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IF([12]回答表!X48="●",[12]回答表!BC419,IF([12]回答表!AA48="●",[12]回答表!BC433,""))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IF([12]回答表!X48="●",[12]回答表!V417,IF([12]回答表!AA48="●",[12]回答表!V431,""))</f>
        <v/>
      </c>
      <c r="BG251" s="84"/>
      <c r="BH251" s="84"/>
      <c r="BI251" s="84"/>
      <c r="BJ251" s="83" t="str">
        <f>IF([12]回答表!X48="●",[12]回答表!V418,IF([12]回答表!AA48="●",[12]回答表!V432,""))</f>
        <v/>
      </c>
      <c r="BK251" s="84"/>
      <c r="BL251" s="84"/>
      <c r="BM251" s="87"/>
      <c r="BN251" s="83" t="str">
        <f>IF([12]回答表!X48="●",[12]回答表!V419,IF([12]回答表!AA48="●",[12]回答表!V433,""))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IF([12]回答表!X48="●",[12]回答表!BC420,IF([12]回答表!AA48="●",[12]回答表!BC434,""))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IF([12]回答表!X48="●",[12]回答表!BC424,IF([12]回答表!AA48="●",[12]回答表!BC438,""))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IF([12]回答表!AA48="●","●","")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IF([12]回答表!X48="●",[12]回答表!BC421,IF([12]回答表!AA48="●",[12]回答表!BC435,""))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IF([12]回答表!X48="●",[12]回答表!BC422,IF([12]回答表!AA48="●",[12]回答表!BC436,""))</f>
        <v/>
      </c>
      <c r="AR256" s="151"/>
      <c r="AS256" s="151"/>
      <c r="AT256" s="151"/>
      <c r="AU256" s="152" t="s">
        <v>79</v>
      </c>
      <c r="AV256" s="153"/>
      <c r="AW256" s="153"/>
      <c r="AX256" s="154"/>
      <c r="AY256" s="158" t="str">
        <f>IF([12]回答表!X48="●",[12]回答表!BC425,IF([12]回答表!AA48="●",[12]回答表!BC439,""))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IF([12]回答表!AD48="●","●","")</f>
        <v/>
      </c>
      <c r="O260" s="99"/>
      <c r="P260" s="99"/>
      <c r="Q260" s="100"/>
      <c r="R260" s="38"/>
      <c r="S260" s="38"/>
      <c r="T260" s="38"/>
      <c r="U260" s="107" t="str">
        <f>IF([12]回答表!AD48="●",[12]回答表!B439,"")</f>
        <v/>
      </c>
      <c r="V260" s="108"/>
      <c r="W260" s="108"/>
      <c r="X260" s="108"/>
      <c r="Y260" s="108"/>
      <c r="Z260" s="108"/>
      <c r="AA260" s="108"/>
      <c r="AB260" s="108"/>
      <c r="AC260" s="108"/>
      <c r="AD260" s="108"/>
      <c r="AE260" s="108"/>
      <c r="AF260" s="108"/>
      <c r="AG260" s="108"/>
      <c r="AH260" s="108"/>
      <c r="AI260" s="108"/>
      <c r="AJ260" s="109"/>
      <c r="AK260" s="55"/>
      <c r="AL260" s="55"/>
      <c r="AM260" s="107" t="str">
        <f>IF([12]回答表!AD48="●",[12]回答表!B445,"")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IF([12]回答表!X49="●","●","")</f>
        <v/>
      </c>
      <c r="O271" s="99"/>
      <c r="P271" s="99"/>
      <c r="Q271" s="100"/>
      <c r="R271" s="38"/>
      <c r="S271" s="38"/>
      <c r="T271" s="38"/>
      <c r="U271" s="107" t="str">
        <f>IF([12]回答表!X49="●",[12]回答表!B458,IF([12]回答表!AA49="●",[12]回答表!B475,""))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IF([12]回答表!X49="●",[12]回答表!B468,IF([12]回答表!AA49="●",[12]回答表!B485,""))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IF([12]回答表!X49="●",[12]回答表!G464,IF([12]回答表!AA49="●",[12]回答表!G481,""))</f>
        <v/>
      </c>
      <c r="AN273" s="120"/>
      <c r="AO273" s="120"/>
      <c r="AP273" s="120"/>
      <c r="AQ273" s="120"/>
      <c r="AR273" s="120"/>
      <c r="AS273" s="120"/>
      <c r="AT273" s="121"/>
      <c r="AU273" s="119" t="str">
        <f>IF([12]回答表!X49="●",[12]回答表!G465,IF([12]回答表!AA49="●",[12]回答表!G482,""))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IF([12]回答表!X49="●",[12]回答表!E468,IF([12]回答表!AA49="●",[12]回答表!E485,""))</f>
        <v/>
      </c>
      <c r="BG274" s="84"/>
      <c r="BH274" s="84"/>
      <c r="BI274" s="84"/>
      <c r="BJ274" s="83" t="str">
        <f>IF([12]回答表!X49="●",[12]回答表!E469,IF([12]回答表!AA49="●",[12]回答表!E486,""))</f>
        <v/>
      </c>
      <c r="BK274" s="84"/>
      <c r="BL274" s="84"/>
      <c r="BM274" s="87"/>
      <c r="BN274" s="83" t="str">
        <f>IF([12]回答表!X49="●",[12]回答表!E470,IF([12]回答表!AA49="●",[12]回答表!E487,""))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IF([12]回答表!AA49="●","●","")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IF([12]回答表!AD49="●","●","")</f>
        <v/>
      </c>
      <c r="O283" s="99"/>
      <c r="P283" s="99"/>
      <c r="Q283" s="100"/>
      <c r="R283" s="38"/>
      <c r="S283" s="38"/>
      <c r="T283" s="38"/>
      <c r="U283" s="107" t="str">
        <f>IF([12]回答表!AD49="●",[12]回答表!B492,"")</f>
        <v/>
      </c>
      <c r="V283" s="108"/>
      <c r="W283" s="108"/>
      <c r="X283" s="108"/>
      <c r="Y283" s="108"/>
      <c r="Z283" s="108"/>
      <c r="AA283" s="108"/>
      <c r="AB283" s="108"/>
      <c r="AC283" s="108"/>
      <c r="AD283" s="108"/>
      <c r="AE283" s="108"/>
      <c r="AF283" s="108"/>
      <c r="AG283" s="108"/>
      <c r="AH283" s="108"/>
      <c r="AI283" s="108"/>
      <c r="AJ283" s="109"/>
      <c r="AK283" s="49"/>
      <c r="AL283" s="49"/>
      <c r="AM283" s="107" t="str">
        <f>IF([12]回答表!AD49="●",[12]回答表!B498,"")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IF([12]回答表!R50="●",[12]回答表!B511,"")</f>
        <v>　扇田病院の患者数の減少等による経営状況の悪化から資金不足が発生しており、現行の体制では収益の改善は難しく、施設の老朽化も進んでいることから、現在経営層で構成される「経営戦略会議」において将来の方向性を協議中である。</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821F-1FD6-4C30-AEB0-C9E403DEE5F6}">
  <sheetPr>
    <pageSetUpPr fitToPage="1"/>
  </sheetPr>
  <dimension ref="A1:CN315"/>
  <sheetViews>
    <sheetView showZeros="0" view="pageBreakPreview" zoomScale="60" zoomScaleNormal="55" workbookViewId="0">
      <selection activeCell="C8" sqref="C8:T1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IF(COUNTIF([1]回答表!K15,"*")&gt;0,[1]回答表!K15,"")</f>
        <v>大館市</v>
      </c>
      <c r="D11" s="299"/>
      <c r="E11" s="299"/>
      <c r="F11" s="299"/>
      <c r="G11" s="299"/>
      <c r="H11" s="299"/>
      <c r="I11" s="299"/>
      <c r="J11" s="299"/>
      <c r="K11" s="299"/>
      <c r="L11" s="299"/>
      <c r="M11" s="299"/>
      <c r="N11" s="299"/>
      <c r="O11" s="299"/>
      <c r="P11" s="299"/>
      <c r="Q11" s="299"/>
      <c r="R11" s="299"/>
      <c r="S11" s="299"/>
      <c r="T11" s="299"/>
      <c r="U11" s="306" t="str">
        <f>IF(COUNTIF([1]回答表!F17,"*")&gt;0,[1]回答表!F17,"")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IF(COUNTIF([1]回答表!W17,"*")&gt;0,[1]回答表!W17,"")</f>
        <v>公共下水道</v>
      </c>
      <c r="AP11" s="301"/>
      <c r="AQ11" s="301"/>
      <c r="AR11" s="301"/>
      <c r="AS11" s="301"/>
      <c r="AT11" s="301"/>
      <c r="AU11" s="301"/>
      <c r="AV11" s="301"/>
      <c r="AW11" s="301"/>
      <c r="AX11" s="301"/>
      <c r="AY11" s="301"/>
      <c r="AZ11" s="301"/>
      <c r="BA11" s="301"/>
      <c r="BB11" s="301"/>
      <c r="BC11" s="301"/>
      <c r="BD11" s="301"/>
      <c r="BE11" s="301"/>
      <c r="BF11" s="302"/>
      <c r="BG11" s="305" t="str">
        <f>IF(COUNTIF([1]回答表!F19,"*")&gt;0,[1]回答表!F19,"")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IF([1]回答表!R43="●","●","")</f>
        <v/>
      </c>
      <c r="E24" s="123"/>
      <c r="F24" s="123"/>
      <c r="G24" s="123"/>
      <c r="H24" s="123"/>
      <c r="I24" s="123"/>
      <c r="J24" s="124"/>
      <c r="K24" s="122" t="str">
        <f>IF([1]回答表!R44="●","●","")</f>
        <v/>
      </c>
      <c r="L24" s="123"/>
      <c r="M24" s="123"/>
      <c r="N24" s="123"/>
      <c r="O24" s="123"/>
      <c r="P24" s="123"/>
      <c r="Q24" s="124"/>
      <c r="R24" s="122" t="str">
        <f>IF([1]回答表!R45="●","●","")</f>
        <v>●</v>
      </c>
      <c r="S24" s="123"/>
      <c r="T24" s="123"/>
      <c r="U24" s="123"/>
      <c r="V24" s="123"/>
      <c r="W24" s="123"/>
      <c r="X24" s="124"/>
      <c r="Y24" s="122" t="str">
        <f>IF([1]回答表!R46="●","●","")</f>
        <v/>
      </c>
      <c r="Z24" s="123"/>
      <c r="AA24" s="123"/>
      <c r="AB24" s="123"/>
      <c r="AC24" s="123"/>
      <c r="AD24" s="123"/>
      <c r="AE24" s="124"/>
      <c r="AF24" s="122" t="str">
        <f>IF([1]回答表!R47="●","●","")</f>
        <v/>
      </c>
      <c r="AG24" s="123"/>
      <c r="AH24" s="123"/>
      <c r="AI24" s="123"/>
      <c r="AJ24" s="123"/>
      <c r="AK24" s="123"/>
      <c r="AL24" s="124"/>
      <c r="AM24" s="122" t="str">
        <f>IF([1]回答表!R48="●","●","")</f>
        <v/>
      </c>
      <c r="AN24" s="123"/>
      <c r="AO24" s="123"/>
      <c r="AP24" s="123"/>
      <c r="AQ24" s="123"/>
      <c r="AR24" s="123"/>
      <c r="AS24" s="124"/>
      <c r="AT24" s="122" t="str">
        <f>IF([1]回答表!R49="●","●","")</f>
        <v/>
      </c>
      <c r="AU24" s="123"/>
      <c r="AV24" s="123"/>
      <c r="AW24" s="123"/>
      <c r="AX24" s="123"/>
      <c r="AY24" s="123"/>
      <c r="AZ24" s="124"/>
      <c r="BA24" s="18"/>
      <c r="BB24" s="119" t="str">
        <f>IF([1]回答表!R50="●","●","")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IF([1]回答表!X43="●","●","")</f>
        <v/>
      </c>
      <c r="O36" s="99"/>
      <c r="P36" s="99"/>
      <c r="Q36" s="100"/>
      <c r="R36" s="38"/>
      <c r="S36" s="38"/>
      <c r="T36" s="38"/>
      <c r="U36" s="107" t="str">
        <f>IF([1]回答表!X43="●",[1]回答表!B59,IF([1]回答表!AA43="●",[1]回答表!B79,""))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IF([1]回答表!X43="●",[1]回答表!S65,IF([1]回答表!AA43="●",[1]回答表!S85,""))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IF([1]回答表!X43="●",[1]回答表!G65,IF([1]回答表!AA43="●",[1]回答表!G85,""))</f>
        <v/>
      </c>
      <c r="AN38" s="120"/>
      <c r="AO38" s="120"/>
      <c r="AP38" s="120"/>
      <c r="AQ38" s="120"/>
      <c r="AR38" s="120"/>
      <c r="AS38" s="120"/>
      <c r="AT38" s="121"/>
      <c r="AU38" s="119" t="str">
        <f>IF([1]回答表!X43="●",[1]回答表!G66,IF([1]回答表!AA43="●",[1]回答表!G86,""))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IF([1]回答表!X43="●",[1]回答表!V65,IF([1]回答表!AA43="●",[1]回答表!V85,""))</f>
        <v/>
      </c>
      <c r="BG39" s="249"/>
      <c r="BH39" s="249"/>
      <c r="BI39" s="250"/>
      <c r="BJ39" s="83" t="str">
        <f>IF([1]回答表!X43="●",[1]回答表!V66,IF([1]回答表!AA43="●",[1]回答表!V86,""))</f>
        <v/>
      </c>
      <c r="BK39" s="249"/>
      <c r="BL39" s="249"/>
      <c r="BM39" s="250"/>
      <c r="BN39" s="83" t="str">
        <f>IF([1]回答表!X43="●",[1]回答表!V67,IF([1]回答表!AA43="●",[1]回答表!V87,""))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IF([1]回答表!X43="●",[1]回答表!O71,IF([1]回答表!AA43="●",[1]回答表!O91,""))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IF([1]回答表!X43="●",[1]回答表!O72,IF([1]回答表!AA43="●",[1]回答表!O92,""))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IF([1]回答表!X43="●",[1]回答表!O73,IF([1]回答表!AA43="●",[1]回答表!O93,""))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IF([1]回答表!X43="●",[1]回答表!O74,IF([1]回答表!AA43="●",[1]回答表!O94,""))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IF([1]回答表!X43="●",[1]回答表!AG71,IF([1]回答表!AA43="●",[1]回答表!AG91,""))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IF([1]回答表!X43="●",[1]回答表!AG72,IF([1]回答表!AA43="●",[1]回答表!AG92,""))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IF([1]回答表!AD43="●","●","")</f>
        <v/>
      </c>
      <c r="O51" s="99"/>
      <c r="P51" s="99"/>
      <c r="Q51" s="100"/>
      <c r="R51" s="38"/>
      <c r="S51" s="38"/>
      <c r="T51" s="38"/>
      <c r="U51" s="107" t="str">
        <f>IF([1]回答表!AD43="●",[1]回答表!B99,"")</f>
        <v/>
      </c>
      <c r="V51" s="108"/>
      <c r="W51" s="108"/>
      <c r="X51" s="108"/>
      <c r="Y51" s="108"/>
      <c r="Z51" s="108"/>
      <c r="AA51" s="108"/>
      <c r="AB51" s="108"/>
      <c r="AC51" s="108"/>
      <c r="AD51" s="108"/>
      <c r="AE51" s="108"/>
      <c r="AF51" s="108"/>
      <c r="AG51" s="108"/>
      <c r="AH51" s="108"/>
      <c r="AI51" s="108"/>
      <c r="AJ51" s="109"/>
      <c r="AK51" s="55"/>
      <c r="AL51" s="55"/>
      <c r="AM51" s="107" t="str">
        <f>IF([1]回答表!AD43="●",[1]回答表!B104,"")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IF([1]回答表!X44="●","●","")</f>
        <v/>
      </c>
      <c r="O62" s="99"/>
      <c r="P62" s="99"/>
      <c r="Q62" s="100"/>
      <c r="R62" s="38"/>
      <c r="S62" s="38"/>
      <c r="T62" s="38"/>
      <c r="U62" s="107" t="str">
        <f>IF([1]回答表!X44="●",[1]回答表!B115,IF([1]回答表!AA44="●",[1]回答表!B127,""))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IF([1]回答表!X44="●",[1]回答表!S121,IF([1]回答表!AA44="●",[1]回答表!S133,""))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IF([1]回答表!X44="●",[1]回答表!J121,IF([1]回答表!AA44="●",[1]回答表!J133,""))</f>
        <v/>
      </c>
      <c r="AN65" s="120"/>
      <c r="AO65" s="120"/>
      <c r="AP65" s="120"/>
      <c r="AQ65" s="120"/>
      <c r="AR65" s="120"/>
      <c r="AS65" s="120"/>
      <c r="AT65" s="121"/>
      <c r="AU65" s="119" t="str">
        <f>IF([1]回答表!X44="●",[1]回答表!J122,IF([1]回答表!AA44="●",[1]回答表!J134,""))</f>
        <v/>
      </c>
      <c r="AV65" s="120"/>
      <c r="AW65" s="120"/>
      <c r="AX65" s="120"/>
      <c r="AY65" s="120"/>
      <c r="AZ65" s="120"/>
      <c r="BA65" s="120"/>
      <c r="BB65" s="121"/>
      <c r="BC65" s="39"/>
      <c r="BD65" s="34"/>
      <c r="BE65" s="34"/>
      <c r="BF65" s="83" t="str">
        <f>IF([1]回答表!X44="●",[1]回答表!V121,IF([1]回答表!AA44="●",[1]回答表!V133,""))</f>
        <v/>
      </c>
      <c r="BG65" s="84"/>
      <c r="BH65" s="84"/>
      <c r="BI65" s="84"/>
      <c r="BJ65" s="83" t="str">
        <f>IF([1]回答表!X44="●",[1]回答表!V122,IF([1]回答表!AA44="●",[1]回答表!V134,""))</f>
        <v/>
      </c>
      <c r="BK65" s="84"/>
      <c r="BL65" s="84"/>
      <c r="BM65" s="84"/>
      <c r="BN65" s="83" t="str">
        <f>IF([1]回答表!X44="●",[1]回答表!V123,IF([1]回答表!AA44="●",[1]回答表!V135,""))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IF([1]回答表!AD44="●","●","")</f>
        <v/>
      </c>
      <c r="O74" s="99"/>
      <c r="P74" s="99"/>
      <c r="Q74" s="100"/>
      <c r="R74" s="38"/>
      <c r="S74" s="38"/>
      <c r="T74" s="38"/>
      <c r="U74" s="107" t="str">
        <f>IF([1]回答表!AD44="●",[1]回答表!B140,"")</f>
        <v/>
      </c>
      <c r="V74" s="108"/>
      <c r="W74" s="108"/>
      <c r="X74" s="108"/>
      <c r="Y74" s="108"/>
      <c r="Z74" s="108"/>
      <c r="AA74" s="108"/>
      <c r="AB74" s="108"/>
      <c r="AC74" s="108"/>
      <c r="AD74" s="108"/>
      <c r="AE74" s="108"/>
      <c r="AF74" s="108"/>
      <c r="AG74" s="108"/>
      <c r="AH74" s="108"/>
      <c r="AI74" s="108"/>
      <c r="AJ74" s="109"/>
      <c r="AK74" s="55"/>
      <c r="AL74" s="55"/>
      <c r="AM74" s="107" t="str">
        <f>IF([1]回答表!AD44="●",[1]回答表!B146,"")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IF([1]回答表!F17="水道事業",IF([1]回答表!X45="●","●",""),"")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IF([1]回答表!F17="水道事業",IF([1]回答表!X45="●",[1]回答表!B158,IF([1]回答表!AA45="●",[1]回答表!B223,"")),"")</f>
        <v/>
      </c>
      <c r="AN86" s="212"/>
      <c r="AO86" s="212"/>
      <c r="AP86" s="212"/>
      <c r="AQ86" s="212"/>
      <c r="AR86" s="212"/>
      <c r="AS86" s="212"/>
      <c r="AT86" s="212"/>
      <c r="AU86" s="212"/>
      <c r="AV86" s="212"/>
      <c r="AW86" s="212"/>
      <c r="AX86" s="212"/>
      <c r="AY86" s="212"/>
      <c r="AZ86" s="212"/>
      <c r="BA86" s="212"/>
      <c r="BB86" s="212"/>
      <c r="BC86" s="213"/>
      <c r="BD86" s="34"/>
      <c r="BE86" s="34"/>
      <c r="BF86" s="116" t="str">
        <f>IF([1]回答表!F17="水道事業",IF([1]回答表!X45="●",[1]回答表!B212,IF([1]回答表!AA45="●",[1]回答表!B278,"")),"")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IF([1]回答表!F17="水道事業",IF([1]回答表!X45="●",[1]回答表!J166,IF([1]回答表!AA45="●",[1]回答表!J231,"")),"")</f>
        <v/>
      </c>
      <c r="V88" s="120"/>
      <c r="W88" s="120"/>
      <c r="X88" s="120"/>
      <c r="Y88" s="120"/>
      <c r="Z88" s="120"/>
      <c r="AA88" s="120"/>
      <c r="AB88" s="121"/>
      <c r="AC88" s="119" t="str">
        <f>IF([1]回答表!F17="水道事業",IF([1]回答表!X45="●",[1]回答表!J173,IF([1]回答表!AA45="●",[1]回答表!J238,"")),"")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IF([1]回答表!F17="水道事業",IF([1]回答表!X45="●",[1]回答表!E212,IF([1]回答表!AA45="●",[1]回答表!E278,"")),"")</f>
        <v/>
      </c>
      <c r="BG89" s="84"/>
      <c r="BH89" s="84"/>
      <c r="BI89" s="84"/>
      <c r="BJ89" s="83" t="str">
        <f>IF([1]回答表!F17="水道事業",IF([1]回答表!X45="●",[1]回答表!E213,IF([1]回答表!AA45="●",[1]回答表!E279,"")),"")</f>
        <v/>
      </c>
      <c r="BK89" s="84"/>
      <c r="BL89" s="84"/>
      <c r="BM89" s="84"/>
      <c r="BN89" s="83" t="str">
        <f>IF([1]回答表!F17="水道事業",IF([1]回答表!X45="●",[1]回答表!E214,IF([1]回答表!AA45="●",[1]回答表!E280,"")),"")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IF([1]回答表!F17="水道事業",IF([1]回答表!AA45="●","●",""),"")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IF([1]回答表!F17="水道事業",IF([1]回答表!X45="●",[1]回答表!J176,IF([1]回答表!AA45="●",[1]回答表!J241,"")),"")</f>
        <v/>
      </c>
      <c r="V93" s="120"/>
      <c r="W93" s="120"/>
      <c r="X93" s="120"/>
      <c r="Y93" s="120"/>
      <c r="Z93" s="120"/>
      <c r="AA93" s="120"/>
      <c r="AB93" s="121"/>
      <c r="AC93" s="119" t="str">
        <f>IF([1]回答表!F17="水道事業",IF([1]回答表!X45="●",[1]回答表!J180,IF([1]回答表!AA45="●",[1]回答表!J245,"")),"")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IF([1]回答表!F17="水道事業",IF([1]回答表!AD45="●","●",""),"")</f>
        <v/>
      </c>
      <c r="O98" s="99"/>
      <c r="P98" s="99"/>
      <c r="Q98" s="100"/>
      <c r="R98" s="38"/>
      <c r="S98" s="38"/>
      <c r="T98" s="38"/>
      <c r="U98" s="107" t="str">
        <f>IF([1]回答表!F17="水道事業",IF([1]回答表!AD45="●",[1]回答表!B289,""),"")</f>
        <v/>
      </c>
      <c r="V98" s="108"/>
      <c r="W98" s="108"/>
      <c r="X98" s="108"/>
      <c r="Y98" s="108"/>
      <c r="Z98" s="108"/>
      <c r="AA98" s="108"/>
      <c r="AB98" s="108"/>
      <c r="AC98" s="108"/>
      <c r="AD98" s="108"/>
      <c r="AE98" s="108"/>
      <c r="AF98" s="108"/>
      <c r="AG98" s="108"/>
      <c r="AH98" s="108"/>
      <c r="AI98" s="108"/>
      <c r="AJ98" s="109"/>
      <c r="AK98" s="55"/>
      <c r="AL98" s="55"/>
      <c r="AM98" s="107" t="str">
        <f>IF([1]回答表!F17="水道事業",IF([1]回答表!AD45="●",[1]回答表!B295,""),"")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IF([1]回答表!F17="簡易水道事業",IF([1]回答表!X45="●",[1]回答表!B158,IF([1]回答表!AA45="●",[1]回答表!B223,"")),"")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IF([1]回答表!F17="簡易水道事業",IF([1]回答表!X45="●",[1]回答表!B212,IF([1]回答表!AA45="●",[1]回答表!B278,"")),"")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IF([1]回答表!F17="簡易水道事業",IF([1]回答表!X45="●","●",""),"")</f>
        <v/>
      </c>
      <c r="O112" s="99"/>
      <c r="P112" s="99"/>
      <c r="Q112" s="100"/>
      <c r="R112" s="38"/>
      <c r="S112" s="38"/>
      <c r="T112" s="38"/>
      <c r="U112" s="119" t="str">
        <f>IF([1]回答表!F17="簡易水道事業",IF([1]回答表!X45="●",[1]回答表!Y185,IF([1]回答表!AA45="●",[1]回答表!Y251,"")),"")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IF([1]回答表!F17="簡易水道事業",IF([1]回答表!X45="●",[1]回答表!E212,IF([1]回答表!AA45="●",[1]回答表!E278,"")),"")</f>
        <v/>
      </c>
      <c r="BG113" s="84"/>
      <c r="BH113" s="84"/>
      <c r="BI113" s="84"/>
      <c r="BJ113" s="83" t="str">
        <f>IF([1]回答表!F17="簡易水道事業",IF([1]回答表!X45="●",[1]回答表!E213,IF([1]回答表!AA45="●",[1]回答表!E279,"")),"")</f>
        <v/>
      </c>
      <c r="BK113" s="84"/>
      <c r="BL113" s="84"/>
      <c r="BM113" s="84"/>
      <c r="BN113" s="83" t="str">
        <f>IF([1]回答表!F17="簡易水道事業",IF([1]回答表!X45="●",[1]回答表!E214,IF([1]回答表!AA45="●",[1]回答表!E280,"")),"")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IF([1]回答表!F17="簡易水道事業",IF([1]回答表!X45="●",[1]回答表!Y186,IF([1]回答表!AA45="●",[1]回答表!Y252,"")),"")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IF([1]回答表!F17="簡易水道事業",IF([1]回答表!AA45="●","●",""),"")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IF([1]回答表!F17="簡易水道事業",IF([1]回答表!X45="●",[1]回答表!Y187,IF([1]回答表!AA45="●",[1]回答表!Y253,"")),"")</f>
        <v/>
      </c>
      <c r="V122" s="120"/>
      <c r="W122" s="120"/>
      <c r="X122" s="120"/>
      <c r="Y122" s="120"/>
      <c r="Z122" s="120"/>
      <c r="AA122" s="120"/>
      <c r="AB122" s="120"/>
      <c r="AC122" s="120"/>
      <c r="AD122" s="120"/>
      <c r="AE122" s="120"/>
      <c r="AF122" s="120"/>
      <c r="AG122" s="120"/>
      <c r="AH122" s="120"/>
      <c r="AI122" s="120"/>
      <c r="AJ122" s="121"/>
      <c r="AK122" s="18"/>
      <c r="AL122" s="18"/>
      <c r="AM122" s="228" t="str">
        <f>IF([1]回答表!F17="簡易水道事業",IF([1]回答表!X45="●",[1]回答表!Y189,IF([1]回答表!AA45="●",[1]回答表!Y255,"")),"")</f>
        <v/>
      </c>
      <c r="AN122" s="228"/>
      <c r="AO122" s="228"/>
      <c r="AP122" s="228"/>
      <c r="AQ122" s="228"/>
      <c r="AR122" s="228"/>
      <c r="AS122" s="228" t="str">
        <f>IF([1]回答表!F17="簡易水道事業",IF([1]回答表!X45="●",[1]回答表!Y190,IF([1]回答表!AA45="●",[1]回答表!Y256,"")),"")</f>
        <v/>
      </c>
      <c r="AT122" s="228"/>
      <c r="AU122" s="228"/>
      <c r="AV122" s="228"/>
      <c r="AW122" s="228"/>
      <c r="AX122" s="228"/>
      <c r="AY122" s="228" t="str">
        <f>IF([1]回答表!F17="簡易水道事業",IF([1]回答表!X45="●",[1]回答表!Y191,IF([1]回答表!AA45="●",[1]回答表!Y257,"")),"")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IF([1]回答表!F17="簡易水道事業",IF([1]回答表!AD45="●","●",""),"")</f>
        <v/>
      </c>
      <c r="O127" s="99"/>
      <c r="P127" s="99"/>
      <c r="Q127" s="100"/>
      <c r="R127" s="38"/>
      <c r="S127" s="38"/>
      <c r="T127" s="38"/>
      <c r="U127" s="107" t="str">
        <f>IF([1]回答表!F17="簡易水道事業",IF([1]回答表!AD45="●",[1]回答表!B289,""),"")</f>
        <v/>
      </c>
      <c r="V127" s="108"/>
      <c r="W127" s="108"/>
      <c r="X127" s="108"/>
      <c r="Y127" s="108"/>
      <c r="Z127" s="108"/>
      <c r="AA127" s="108"/>
      <c r="AB127" s="108"/>
      <c r="AC127" s="108"/>
      <c r="AD127" s="108"/>
      <c r="AE127" s="108"/>
      <c r="AF127" s="108"/>
      <c r="AG127" s="108"/>
      <c r="AH127" s="108"/>
      <c r="AI127" s="108"/>
      <c r="AJ127" s="109"/>
      <c r="AK127" s="55"/>
      <c r="AL127" s="55"/>
      <c r="AM127" s="107" t="str">
        <f>IF([1]回答表!F17="簡易水道事業",IF([1]回答表!AD45="●",[1]回答表!B295,""),"")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33" customHeight="1" x14ac:dyDescent="0.4">
      <c r="C139" s="32"/>
      <c r="D139" s="190" t="s">
        <v>18</v>
      </c>
      <c r="E139" s="190"/>
      <c r="F139" s="190"/>
      <c r="G139" s="190"/>
      <c r="H139" s="190"/>
      <c r="I139" s="190"/>
      <c r="J139" s="190"/>
      <c r="K139" s="190"/>
      <c r="L139" s="190"/>
      <c r="M139" s="190"/>
      <c r="N139" s="98" t="str">
        <f>IF([1]回答表!F17="下水道事業",IF([1]回答表!X45="●","●",""),"")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IF([1]回答表!F17="下水道事業",IF([1]回答表!X45="●",[1]回答表!B158,IF([1]回答表!AA45="●",[1]回答表!B223,"")),"")</f>
        <v>　し尿受入施設を下水道終末処理場の大館処理センター敷地内に建設し、搬入されたし尿等を大館処理センターの汚泥処理系と共同処理をし、発生した脱水汚泥は秋田県の県北地区広域汚泥資源化施設で資源化する。これにより、現在の同等施設の更新建設事業費等と比較すると900百万円の削減が見込まれるほか、維持管理費等も70百万円/年の削減が見込まれる。</v>
      </c>
      <c r="AN139" s="212"/>
      <c r="AO139" s="212"/>
      <c r="AP139" s="212"/>
      <c r="AQ139" s="212"/>
      <c r="AR139" s="212"/>
      <c r="AS139" s="212"/>
      <c r="AT139" s="212"/>
      <c r="AU139" s="212"/>
      <c r="AV139" s="212"/>
      <c r="AW139" s="212"/>
      <c r="AX139" s="212"/>
      <c r="AY139" s="212"/>
      <c r="AZ139" s="212"/>
      <c r="BA139" s="212"/>
      <c r="BB139" s="212"/>
      <c r="BC139" s="213"/>
      <c r="BD139" s="34"/>
      <c r="BE139" s="34"/>
      <c r="BF139" s="116" t="str">
        <f>IF([1]回答表!F17="下水道事業",IF([1]回答表!X45="●",[1]回答表!B212,IF([1]回答表!AA45="●",[1]回答表!B278,"")),"")</f>
        <v>令和</v>
      </c>
      <c r="BG139" s="117"/>
      <c r="BH139" s="117"/>
      <c r="BI139" s="117"/>
      <c r="BJ139" s="116"/>
      <c r="BK139" s="117"/>
      <c r="BL139" s="117"/>
      <c r="BM139" s="117"/>
      <c r="BN139" s="116"/>
      <c r="BO139" s="117"/>
      <c r="BP139" s="117"/>
      <c r="BQ139" s="118"/>
      <c r="BR139" s="37"/>
    </row>
    <row r="140" spans="3:92" ht="33"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33"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IF([1]回答表!F17="下水道事業",IF([1]回答表!X45="●",[1]回答表!Y193,IF([1]回答表!AA45="●",[1]回答表!Y259,"")),"")</f>
        <v xml:space="preserve">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33"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f>IF([1]回答表!F17="下水道事業",IF([1]回答表!X45="●",[1]回答表!E212,IF([1]回答表!AA45="●",[1]回答表!E278,"")),"")</f>
        <v>6</v>
      </c>
      <c r="BG142" s="84"/>
      <c r="BH142" s="84"/>
      <c r="BI142" s="84"/>
      <c r="BJ142" s="83">
        <f>IF([1]回答表!F17="下水道事業",IF([1]回答表!X45="●",[1]回答表!E213,IF([1]回答表!AA45="●",[1]回答表!E279,"")),"")</f>
        <v>4</v>
      </c>
      <c r="BK142" s="84"/>
      <c r="BL142" s="84"/>
      <c r="BM142" s="84"/>
      <c r="BN142" s="83">
        <f>IF([1]回答表!F17="下水道事業",IF([1]回答表!X45="●",[1]回答表!E214,IF([1]回答表!AA45="●",[1]回答表!E280,"")),"")</f>
        <v>1</v>
      </c>
      <c r="BO142" s="84"/>
      <c r="BP142" s="84"/>
      <c r="BQ142" s="87"/>
      <c r="BR142" s="37"/>
      <c r="BX142" s="211" t="str">
        <f>IF([1]回答表!AQ20="下水道事業",IF([1]回答表!BI48="○",[1]回答表!AM161,IF([1]回答表!BL48="○",[1]回答表!AM226,"")),"")</f>
        <v/>
      </c>
      <c r="BY142" s="212"/>
      <c r="BZ142" s="212"/>
      <c r="CA142" s="212"/>
      <c r="CB142" s="212"/>
      <c r="CC142" s="212"/>
      <c r="CD142" s="212"/>
      <c r="CE142" s="212"/>
      <c r="CF142" s="212"/>
      <c r="CG142" s="212"/>
      <c r="CH142" s="212"/>
      <c r="CI142" s="212"/>
      <c r="CJ142" s="212"/>
      <c r="CK142" s="212"/>
      <c r="CL142" s="212"/>
      <c r="CM142" s="212"/>
      <c r="CN142" s="213"/>
    </row>
    <row r="143" spans="3:92" ht="33"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33"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33"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33"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33" customHeight="1" x14ac:dyDescent="0.4">
      <c r="C147" s="32"/>
      <c r="D147" s="18"/>
      <c r="E147" s="18"/>
      <c r="F147" s="18"/>
      <c r="G147" s="18"/>
      <c r="H147" s="18"/>
      <c r="I147" s="18"/>
      <c r="J147" s="18"/>
      <c r="K147" s="18"/>
      <c r="L147" s="18"/>
      <c r="M147" s="18"/>
      <c r="N147" s="18"/>
      <c r="O147" s="18"/>
      <c r="P147" s="34"/>
      <c r="Q147" s="34"/>
      <c r="R147" s="34"/>
      <c r="S147" s="38"/>
      <c r="T147" s="38"/>
      <c r="U147" s="119">
        <f>IF([1]回答表!F17="下水道事業",IF([1]回答表!X45="●",[1]回答表!Y195,IF([1]回答表!AA45="●",[1]回答表!Y261,"")),"")</f>
        <v>0</v>
      </c>
      <c r="V147" s="120"/>
      <c r="W147" s="120"/>
      <c r="X147" s="120"/>
      <c r="Y147" s="120"/>
      <c r="Z147" s="120"/>
      <c r="AA147" s="120"/>
      <c r="AB147" s="121"/>
      <c r="AC147" s="119" t="str">
        <f>IF([1]回答表!F17="下水道事業",IF([1]回答表!X45="●",[1]回答表!Y196,IF([1]回答表!AA45="●",[1]回答表!Y262,"")),"")</f>
        <v xml:space="preserve">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33"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IF([1]回答表!F17="下水道事業",IF([1]回答表!X45="●",[1]回答表!Y198,IF([1]回答表!AA45="●",[1]回答表!Y264,"")),"")</f>
        <v xml:space="preserve"> </v>
      </c>
      <c r="V153" s="120"/>
      <c r="W153" s="120"/>
      <c r="X153" s="120"/>
      <c r="Y153" s="120"/>
      <c r="Z153" s="120"/>
      <c r="AA153" s="120"/>
      <c r="AB153" s="121"/>
      <c r="AC153" s="119" t="str">
        <f>IF([1]回答表!F17="下水道事業",IF([1]回答表!X45="●",[1]回答表!Y199,IF([1]回答表!AA45="●",[1]回答表!Y265,"")),"")</f>
        <v xml:space="preserve"> </v>
      </c>
      <c r="AD153" s="120"/>
      <c r="AE153" s="120"/>
      <c r="AF153" s="120"/>
      <c r="AG153" s="120"/>
      <c r="AH153" s="120"/>
      <c r="AI153" s="120"/>
      <c r="AJ153" s="121"/>
      <c r="AK153" s="119">
        <f>IF([1]回答表!F17="下水道事業",IF([1]回答表!X45="●",[1]回答表!Y200,IF([1]回答表!AA45="●",[1]回答表!Y266,"")),"")</f>
        <v>0</v>
      </c>
      <c r="AL153" s="120"/>
      <c r="AM153" s="120"/>
      <c r="AN153" s="120"/>
      <c r="AO153" s="120"/>
      <c r="AP153" s="120"/>
      <c r="AQ153" s="120"/>
      <c r="AR153" s="121"/>
      <c r="AS153" s="119" t="str">
        <f>IF([1]回答表!F17="下水道事業",IF([1]回答表!X45="●",[1]回答表!Y201,IF([1]回答表!AA45="●",[1]回答表!Y267,"")),"")</f>
        <v xml:space="preserve"> </v>
      </c>
      <c r="AT153" s="120"/>
      <c r="AU153" s="120"/>
      <c r="AV153" s="120"/>
      <c r="AW153" s="120"/>
      <c r="AX153" s="120"/>
      <c r="AY153" s="120"/>
      <c r="AZ153" s="121"/>
      <c r="BA153" s="119" t="str">
        <f>IF([1]回答表!F17="下水道事業",IF([1]回答表!X45="●",[1]回答表!Y202,IF([1]回答表!AA45="●",[1]回答表!Y268,"")),"")</f>
        <v>●</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IF([1]回答表!F17="下水道事業",IF([1]回答表!AA45="●","●",""),"")</f>
        <v>●</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IF([1]回答表!F17="下水道事業",IF([1]回答表!X45="●",[1]回答表!Y207,IF([1]回答表!AA45="●",[1]回答表!Y273,"")),"")</f>
        <v>●</v>
      </c>
      <c r="V159" s="120"/>
      <c r="W159" s="120"/>
      <c r="X159" s="120"/>
      <c r="Y159" s="120"/>
      <c r="Z159" s="120"/>
      <c r="AA159" s="120"/>
      <c r="AB159" s="121"/>
      <c r="AC159" s="119" t="str">
        <f>IF([1]回答表!F17="下水道事業",IF([1]回答表!X45="●",[1]回答表!Y208,IF([1]回答表!AA45="●",[1]回答表!Y274,"")),"")</f>
        <v xml:space="preserve"> </v>
      </c>
      <c r="AD159" s="120"/>
      <c r="AE159" s="120"/>
      <c r="AF159" s="120"/>
      <c r="AG159" s="120"/>
      <c r="AH159" s="120"/>
      <c r="AI159" s="120"/>
      <c r="AJ159" s="121"/>
      <c r="AK159" s="119" t="str">
        <f>IF([1]回答表!F17="下水道事業",IF([1]回答表!X45="●",[1]回答表!Y209,IF([1]回答表!AA45="●",[1]回答表!Y275,"")),"")</f>
        <v xml:space="preserve">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IF([1]回答表!F17="下水道事業",IF([1]回答表!AD45="●","●",""),"")</f>
        <v/>
      </c>
      <c r="O164" s="99"/>
      <c r="P164" s="99"/>
      <c r="Q164" s="100"/>
      <c r="R164" s="38"/>
      <c r="S164" s="38"/>
      <c r="T164" s="38"/>
      <c r="U164" s="107" t="str">
        <f>IF([1]回答表!F17="下水道事業",IF([1]回答表!AD45="●",[1]回答表!B289,""),"")</f>
        <v/>
      </c>
      <c r="V164" s="108"/>
      <c r="W164" s="108"/>
      <c r="X164" s="108"/>
      <c r="Y164" s="108"/>
      <c r="Z164" s="108"/>
      <c r="AA164" s="108"/>
      <c r="AB164" s="108"/>
      <c r="AC164" s="108"/>
      <c r="AD164" s="108"/>
      <c r="AE164" s="108"/>
      <c r="AF164" s="108"/>
      <c r="AG164" s="108"/>
      <c r="AH164" s="108"/>
      <c r="AI164" s="108"/>
      <c r="AJ164" s="109"/>
      <c r="AK164" s="55"/>
      <c r="AL164" s="55"/>
      <c r="AM164" s="107" t="str">
        <f>IF([1]回答表!F17="下水道事業",IF([1]回答表!AD45="●",[1]回答表!B295,""),"")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IF([1]回答表!BD17="●",IF([1]回答表!X45="●","●",""),"")</f>
        <v/>
      </c>
      <c r="O176" s="99"/>
      <c r="P176" s="99"/>
      <c r="Q176" s="100"/>
      <c r="R176" s="38"/>
      <c r="S176" s="38"/>
      <c r="T176" s="38"/>
      <c r="U176" s="107" t="str">
        <f>IF([1]回答表!BD17="●",IF([1]回答表!X45="●",[1]回答表!B158,IF([1]回答表!AA45="●",[1]回答表!B223,"")),"")</f>
        <v/>
      </c>
      <c r="V176" s="108"/>
      <c r="W176" s="108"/>
      <c r="X176" s="108"/>
      <c r="Y176" s="108"/>
      <c r="Z176" s="108"/>
      <c r="AA176" s="108"/>
      <c r="AB176" s="108"/>
      <c r="AC176" s="108"/>
      <c r="AD176" s="108"/>
      <c r="AE176" s="108"/>
      <c r="AF176" s="108"/>
      <c r="AG176" s="108"/>
      <c r="AH176" s="108"/>
      <c r="AI176" s="108"/>
      <c r="AJ176" s="109"/>
      <c r="AK176" s="49"/>
      <c r="AL176" s="49"/>
      <c r="AM176" s="116" t="str">
        <f>IF([1]回答表!BD17="●",IF([1]回答表!X45="●",[1]回答表!B212,IF([1]回答表!AA45="●",[1]回答表!B278,"")),"")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IF([1]回答表!BD17="●",IF([1]回答表!X45="●",[1]回答表!E212,IF([1]回答表!AA45="●",[1]回答表!E278,"")),"")</f>
        <v/>
      </c>
      <c r="AN179" s="84"/>
      <c r="AO179" s="84"/>
      <c r="AP179" s="84"/>
      <c r="AQ179" s="83" t="str">
        <f>IF([1]回答表!BD17="●",IF([1]回答表!X45="●",[1]回答表!E213,IF([1]回答表!AA45="●",[1]回答表!E279,"")),"")</f>
        <v/>
      </c>
      <c r="AR179" s="84"/>
      <c r="AS179" s="84"/>
      <c r="AT179" s="84"/>
      <c r="AU179" s="83" t="str">
        <f>IF([1]回答表!BD17="●",IF([1]回答表!X45="●",[1]回答表!E214,IF([1]回答表!AA45="●",[1]回答表!E280,"")),"")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IF([1]回答表!BD17="●",IF([1]回答表!AA45="●","●",""),"")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IF([1]回答表!BD17="●",IF([1]回答表!AD45="●","●",""),"")</f>
        <v/>
      </c>
      <c r="O188" s="99"/>
      <c r="P188" s="99"/>
      <c r="Q188" s="100"/>
      <c r="R188" s="38"/>
      <c r="S188" s="38"/>
      <c r="T188" s="38"/>
      <c r="U188" s="107" t="str">
        <f>IF([1]回答表!BD17="●",IF([1]回答表!AD45="●",[1]回答表!B289,""),"")</f>
        <v/>
      </c>
      <c r="V188" s="108"/>
      <c r="W188" s="108"/>
      <c r="X188" s="108"/>
      <c r="Y188" s="108"/>
      <c r="Z188" s="108"/>
      <c r="AA188" s="108"/>
      <c r="AB188" s="108"/>
      <c r="AC188" s="108"/>
      <c r="AD188" s="108"/>
      <c r="AE188" s="108"/>
      <c r="AF188" s="108"/>
      <c r="AG188" s="108"/>
      <c r="AH188" s="108"/>
      <c r="AI188" s="108"/>
      <c r="AJ188" s="109"/>
      <c r="AK188" s="55"/>
      <c r="AL188" s="55"/>
      <c r="AM188" s="107" t="str">
        <f>IF([1]回答表!BD17="●",IF([1]回答表!AD45="●",[1]回答表!B295,""),"")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IF([1]回答表!X46="●","●","")</f>
        <v/>
      </c>
      <c r="O200" s="99"/>
      <c r="P200" s="99"/>
      <c r="Q200" s="100"/>
      <c r="R200" s="38"/>
      <c r="S200" s="38"/>
      <c r="T200" s="38"/>
      <c r="U200" s="107" t="str">
        <f>IF([1]回答表!X46="●",[1]回答表!B307,IF([1]回答表!AA46="●",[1]回答表!B324,""))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IF([1]回答表!X46="●",[1]回答表!U313,IF([1]回答表!AA46="●",[1]回答表!U330,""))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IF([1]回答表!X46="●",[1]回答表!G313,IF([1]回答表!AA46="●",[1]回答表!G330,""))</f>
        <v/>
      </c>
      <c r="AN203" s="120"/>
      <c r="AO203" s="120"/>
      <c r="AP203" s="120"/>
      <c r="AQ203" s="120"/>
      <c r="AR203" s="120"/>
      <c r="AS203" s="120"/>
      <c r="AT203" s="121"/>
      <c r="AU203" s="119" t="str">
        <f>IF([1]回答表!X46="●",[1]回答表!G314,IF([1]回答表!AA46="●",[1]回答表!G331,""))</f>
        <v/>
      </c>
      <c r="AV203" s="120"/>
      <c r="AW203" s="120"/>
      <c r="AX203" s="120"/>
      <c r="AY203" s="120"/>
      <c r="AZ203" s="120"/>
      <c r="BA203" s="120"/>
      <c r="BB203" s="121"/>
      <c r="BC203" s="39"/>
      <c r="BD203" s="34"/>
      <c r="BE203" s="34"/>
      <c r="BF203" s="83" t="str">
        <f>IF([1]回答表!X46="●",[1]回答表!X313,IF([1]回答表!AA46="●",[1]回答表!X330,""))</f>
        <v/>
      </c>
      <c r="BG203" s="84"/>
      <c r="BH203" s="84"/>
      <c r="BI203" s="84"/>
      <c r="BJ203" s="83" t="str">
        <f>IF([1]回答表!X46="●",[1]回答表!X314,IF([1]回答表!AA46="●",[1]回答表!X331,""))</f>
        <v/>
      </c>
      <c r="BK203" s="84"/>
      <c r="BL203" s="84"/>
      <c r="BM203" s="87"/>
      <c r="BN203" s="83" t="str">
        <f>IF([1]回答表!X46="●",[1]回答表!X315,IF([1]回答表!AA46="●",[1]回答表!X332,""))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IF([1]回答表!AD46="●","●","")</f>
        <v/>
      </c>
      <c r="O212" s="99"/>
      <c r="P212" s="99"/>
      <c r="Q212" s="100"/>
      <c r="R212" s="38"/>
      <c r="S212" s="38"/>
      <c r="T212" s="38"/>
      <c r="U212" s="107" t="str">
        <f>IF([1]回答表!AD46="●",[1]回答表!B337,"")</f>
        <v/>
      </c>
      <c r="V212" s="108"/>
      <c r="W212" s="108"/>
      <c r="X212" s="108"/>
      <c r="Y212" s="108"/>
      <c r="Z212" s="108"/>
      <c r="AA212" s="108"/>
      <c r="AB212" s="108"/>
      <c r="AC212" s="108"/>
      <c r="AD212" s="108"/>
      <c r="AE212" s="108"/>
      <c r="AF212" s="108"/>
      <c r="AG212" s="108"/>
      <c r="AH212" s="108"/>
      <c r="AI212" s="108"/>
      <c r="AJ212" s="109"/>
      <c r="AK212" s="62"/>
      <c r="AL212" s="62"/>
      <c r="AM212" s="107" t="str">
        <f>IF([1]回答表!AD46="●",[1]回答表!B343,"")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IF([1]回答表!X47="●","●","")</f>
        <v/>
      </c>
      <c r="O224" s="99"/>
      <c r="P224" s="99"/>
      <c r="Q224" s="100"/>
      <c r="R224" s="38"/>
      <c r="S224" s="38"/>
      <c r="T224" s="38"/>
      <c r="U224" s="107" t="str">
        <f>IF([1]回答表!X47="●",[1]回答表!B356,IF([1]回答表!AA47="●",[1]回答表!B379,""))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IF([1]回答表!X47="●",[1]回答表!B362,"")</f>
        <v/>
      </c>
      <c r="AO224" s="182"/>
      <c r="AP224" s="182"/>
      <c r="AQ224" s="182"/>
      <c r="AR224" s="182"/>
      <c r="AS224" s="182"/>
      <c r="AT224" s="182"/>
      <c r="AU224" s="182"/>
      <c r="AV224" s="182"/>
      <c r="AW224" s="182"/>
      <c r="AX224" s="182"/>
      <c r="AY224" s="182"/>
      <c r="AZ224" s="182"/>
      <c r="BA224" s="182"/>
      <c r="BB224" s="183"/>
      <c r="BC224" s="39"/>
      <c r="BD224" s="34"/>
      <c r="BE224" s="34"/>
      <c r="BF224" s="116" t="str">
        <f>IF([1]回答表!X47="●",[1]回答表!B368,IF([1]回答表!AA47="●",[1]回答表!B385,""))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IF([1]回答表!X47="●",[1]回答表!E368,IF([1]回答表!AA47="●",[1]回答表!E385,""))</f>
        <v/>
      </c>
      <c r="BG227" s="84"/>
      <c r="BH227" s="84"/>
      <c r="BI227" s="84"/>
      <c r="BJ227" s="83" t="str">
        <f>IF([1]回答表!X47="●",[1]回答表!E369,IF([1]回答表!AA47="●",[1]回答表!E386,""))</f>
        <v/>
      </c>
      <c r="BK227" s="84"/>
      <c r="BL227" s="84"/>
      <c r="BM227" s="87"/>
      <c r="BN227" s="83" t="str">
        <f>IF([1]回答表!X47="●",[1]回答表!E370,IF([1]回答表!AA47="●",[1]回答表!E387,""))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IF([1]回答表!AD47="●","●","")</f>
        <v/>
      </c>
      <c r="O236" s="99"/>
      <c r="P236" s="99"/>
      <c r="Q236" s="100"/>
      <c r="R236" s="38"/>
      <c r="S236" s="38"/>
      <c r="T236" s="38"/>
      <c r="U236" s="107" t="str">
        <f>IF([1]回答表!AD47="●",[1]回答表!B392,"")</f>
        <v/>
      </c>
      <c r="V236" s="108"/>
      <c r="W236" s="108"/>
      <c r="X236" s="108"/>
      <c r="Y236" s="108"/>
      <c r="Z236" s="108"/>
      <c r="AA236" s="108"/>
      <c r="AB236" s="108"/>
      <c r="AC236" s="108"/>
      <c r="AD236" s="108"/>
      <c r="AE236" s="108"/>
      <c r="AF236" s="108"/>
      <c r="AG236" s="108"/>
      <c r="AH236" s="108"/>
      <c r="AI236" s="108"/>
      <c r="AJ236" s="109"/>
      <c r="AK236" s="62"/>
      <c r="AL236" s="62"/>
      <c r="AM236" s="107" t="str">
        <f>IF([1]回答表!AD47="●",[1]回答表!B398,"")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IF([1]回答表!X48="●","●","")</f>
        <v/>
      </c>
      <c r="O248" s="99"/>
      <c r="P248" s="99"/>
      <c r="Q248" s="100"/>
      <c r="R248" s="38"/>
      <c r="S248" s="38"/>
      <c r="T248" s="38"/>
      <c r="U248" s="107" t="str">
        <f>IF([1]回答表!X48="●",[1]回答表!B411,IF([1]回答表!AA48="●",[1]回答表!B425,""))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IF([1]回答表!X48="●",[1]回答表!BC418,IF([1]回答表!AA48="●",[1]回答表!BC432,""))</f>
        <v/>
      </c>
      <c r="AR248" s="151"/>
      <c r="AS248" s="151"/>
      <c r="AT248" s="151"/>
      <c r="AU248" s="173" t="s">
        <v>73</v>
      </c>
      <c r="AV248" s="174"/>
      <c r="AW248" s="174"/>
      <c r="AX248" s="175"/>
      <c r="AY248" s="151" t="str">
        <f>IF([1]回答表!X48="●",[1]回答表!BC423,IF([1]回答表!AA48="●",[1]回答表!BC437,""))</f>
        <v/>
      </c>
      <c r="AZ248" s="151"/>
      <c r="BA248" s="151"/>
      <c r="BB248" s="151"/>
      <c r="BC248" s="39"/>
      <c r="BD248" s="34"/>
      <c r="BE248" s="34"/>
      <c r="BF248" s="116" t="str">
        <f>IF([1]回答表!X48="●",[1]回答表!S417,IF([1]回答表!AA48="●",[1]回答表!S431,""))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IF([1]回答表!X48="●",[1]回答表!BC419,IF([1]回答表!AA48="●",[1]回答表!BC433,""))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IF([1]回答表!X48="●",[1]回答表!V417,IF([1]回答表!AA48="●",[1]回答表!V431,""))</f>
        <v/>
      </c>
      <c r="BG251" s="84"/>
      <c r="BH251" s="84"/>
      <c r="BI251" s="84"/>
      <c r="BJ251" s="83" t="str">
        <f>IF([1]回答表!X48="●",[1]回答表!V418,IF([1]回答表!AA48="●",[1]回答表!V432,""))</f>
        <v/>
      </c>
      <c r="BK251" s="84"/>
      <c r="BL251" s="84"/>
      <c r="BM251" s="87"/>
      <c r="BN251" s="83" t="str">
        <f>IF([1]回答表!X48="●",[1]回答表!V419,IF([1]回答表!AA48="●",[1]回答表!V433,""))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IF([1]回答表!X48="●",[1]回答表!BC420,IF([1]回答表!AA48="●",[1]回答表!BC434,""))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IF([1]回答表!X48="●",[1]回答表!BC424,IF([1]回答表!AA48="●",[1]回答表!BC438,""))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IF([1]回答表!X48="●",[1]回答表!BC421,IF([1]回答表!AA48="●",[1]回答表!BC435,""))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IF([1]回答表!X48="●",[1]回答表!BC422,IF([1]回答表!AA48="●",[1]回答表!BC436,""))</f>
        <v/>
      </c>
      <c r="AR256" s="151"/>
      <c r="AS256" s="151"/>
      <c r="AT256" s="151"/>
      <c r="AU256" s="152" t="s">
        <v>79</v>
      </c>
      <c r="AV256" s="153"/>
      <c r="AW256" s="153"/>
      <c r="AX256" s="154"/>
      <c r="AY256" s="158" t="str">
        <f>IF([1]回答表!X48="●",[1]回答表!BC425,IF([1]回答表!AA48="●",[1]回答表!BC439,""))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IF([1]回答表!AD48="●","●","")</f>
        <v/>
      </c>
      <c r="O260" s="99"/>
      <c r="P260" s="99"/>
      <c r="Q260" s="100"/>
      <c r="R260" s="38"/>
      <c r="S260" s="38"/>
      <c r="T260" s="38"/>
      <c r="U260" s="107" t="str">
        <f>IF([1]回答表!AD48="●",[1]回答表!B439,"")</f>
        <v/>
      </c>
      <c r="V260" s="108"/>
      <c r="W260" s="108"/>
      <c r="X260" s="108"/>
      <c r="Y260" s="108"/>
      <c r="Z260" s="108"/>
      <c r="AA260" s="108"/>
      <c r="AB260" s="108"/>
      <c r="AC260" s="108"/>
      <c r="AD260" s="108"/>
      <c r="AE260" s="108"/>
      <c r="AF260" s="108"/>
      <c r="AG260" s="108"/>
      <c r="AH260" s="108"/>
      <c r="AI260" s="108"/>
      <c r="AJ260" s="109"/>
      <c r="AK260" s="55"/>
      <c r="AL260" s="55"/>
      <c r="AM260" s="107" t="str">
        <f>IF([1]回答表!AD48="●",[1]回答表!B445,"")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IF([1]回答表!X49="●","●","")</f>
        <v/>
      </c>
      <c r="O271" s="99"/>
      <c r="P271" s="99"/>
      <c r="Q271" s="100"/>
      <c r="R271" s="38"/>
      <c r="S271" s="38"/>
      <c r="T271" s="38"/>
      <c r="U271" s="107" t="str">
        <f>IF([1]回答表!X49="●",[1]回答表!B458,IF([1]回答表!AA49="●",[1]回答表!B475,""))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IF([1]回答表!X49="●",[1]回答表!B468,IF([1]回答表!AA49="●",[1]回答表!B485,""))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IF([1]回答表!X49="●",[1]回答表!G464,IF([1]回答表!AA49="●",[1]回答表!G481,""))</f>
        <v/>
      </c>
      <c r="AN273" s="120"/>
      <c r="AO273" s="120"/>
      <c r="AP273" s="120"/>
      <c r="AQ273" s="120"/>
      <c r="AR273" s="120"/>
      <c r="AS273" s="120"/>
      <c r="AT273" s="121"/>
      <c r="AU273" s="119" t="str">
        <f>IF([1]回答表!X49="●",[1]回答表!G465,IF([1]回答表!AA49="●",[1]回答表!G482,""))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IF([1]回答表!X49="●",[1]回答表!E468,IF([1]回答表!AA49="●",[1]回答表!E485,""))</f>
        <v/>
      </c>
      <c r="BG274" s="84"/>
      <c r="BH274" s="84"/>
      <c r="BI274" s="84"/>
      <c r="BJ274" s="83" t="str">
        <f>IF([1]回答表!X49="●",[1]回答表!E469,IF([1]回答表!AA49="●",[1]回答表!E486,""))</f>
        <v/>
      </c>
      <c r="BK274" s="84"/>
      <c r="BL274" s="84"/>
      <c r="BM274" s="87"/>
      <c r="BN274" s="83" t="str">
        <f>IF([1]回答表!X49="●",[1]回答表!E470,IF([1]回答表!AA49="●",[1]回答表!E487,""))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IF([1]回答表!AD49="●","●","")</f>
        <v/>
      </c>
      <c r="O283" s="99"/>
      <c r="P283" s="99"/>
      <c r="Q283" s="100"/>
      <c r="R283" s="38"/>
      <c r="S283" s="38"/>
      <c r="T283" s="38"/>
      <c r="U283" s="107" t="str">
        <f>IF([1]回答表!AD49="●",[1]回答表!B492,"")</f>
        <v/>
      </c>
      <c r="V283" s="108"/>
      <c r="W283" s="108"/>
      <c r="X283" s="108"/>
      <c r="Y283" s="108"/>
      <c r="Z283" s="108"/>
      <c r="AA283" s="108"/>
      <c r="AB283" s="108"/>
      <c r="AC283" s="108"/>
      <c r="AD283" s="108"/>
      <c r="AE283" s="108"/>
      <c r="AF283" s="108"/>
      <c r="AG283" s="108"/>
      <c r="AH283" s="108"/>
      <c r="AI283" s="108"/>
      <c r="AJ283" s="109"/>
      <c r="AK283" s="49"/>
      <c r="AL283" s="49"/>
      <c r="AM283" s="107" t="str">
        <f>IF([1]回答表!AD49="●",[1]回答表!B498,"")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IF([1]回答表!R50="●",[1]回答表!B511,"")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01F8-6DFA-4E6E-B5B6-58C94B27D048}">
  <sheetPr>
    <pageSetUpPr fitToPage="1"/>
  </sheetPr>
  <dimension ref="A1:CN315"/>
  <sheetViews>
    <sheetView showZeros="0" view="pageBreakPreview" zoomScale="60" zoomScaleNormal="55" workbookViewId="0">
      <selection activeCell="D296" sqref="D296:BQ31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IF(COUNTIF([2]回答表!K15,"*")&gt;0,[2]回答表!K15,"")</f>
        <v>大館市</v>
      </c>
      <c r="D11" s="299"/>
      <c r="E11" s="299"/>
      <c r="F11" s="299"/>
      <c r="G11" s="299"/>
      <c r="H11" s="299"/>
      <c r="I11" s="299"/>
      <c r="J11" s="299"/>
      <c r="K11" s="299"/>
      <c r="L11" s="299"/>
      <c r="M11" s="299"/>
      <c r="N11" s="299"/>
      <c r="O11" s="299"/>
      <c r="P11" s="299"/>
      <c r="Q11" s="299"/>
      <c r="R11" s="299"/>
      <c r="S11" s="299"/>
      <c r="T11" s="299"/>
      <c r="U11" s="306" t="str">
        <f>IF(COUNTIF([2]回答表!F17,"*")&gt;0,[2]回答表!F17,"")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IF(COUNTIF([2]回答表!W17,"*")&gt;0,[2]回答表!W17,"")</f>
        <v>特定環境保全公共下水道</v>
      </c>
      <c r="AP11" s="301"/>
      <c r="AQ11" s="301"/>
      <c r="AR11" s="301"/>
      <c r="AS11" s="301"/>
      <c r="AT11" s="301"/>
      <c r="AU11" s="301"/>
      <c r="AV11" s="301"/>
      <c r="AW11" s="301"/>
      <c r="AX11" s="301"/>
      <c r="AY11" s="301"/>
      <c r="AZ11" s="301"/>
      <c r="BA11" s="301"/>
      <c r="BB11" s="301"/>
      <c r="BC11" s="301"/>
      <c r="BD11" s="301"/>
      <c r="BE11" s="301"/>
      <c r="BF11" s="302"/>
      <c r="BG11" s="305" t="str">
        <f>IF(COUNTIF([2]回答表!F19,"*")&gt;0,[2]回答表!F19,"")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IF([2]回答表!R43="●","●","")</f>
        <v/>
      </c>
      <c r="E24" s="123"/>
      <c r="F24" s="123"/>
      <c r="G24" s="123"/>
      <c r="H24" s="123"/>
      <c r="I24" s="123"/>
      <c r="J24" s="124"/>
      <c r="K24" s="122" t="str">
        <f>IF([2]回答表!R44="●","●","")</f>
        <v/>
      </c>
      <c r="L24" s="123"/>
      <c r="M24" s="123"/>
      <c r="N24" s="123"/>
      <c r="O24" s="123"/>
      <c r="P24" s="123"/>
      <c r="Q24" s="124"/>
      <c r="R24" s="122" t="str">
        <f>IF([2]回答表!R45="●","●","")</f>
        <v>●</v>
      </c>
      <c r="S24" s="123"/>
      <c r="T24" s="123"/>
      <c r="U24" s="123"/>
      <c r="V24" s="123"/>
      <c r="W24" s="123"/>
      <c r="X24" s="124"/>
      <c r="Y24" s="122" t="str">
        <f>IF([2]回答表!R46="●","●","")</f>
        <v/>
      </c>
      <c r="Z24" s="123"/>
      <c r="AA24" s="123"/>
      <c r="AB24" s="123"/>
      <c r="AC24" s="123"/>
      <c r="AD24" s="123"/>
      <c r="AE24" s="124"/>
      <c r="AF24" s="122" t="str">
        <f>IF([2]回答表!R47="●","●","")</f>
        <v/>
      </c>
      <c r="AG24" s="123"/>
      <c r="AH24" s="123"/>
      <c r="AI24" s="123"/>
      <c r="AJ24" s="123"/>
      <c r="AK24" s="123"/>
      <c r="AL24" s="124"/>
      <c r="AM24" s="122" t="str">
        <f>IF([2]回答表!R48="●","●","")</f>
        <v>●</v>
      </c>
      <c r="AN24" s="123"/>
      <c r="AO24" s="123"/>
      <c r="AP24" s="123"/>
      <c r="AQ24" s="123"/>
      <c r="AR24" s="123"/>
      <c r="AS24" s="124"/>
      <c r="AT24" s="122" t="str">
        <f>IF([2]回答表!R49="●","●","")</f>
        <v/>
      </c>
      <c r="AU24" s="123"/>
      <c r="AV24" s="123"/>
      <c r="AW24" s="123"/>
      <c r="AX24" s="123"/>
      <c r="AY24" s="123"/>
      <c r="AZ24" s="124"/>
      <c r="BA24" s="18"/>
      <c r="BB24" s="119" t="str">
        <f>IF([2]回答表!R50="●","●","")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IF([2]回答表!X43="●","●","")</f>
        <v/>
      </c>
      <c r="O36" s="99"/>
      <c r="P36" s="99"/>
      <c r="Q36" s="100"/>
      <c r="R36" s="38"/>
      <c r="S36" s="38"/>
      <c r="T36" s="38"/>
      <c r="U36" s="107" t="str">
        <f>IF([2]回答表!X43="●",[2]回答表!B59,IF([2]回答表!AA43="●",[2]回答表!B79,""))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IF([2]回答表!X43="●",[2]回答表!S65,IF([2]回答表!AA43="●",[2]回答表!S85,""))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IF([2]回答表!X43="●",[2]回答表!G65,IF([2]回答表!AA43="●",[2]回答表!G85,""))</f>
        <v/>
      </c>
      <c r="AN38" s="120"/>
      <c r="AO38" s="120"/>
      <c r="AP38" s="120"/>
      <c r="AQ38" s="120"/>
      <c r="AR38" s="120"/>
      <c r="AS38" s="120"/>
      <c r="AT38" s="121"/>
      <c r="AU38" s="119" t="str">
        <f>IF([2]回答表!X43="●",[2]回答表!G66,IF([2]回答表!AA43="●",[2]回答表!G86,""))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IF([2]回答表!X43="●",[2]回答表!V65,IF([2]回答表!AA43="●",[2]回答表!V85,""))</f>
        <v/>
      </c>
      <c r="BG39" s="249"/>
      <c r="BH39" s="249"/>
      <c r="BI39" s="250"/>
      <c r="BJ39" s="83" t="str">
        <f>IF([2]回答表!X43="●",[2]回答表!V66,IF([2]回答表!AA43="●",[2]回答表!V86,""))</f>
        <v/>
      </c>
      <c r="BK39" s="249"/>
      <c r="BL39" s="249"/>
      <c r="BM39" s="250"/>
      <c r="BN39" s="83" t="str">
        <f>IF([2]回答表!X43="●",[2]回答表!V67,IF([2]回答表!AA43="●",[2]回答表!V87,""))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IF([2]回答表!X43="●",[2]回答表!O71,IF([2]回答表!AA43="●",[2]回答表!O91,""))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IF([2]回答表!X43="●",[2]回答表!O72,IF([2]回答表!AA43="●",[2]回答表!O92,""))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IF([2]回答表!AA43="●","●","")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IF([2]回答表!X43="●",[2]回答表!O73,IF([2]回答表!AA43="●",[2]回答表!O93,""))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IF([2]回答表!X43="●",[2]回答表!O74,IF([2]回答表!AA43="●",[2]回答表!O94,""))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IF([2]回答表!X43="●",[2]回答表!AG71,IF([2]回答表!AA43="●",[2]回答表!AG91,""))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IF([2]回答表!X43="●",[2]回答表!AG72,IF([2]回答表!AA43="●",[2]回答表!AG92,""))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IF([2]回答表!AD43="●","●","")</f>
        <v/>
      </c>
      <c r="O51" s="99"/>
      <c r="P51" s="99"/>
      <c r="Q51" s="100"/>
      <c r="R51" s="38"/>
      <c r="S51" s="38"/>
      <c r="T51" s="38"/>
      <c r="U51" s="107" t="str">
        <f>IF([2]回答表!AD43="●",[2]回答表!B99,"")</f>
        <v/>
      </c>
      <c r="V51" s="108"/>
      <c r="W51" s="108"/>
      <c r="X51" s="108"/>
      <c r="Y51" s="108"/>
      <c r="Z51" s="108"/>
      <c r="AA51" s="108"/>
      <c r="AB51" s="108"/>
      <c r="AC51" s="108"/>
      <c r="AD51" s="108"/>
      <c r="AE51" s="108"/>
      <c r="AF51" s="108"/>
      <c r="AG51" s="108"/>
      <c r="AH51" s="108"/>
      <c r="AI51" s="108"/>
      <c r="AJ51" s="109"/>
      <c r="AK51" s="55"/>
      <c r="AL51" s="55"/>
      <c r="AM51" s="107" t="str">
        <f>IF([2]回答表!AD43="●",[2]回答表!B104,"")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IF([2]回答表!X44="●","●","")</f>
        <v/>
      </c>
      <c r="O62" s="99"/>
      <c r="P62" s="99"/>
      <c r="Q62" s="100"/>
      <c r="R62" s="38"/>
      <c r="S62" s="38"/>
      <c r="T62" s="38"/>
      <c r="U62" s="107" t="str">
        <f>IF([2]回答表!X44="●",[2]回答表!B115,IF([2]回答表!AA44="●",[2]回答表!B127,""))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IF([2]回答表!X44="●",[2]回答表!S121,IF([2]回答表!AA44="●",[2]回答表!S133,""))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IF([2]回答表!X44="●",[2]回答表!J121,IF([2]回答表!AA44="●",[2]回答表!J133,""))</f>
        <v/>
      </c>
      <c r="AN65" s="120"/>
      <c r="AO65" s="120"/>
      <c r="AP65" s="120"/>
      <c r="AQ65" s="120"/>
      <c r="AR65" s="120"/>
      <c r="AS65" s="120"/>
      <c r="AT65" s="121"/>
      <c r="AU65" s="119" t="str">
        <f>IF([2]回答表!X44="●",[2]回答表!J122,IF([2]回答表!AA44="●",[2]回答表!J134,""))</f>
        <v/>
      </c>
      <c r="AV65" s="120"/>
      <c r="AW65" s="120"/>
      <c r="AX65" s="120"/>
      <c r="AY65" s="120"/>
      <c r="AZ65" s="120"/>
      <c r="BA65" s="120"/>
      <c r="BB65" s="121"/>
      <c r="BC65" s="39"/>
      <c r="BD65" s="34"/>
      <c r="BE65" s="34"/>
      <c r="BF65" s="83" t="str">
        <f>IF([2]回答表!X44="●",[2]回答表!V121,IF([2]回答表!AA44="●",[2]回答表!V133,""))</f>
        <v/>
      </c>
      <c r="BG65" s="84"/>
      <c r="BH65" s="84"/>
      <c r="BI65" s="84"/>
      <c r="BJ65" s="83" t="str">
        <f>IF([2]回答表!X44="●",[2]回答表!V122,IF([2]回答表!AA44="●",[2]回答表!V134,""))</f>
        <v/>
      </c>
      <c r="BK65" s="84"/>
      <c r="BL65" s="84"/>
      <c r="BM65" s="84"/>
      <c r="BN65" s="83" t="str">
        <f>IF([2]回答表!X44="●",[2]回答表!V123,IF([2]回答表!AA44="●",[2]回答表!V135,""))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IF([2]回答表!AA44="●","●","")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IF([2]回答表!AD44="●","●","")</f>
        <v/>
      </c>
      <c r="O74" s="99"/>
      <c r="P74" s="99"/>
      <c r="Q74" s="100"/>
      <c r="R74" s="38"/>
      <c r="S74" s="38"/>
      <c r="T74" s="38"/>
      <c r="U74" s="107" t="str">
        <f>IF([2]回答表!AD44="●",[2]回答表!B140,"")</f>
        <v/>
      </c>
      <c r="V74" s="108"/>
      <c r="W74" s="108"/>
      <c r="X74" s="108"/>
      <c r="Y74" s="108"/>
      <c r="Z74" s="108"/>
      <c r="AA74" s="108"/>
      <c r="AB74" s="108"/>
      <c r="AC74" s="108"/>
      <c r="AD74" s="108"/>
      <c r="AE74" s="108"/>
      <c r="AF74" s="108"/>
      <c r="AG74" s="108"/>
      <c r="AH74" s="108"/>
      <c r="AI74" s="108"/>
      <c r="AJ74" s="109"/>
      <c r="AK74" s="55"/>
      <c r="AL74" s="55"/>
      <c r="AM74" s="107" t="str">
        <f>IF([2]回答表!AD44="●",[2]回答表!B146,"")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IF([2]回答表!F17="水道事業",IF([2]回答表!X45="●","●",""),"")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IF([2]回答表!F17="水道事業",IF([2]回答表!X45="●",[2]回答表!B158,IF([2]回答表!AA45="●",[2]回答表!B223,"")),"")</f>
        <v/>
      </c>
      <c r="AN86" s="212"/>
      <c r="AO86" s="212"/>
      <c r="AP86" s="212"/>
      <c r="AQ86" s="212"/>
      <c r="AR86" s="212"/>
      <c r="AS86" s="212"/>
      <c r="AT86" s="212"/>
      <c r="AU86" s="212"/>
      <c r="AV86" s="212"/>
      <c r="AW86" s="212"/>
      <c r="AX86" s="212"/>
      <c r="AY86" s="212"/>
      <c r="AZ86" s="212"/>
      <c r="BA86" s="212"/>
      <c r="BB86" s="212"/>
      <c r="BC86" s="213"/>
      <c r="BD86" s="34"/>
      <c r="BE86" s="34"/>
      <c r="BF86" s="116" t="str">
        <f>IF([2]回答表!F17="水道事業",IF([2]回答表!X45="●",[2]回答表!B212,IF([2]回答表!AA45="●",[2]回答表!B278,"")),"")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IF([2]回答表!F17="水道事業",IF([2]回答表!X45="●",[2]回答表!J166,IF([2]回答表!AA45="●",[2]回答表!J231,"")),"")</f>
        <v/>
      </c>
      <c r="V88" s="120"/>
      <c r="W88" s="120"/>
      <c r="X88" s="120"/>
      <c r="Y88" s="120"/>
      <c r="Z88" s="120"/>
      <c r="AA88" s="120"/>
      <c r="AB88" s="121"/>
      <c r="AC88" s="119" t="str">
        <f>IF([2]回答表!F17="水道事業",IF([2]回答表!X45="●",[2]回答表!J173,IF([2]回答表!AA45="●",[2]回答表!J238,"")),"")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IF([2]回答表!F17="水道事業",IF([2]回答表!X45="●",[2]回答表!E212,IF([2]回答表!AA45="●",[2]回答表!E278,"")),"")</f>
        <v/>
      </c>
      <c r="BG89" s="84"/>
      <c r="BH89" s="84"/>
      <c r="BI89" s="84"/>
      <c r="BJ89" s="83" t="str">
        <f>IF([2]回答表!F17="水道事業",IF([2]回答表!X45="●",[2]回答表!E213,IF([2]回答表!AA45="●",[2]回答表!E279,"")),"")</f>
        <v/>
      </c>
      <c r="BK89" s="84"/>
      <c r="BL89" s="84"/>
      <c r="BM89" s="84"/>
      <c r="BN89" s="83" t="str">
        <f>IF([2]回答表!F17="水道事業",IF([2]回答表!X45="●",[2]回答表!E214,IF([2]回答表!AA45="●",[2]回答表!E280,"")),"")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IF([2]回答表!F17="水道事業",IF([2]回答表!AA45="●","●",""),"")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IF([2]回答表!F17="水道事業",IF([2]回答表!X45="●",[2]回答表!J176,IF([2]回答表!AA45="●",[2]回答表!J241,"")),"")</f>
        <v/>
      </c>
      <c r="V93" s="120"/>
      <c r="W93" s="120"/>
      <c r="X93" s="120"/>
      <c r="Y93" s="120"/>
      <c r="Z93" s="120"/>
      <c r="AA93" s="120"/>
      <c r="AB93" s="121"/>
      <c r="AC93" s="119" t="str">
        <f>IF([2]回答表!F17="水道事業",IF([2]回答表!X45="●",[2]回答表!J180,IF([2]回答表!AA45="●",[2]回答表!J245,"")),"")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IF([2]回答表!F17="水道事業",IF([2]回答表!AD45="●","●",""),"")</f>
        <v/>
      </c>
      <c r="O98" s="99"/>
      <c r="P98" s="99"/>
      <c r="Q98" s="100"/>
      <c r="R98" s="38"/>
      <c r="S98" s="38"/>
      <c r="T98" s="38"/>
      <c r="U98" s="107" t="str">
        <f>IF([2]回答表!F17="水道事業",IF([2]回答表!AD45="●",[2]回答表!B289,""),"")</f>
        <v/>
      </c>
      <c r="V98" s="108"/>
      <c r="W98" s="108"/>
      <c r="X98" s="108"/>
      <c r="Y98" s="108"/>
      <c r="Z98" s="108"/>
      <c r="AA98" s="108"/>
      <c r="AB98" s="108"/>
      <c r="AC98" s="108"/>
      <c r="AD98" s="108"/>
      <c r="AE98" s="108"/>
      <c r="AF98" s="108"/>
      <c r="AG98" s="108"/>
      <c r="AH98" s="108"/>
      <c r="AI98" s="108"/>
      <c r="AJ98" s="109"/>
      <c r="AK98" s="55"/>
      <c r="AL98" s="55"/>
      <c r="AM98" s="107" t="str">
        <f>IF([2]回答表!F17="水道事業",IF([2]回答表!AD45="●",[2]回答表!B295,""),"")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IF([2]回答表!F17="簡易水道事業",IF([2]回答表!X45="●",[2]回答表!B158,IF([2]回答表!AA45="●",[2]回答表!B223,"")),"")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IF([2]回答表!F17="簡易水道事業",IF([2]回答表!X45="●",[2]回答表!B212,IF([2]回答表!AA45="●",[2]回答表!B278,"")),"")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IF([2]回答表!F17="簡易水道事業",IF([2]回答表!X45="●","●",""),"")</f>
        <v/>
      </c>
      <c r="O112" s="99"/>
      <c r="P112" s="99"/>
      <c r="Q112" s="100"/>
      <c r="R112" s="38"/>
      <c r="S112" s="38"/>
      <c r="T112" s="38"/>
      <c r="U112" s="119" t="str">
        <f>IF([2]回答表!F17="簡易水道事業",IF([2]回答表!X45="●",[2]回答表!Y185,IF([2]回答表!AA45="●",[2]回答表!Y251,"")),"")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IF([2]回答表!F17="簡易水道事業",IF([2]回答表!X45="●",[2]回答表!E212,IF([2]回答表!AA45="●",[2]回答表!E278,"")),"")</f>
        <v/>
      </c>
      <c r="BG113" s="84"/>
      <c r="BH113" s="84"/>
      <c r="BI113" s="84"/>
      <c r="BJ113" s="83" t="str">
        <f>IF([2]回答表!F17="簡易水道事業",IF([2]回答表!X45="●",[2]回答表!E213,IF([2]回答表!AA45="●",[2]回答表!E279,"")),"")</f>
        <v/>
      </c>
      <c r="BK113" s="84"/>
      <c r="BL113" s="84"/>
      <c r="BM113" s="84"/>
      <c r="BN113" s="83" t="str">
        <f>IF([2]回答表!F17="簡易水道事業",IF([2]回答表!X45="●",[2]回答表!E214,IF([2]回答表!AA45="●",[2]回答表!E280,"")),"")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IF([2]回答表!F17="簡易水道事業",IF([2]回答表!X45="●",[2]回答表!Y186,IF([2]回答表!AA45="●",[2]回答表!Y252,"")),"")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IF([2]回答表!F17="簡易水道事業",IF([2]回答表!AA45="●","●",""),"")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IF([2]回答表!F17="簡易水道事業",IF([2]回答表!X45="●",[2]回答表!Y187,IF([2]回答表!AA45="●",[2]回答表!Y253,"")),"")</f>
        <v/>
      </c>
      <c r="V122" s="120"/>
      <c r="W122" s="120"/>
      <c r="X122" s="120"/>
      <c r="Y122" s="120"/>
      <c r="Z122" s="120"/>
      <c r="AA122" s="120"/>
      <c r="AB122" s="120"/>
      <c r="AC122" s="120"/>
      <c r="AD122" s="120"/>
      <c r="AE122" s="120"/>
      <c r="AF122" s="120"/>
      <c r="AG122" s="120"/>
      <c r="AH122" s="120"/>
      <c r="AI122" s="120"/>
      <c r="AJ122" s="121"/>
      <c r="AK122" s="18"/>
      <c r="AL122" s="18"/>
      <c r="AM122" s="228" t="str">
        <f>IF([2]回答表!F17="簡易水道事業",IF([2]回答表!X45="●",[2]回答表!Y189,IF([2]回答表!AA45="●",[2]回答表!Y255,"")),"")</f>
        <v/>
      </c>
      <c r="AN122" s="228"/>
      <c r="AO122" s="228"/>
      <c r="AP122" s="228"/>
      <c r="AQ122" s="228"/>
      <c r="AR122" s="228"/>
      <c r="AS122" s="228" t="str">
        <f>IF([2]回答表!F17="簡易水道事業",IF([2]回答表!X45="●",[2]回答表!Y190,IF([2]回答表!AA45="●",[2]回答表!Y256,"")),"")</f>
        <v/>
      </c>
      <c r="AT122" s="228"/>
      <c r="AU122" s="228"/>
      <c r="AV122" s="228"/>
      <c r="AW122" s="228"/>
      <c r="AX122" s="228"/>
      <c r="AY122" s="228" t="str">
        <f>IF([2]回答表!F17="簡易水道事業",IF([2]回答表!X45="●",[2]回答表!Y191,IF([2]回答表!AA45="●",[2]回答表!Y257,"")),"")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IF([2]回答表!F17="簡易水道事業",IF([2]回答表!AD45="●","●",""),"")</f>
        <v/>
      </c>
      <c r="O127" s="99"/>
      <c r="P127" s="99"/>
      <c r="Q127" s="100"/>
      <c r="R127" s="38"/>
      <c r="S127" s="38"/>
      <c r="T127" s="38"/>
      <c r="U127" s="107" t="str">
        <f>IF([2]回答表!F17="簡易水道事業",IF([2]回答表!AD45="●",[2]回答表!B289,""),"")</f>
        <v/>
      </c>
      <c r="V127" s="108"/>
      <c r="W127" s="108"/>
      <c r="X127" s="108"/>
      <c r="Y127" s="108"/>
      <c r="Z127" s="108"/>
      <c r="AA127" s="108"/>
      <c r="AB127" s="108"/>
      <c r="AC127" s="108"/>
      <c r="AD127" s="108"/>
      <c r="AE127" s="108"/>
      <c r="AF127" s="108"/>
      <c r="AG127" s="108"/>
      <c r="AH127" s="108"/>
      <c r="AI127" s="108"/>
      <c r="AJ127" s="109"/>
      <c r="AK127" s="55"/>
      <c r="AL127" s="55"/>
      <c r="AM127" s="107" t="str">
        <f>IF([2]回答表!F17="簡易水道事業",IF([2]回答表!AD45="●",[2]回答表!B295,""),"")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22.5" customHeight="1" x14ac:dyDescent="0.4">
      <c r="C139" s="32"/>
      <c r="D139" s="190" t="s">
        <v>18</v>
      </c>
      <c r="E139" s="190"/>
      <c r="F139" s="190"/>
      <c r="G139" s="190"/>
      <c r="H139" s="190"/>
      <c r="I139" s="190"/>
      <c r="J139" s="190"/>
      <c r="K139" s="190"/>
      <c r="L139" s="190"/>
      <c r="M139" s="190"/>
      <c r="N139" s="98" t="str">
        <f>IF([2]回答表!F17="下水道事業",IF([2]回答表!X45="●","●",""),"")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IF([2]回答表!F17="下水道事業",IF([2]回答表!X45="●",[2]回答表!B158,IF([2]回答表!AA45="●",[2]回答表!B223,"")),"")</f>
        <v>　真中地区農業集落排水施設の終末処理場の老朽化に伴い大館処理区の終末処理場へ接続管等を整備する。現在の同等施設の更新建設事業費と大館処理区終末処理場への接続管渠等の整備事業と比較すると220百万円の削減が見込まれるほか、維持管理費等も6百万円/年の削減が見込まれる。</v>
      </c>
      <c r="AN139" s="212"/>
      <c r="AO139" s="212"/>
      <c r="AP139" s="212"/>
      <c r="AQ139" s="212"/>
      <c r="AR139" s="212"/>
      <c r="AS139" s="212"/>
      <c r="AT139" s="212"/>
      <c r="AU139" s="212"/>
      <c r="AV139" s="212"/>
      <c r="AW139" s="212"/>
      <c r="AX139" s="212"/>
      <c r="AY139" s="212"/>
      <c r="AZ139" s="212"/>
      <c r="BA139" s="212"/>
      <c r="BB139" s="212"/>
      <c r="BC139" s="213"/>
      <c r="BD139" s="34"/>
      <c r="BE139" s="34"/>
      <c r="BF139" s="116" t="str">
        <f>IF([2]回答表!F17="下水道事業",IF([2]回答表!X45="●",[2]回答表!B212,IF([2]回答表!AA45="●",[2]回答表!B278,"")),"")</f>
        <v>令和</v>
      </c>
      <c r="BG139" s="117"/>
      <c r="BH139" s="117"/>
      <c r="BI139" s="117"/>
      <c r="BJ139" s="116"/>
      <c r="BK139" s="117"/>
      <c r="BL139" s="117"/>
      <c r="BM139" s="117"/>
      <c r="BN139" s="116"/>
      <c r="BO139" s="117"/>
      <c r="BP139" s="117"/>
      <c r="BQ139" s="118"/>
      <c r="BR139" s="37"/>
    </row>
    <row r="140" spans="3:92" ht="22.5"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22.5"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IF([2]回答表!F17="下水道事業",IF([2]回答表!X45="●",[2]回答表!Y193,IF([2]回答表!AA45="●",[2]回答表!Y259,"")),"")</f>
        <v>●</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22.5"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f>IF([2]回答表!F17="下水道事業",IF([2]回答表!X45="●",[2]回答表!E212,IF([2]回答表!AA45="●",[2]回答表!E278,"")),"")</f>
        <v>4</v>
      </c>
      <c r="BG142" s="84"/>
      <c r="BH142" s="84"/>
      <c r="BI142" s="84"/>
      <c r="BJ142" s="83">
        <f>IF([2]回答表!F17="下水道事業",IF([2]回答表!X45="●",[2]回答表!E213,IF([2]回答表!AA45="●",[2]回答表!E279,"")),"")</f>
        <v>4</v>
      </c>
      <c r="BK142" s="84"/>
      <c r="BL142" s="84"/>
      <c r="BM142" s="84"/>
      <c r="BN142" s="83">
        <f>IF([2]回答表!F17="下水道事業",IF([2]回答表!X45="●",[2]回答表!E214,IF([2]回答表!AA45="●",[2]回答表!E280,"")),"")</f>
        <v>1</v>
      </c>
      <c r="BO142" s="84"/>
      <c r="BP142" s="84"/>
      <c r="BQ142" s="87"/>
      <c r="BR142" s="37"/>
      <c r="BX142" s="211" t="str">
        <f>IF([2]回答表!AQ20="下水道事業",IF([2]回答表!BI48="○",[2]回答表!AM161,IF([2]回答表!BL48="○",[2]回答表!AM226,"")),"")</f>
        <v/>
      </c>
      <c r="BY142" s="212"/>
      <c r="BZ142" s="212"/>
      <c r="CA142" s="212"/>
      <c r="CB142" s="212"/>
      <c r="CC142" s="212"/>
      <c r="CD142" s="212"/>
      <c r="CE142" s="212"/>
      <c r="CF142" s="212"/>
      <c r="CG142" s="212"/>
      <c r="CH142" s="212"/>
      <c r="CI142" s="212"/>
      <c r="CJ142" s="212"/>
      <c r="CK142" s="212"/>
      <c r="CL142" s="212"/>
      <c r="CM142" s="212"/>
      <c r="CN142" s="213"/>
    </row>
    <row r="143" spans="3:92" ht="22.5"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22.5"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22.5"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22.5"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22.5" customHeight="1" x14ac:dyDescent="0.4">
      <c r="C147" s="32"/>
      <c r="D147" s="18"/>
      <c r="E147" s="18"/>
      <c r="F147" s="18"/>
      <c r="G147" s="18"/>
      <c r="H147" s="18"/>
      <c r="I147" s="18"/>
      <c r="J147" s="18"/>
      <c r="K147" s="18"/>
      <c r="L147" s="18"/>
      <c r="M147" s="18"/>
      <c r="N147" s="18"/>
      <c r="O147" s="18"/>
      <c r="P147" s="34"/>
      <c r="Q147" s="34"/>
      <c r="R147" s="34"/>
      <c r="S147" s="38"/>
      <c r="T147" s="38"/>
      <c r="U147" s="119" t="str">
        <f>IF([2]回答表!F17="下水道事業",IF([2]回答表!X45="●",[2]回答表!Y195,IF([2]回答表!AA45="●",[2]回答表!Y261,"")),"")</f>
        <v>●</v>
      </c>
      <c r="V147" s="120"/>
      <c r="W147" s="120"/>
      <c r="X147" s="120"/>
      <c r="Y147" s="120"/>
      <c r="Z147" s="120"/>
      <c r="AA147" s="120"/>
      <c r="AB147" s="121"/>
      <c r="AC147" s="119">
        <f>IF([2]回答表!F17="下水道事業",IF([2]回答表!X45="●",[2]回答表!Y196,IF([2]回答表!AA45="●",[2]回答表!Y262,"")),"")</f>
        <v>0</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22.5"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IF([2]回答表!F17="下水道事業",IF([2]回答表!X45="●",[2]回答表!Y198,IF([2]回答表!AA45="●",[2]回答表!Y264,"")),"")</f>
        <v xml:space="preserve"> </v>
      </c>
      <c r="V153" s="120"/>
      <c r="W153" s="120"/>
      <c r="X153" s="120"/>
      <c r="Y153" s="120"/>
      <c r="Z153" s="120"/>
      <c r="AA153" s="120"/>
      <c r="AB153" s="121"/>
      <c r="AC153" s="119" t="str">
        <f>IF([2]回答表!F17="下水道事業",IF([2]回答表!X45="●",[2]回答表!Y199,IF([2]回答表!AA45="●",[2]回答表!Y265,"")),"")</f>
        <v xml:space="preserve"> </v>
      </c>
      <c r="AD153" s="120"/>
      <c r="AE153" s="120"/>
      <c r="AF153" s="120"/>
      <c r="AG153" s="120"/>
      <c r="AH153" s="120"/>
      <c r="AI153" s="120"/>
      <c r="AJ153" s="121"/>
      <c r="AK153" s="119" t="str">
        <f>IF([2]回答表!F17="下水道事業",IF([2]回答表!X45="●",[2]回答表!Y200,IF([2]回答表!AA45="●",[2]回答表!Y266,"")),"")</f>
        <v>●</v>
      </c>
      <c r="AL153" s="120"/>
      <c r="AM153" s="120"/>
      <c r="AN153" s="120"/>
      <c r="AO153" s="120"/>
      <c r="AP153" s="120"/>
      <c r="AQ153" s="120"/>
      <c r="AR153" s="121"/>
      <c r="AS153" s="119" t="str">
        <f>IF([2]回答表!F17="下水道事業",IF([2]回答表!X45="●",[2]回答表!Y201,IF([2]回答表!AA45="●",[2]回答表!Y267,"")),"")</f>
        <v xml:space="preserve"> </v>
      </c>
      <c r="AT153" s="120"/>
      <c r="AU153" s="120"/>
      <c r="AV153" s="120"/>
      <c r="AW153" s="120"/>
      <c r="AX153" s="120"/>
      <c r="AY153" s="120"/>
      <c r="AZ153" s="121"/>
      <c r="BA153" s="119">
        <f>IF([2]回答表!F17="下水道事業",IF([2]回答表!X45="●",[2]回答表!Y202,IF([2]回答表!AA45="●",[2]回答表!Y268,"")),"")</f>
        <v>0</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IF([2]回答表!F17="下水道事業",IF([2]回答表!AA45="●","●",""),"")</f>
        <v>●</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f>IF([2]回答表!F17="下水道事業",IF([2]回答表!X45="●",[2]回答表!Y207,IF([2]回答表!AA45="●",[2]回答表!Y273,"")),"")</f>
        <v>0</v>
      </c>
      <c r="V159" s="120"/>
      <c r="W159" s="120"/>
      <c r="X159" s="120"/>
      <c r="Y159" s="120"/>
      <c r="Z159" s="120"/>
      <c r="AA159" s="120"/>
      <c r="AB159" s="121"/>
      <c r="AC159" s="119" t="str">
        <f>IF([2]回答表!F17="下水道事業",IF([2]回答表!X45="●",[2]回答表!Y208,IF([2]回答表!AA45="●",[2]回答表!Y274,"")),"")</f>
        <v xml:space="preserve"> </v>
      </c>
      <c r="AD159" s="120"/>
      <c r="AE159" s="120"/>
      <c r="AF159" s="120"/>
      <c r="AG159" s="120"/>
      <c r="AH159" s="120"/>
      <c r="AI159" s="120"/>
      <c r="AJ159" s="121"/>
      <c r="AK159" s="119" t="str">
        <f>IF([2]回答表!F17="下水道事業",IF([2]回答表!X45="●",[2]回答表!Y209,IF([2]回答表!AA45="●",[2]回答表!Y275,"")),"")</f>
        <v xml:space="preserve">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IF([2]回答表!F17="下水道事業",IF([2]回答表!AD45="●","●",""),"")</f>
        <v/>
      </c>
      <c r="O164" s="99"/>
      <c r="P164" s="99"/>
      <c r="Q164" s="100"/>
      <c r="R164" s="38"/>
      <c r="S164" s="38"/>
      <c r="T164" s="38"/>
      <c r="U164" s="107" t="str">
        <f>IF([2]回答表!F17="下水道事業",IF([2]回答表!AD45="●",[2]回答表!B289,""),"")</f>
        <v/>
      </c>
      <c r="V164" s="108"/>
      <c r="W164" s="108"/>
      <c r="X164" s="108"/>
      <c r="Y164" s="108"/>
      <c r="Z164" s="108"/>
      <c r="AA164" s="108"/>
      <c r="AB164" s="108"/>
      <c r="AC164" s="108"/>
      <c r="AD164" s="108"/>
      <c r="AE164" s="108"/>
      <c r="AF164" s="108"/>
      <c r="AG164" s="108"/>
      <c r="AH164" s="108"/>
      <c r="AI164" s="108"/>
      <c r="AJ164" s="109"/>
      <c r="AK164" s="55"/>
      <c r="AL164" s="55"/>
      <c r="AM164" s="107" t="str">
        <f>IF([2]回答表!F17="下水道事業",IF([2]回答表!AD45="●",[2]回答表!B295,""),"")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IF([2]回答表!BD17="●",IF([2]回答表!X45="●","●",""),"")</f>
        <v/>
      </c>
      <c r="O176" s="99"/>
      <c r="P176" s="99"/>
      <c r="Q176" s="100"/>
      <c r="R176" s="38"/>
      <c r="S176" s="38"/>
      <c r="T176" s="38"/>
      <c r="U176" s="107" t="str">
        <f>IF([2]回答表!BD17="●",IF([2]回答表!X45="●",[2]回答表!B158,IF([2]回答表!AA45="●",[2]回答表!B223,"")),"")</f>
        <v/>
      </c>
      <c r="V176" s="108"/>
      <c r="W176" s="108"/>
      <c r="X176" s="108"/>
      <c r="Y176" s="108"/>
      <c r="Z176" s="108"/>
      <c r="AA176" s="108"/>
      <c r="AB176" s="108"/>
      <c r="AC176" s="108"/>
      <c r="AD176" s="108"/>
      <c r="AE176" s="108"/>
      <c r="AF176" s="108"/>
      <c r="AG176" s="108"/>
      <c r="AH176" s="108"/>
      <c r="AI176" s="108"/>
      <c r="AJ176" s="109"/>
      <c r="AK176" s="49"/>
      <c r="AL176" s="49"/>
      <c r="AM176" s="116" t="str">
        <f>IF([2]回答表!BD17="●",IF([2]回答表!X45="●",[2]回答表!B212,IF([2]回答表!AA45="●",[2]回答表!B278,"")),"")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IF([2]回答表!BD17="●",IF([2]回答表!X45="●",[2]回答表!E212,IF([2]回答表!AA45="●",[2]回答表!E278,"")),"")</f>
        <v/>
      </c>
      <c r="AN179" s="84"/>
      <c r="AO179" s="84"/>
      <c r="AP179" s="84"/>
      <c r="AQ179" s="83" t="str">
        <f>IF([2]回答表!BD17="●",IF([2]回答表!X45="●",[2]回答表!E213,IF([2]回答表!AA45="●",[2]回答表!E279,"")),"")</f>
        <v/>
      </c>
      <c r="AR179" s="84"/>
      <c r="AS179" s="84"/>
      <c r="AT179" s="84"/>
      <c r="AU179" s="83" t="str">
        <f>IF([2]回答表!BD17="●",IF([2]回答表!X45="●",[2]回答表!E214,IF([2]回答表!AA45="●",[2]回答表!E280,"")),"")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IF([2]回答表!BD17="●",IF([2]回答表!AA45="●","●",""),"")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IF([2]回答表!BD17="●",IF([2]回答表!AD45="●","●",""),"")</f>
        <v/>
      </c>
      <c r="O188" s="99"/>
      <c r="P188" s="99"/>
      <c r="Q188" s="100"/>
      <c r="R188" s="38"/>
      <c r="S188" s="38"/>
      <c r="T188" s="38"/>
      <c r="U188" s="107" t="str">
        <f>IF([2]回答表!BD17="●",IF([2]回答表!AD45="●",[2]回答表!B289,""),"")</f>
        <v/>
      </c>
      <c r="V188" s="108"/>
      <c r="W188" s="108"/>
      <c r="X188" s="108"/>
      <c r="Y188" s="108"/>
      <c r="Z188" s="108"/>
      <c r="AA188" s="108"/>
      <c r="AB188" s="108"/>
      <c r="AC188" s="108"/>
      <c r="AD188" s="108"/>
      <c r="AE188" s="108"/>
      <c r="AF188" s="108"/>
      <c r="AG188" s="108"/>
      <c r="AH188" s="108"/>
      <c r="AI188" s="108"/>
      <c r="AJ188" s="109"/>
      <c r="AK188" s="55"/>
      <c r="AL188" s="55"/>
      <c r="AM188" s="107" t="str">
        <f>IF([2]回答表!BD17="●",IF([2]回答表!AD45="●",[2]回答表!B295,""),"")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IF([2]回答表!X46="●","●","")</f>
        <v/>
      </c>
      <c r="O200" s="99"/>
      <c r="P200" s="99"/>
      <c r="Q200" s="100"/>
      <c r="R200" s="38"/>
      <c r="S200" s="38"/>
      <c r="T200" s="38"/>
      <c r="U200" s="107" t="str">
        <f>IF([2]回答表!X46="●",[2]回答表!B307,IF([2]回答表!AA46="●",[2]回答表!B324,""))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IF([2]回答表!X46="●",[2]回答表!U313,IF([2]回答表!AA46="●",[2]回答表!U330,""))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IF([2]回答表!X46="●",[2]回答表!G313,IF([2]回答表!AA46="●",[2]回答表!G330,""))</f>
        <v/>
      </c>
      <c r="AN203" s="120"/>
      <c r="AO203" s="120"/>
      <c r="AP203" s="120"/>
      <c r="AQ203" s="120"/>
      <c r="AR203" s="120"/>
      <c r="AS203" s="120"/>
      <c r="AT203" s="121"/>
      <c r="AU203" s="119" t="str">
        <f>IF([2]回答表!X46="●",[2]回答表!G314,IF([2]回答表!AA46="●",[2]回答表!G331,""))</f>
        <v/>
      </c>
      <c r="AV203" s="120"/>
      <c r="AW203" s="120"/>
      <c r="AX203" s="120"/>
      <c r="AY203" s="120"/>
      <c r="AZ203" s="120"/>
      <c r="BA203" s="120"/>
      <c r="BB203" s="121"/>
      <c r="BC203" s="39"/>
      <c r="BD203" s="34"/>
      <c r="BE203" s="34"/>
      <c r="BF203" s="83" t="str">
        <f>IF([2]回答表!X46="●",[2]回答表!X313,IF([2]回答表!AA46="●",[2]回答表!X330,""))</f>
        <v/>
      </c>
      <c r="BG203" s="84"/>
      <c r="BH203" s="84"/>
      <c r="BI203" s="84"/>
      <c r="BJ203" s="83" t="str">
        <f>IF([2]回答表!X46="●",[2]回答表!X314,IF([2]回答表!AA46="●",[2]回答表!X331,""))</f>
        <v/>
      </c>
      <c r="BK203" s="84"/>
      <c r="BL203" s="84"/>
      <c r="BM203" s="87"/>
      <c r="BN203" s="83" t="str">
        <f>IF([2]回答表!X46="●",[2]回答表!X315,IF([2]回答表!AA46="●",[2]回答表!X332,""))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IF([2]回答表!AA46="●","●","")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IF([2]回答表!AD46="●","●","")</f>
        <v/>
      </c>
      <c r="O212" s="99"/>
      <c r="P212" s="99"/>
      <c r="Q212" s="100"/>
      <c r="R212" s="38"/>
      <c r="S212" s="38"/>
      <c r="T212" s="38"/>
      <c r="U212" s="107" t="str">
        <f>IF([2]回答表!AD46="●",[2]回答表!B337,"")</f>
        <v/>
      </c>
      <c r="V212" s="108"/>
      <c r="W212" s="108"/>
      <c r="X212" s="108"/>
      <c r="Y212" s="108"/>
      <c r="Z212" s="108"/>
      <c r="AA212" s="108"/>
      <c r="AB212" s="108"/>
      <c r="AC212" s="108"/>
      <c r="AD212" s="108"/>
      <c r="AE212" s="108"/>
      <c r="AF212" s="108"/>
      <c r="AG212" s="108"/>
      <c r="AH212" s="108"/>
      <c r="AI212" s="108"/>
      <c r="AJ212" s="109"/>
      <c r="AK212" s="62"/>
      <c r="AL212" s="62"/>
      <c r="AM212" s="107" t="str">
        <f>IF([2]回答表!AD46="●",[2]回答表!B343,"")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IF([2]回答表!X47="●","●","")</f>
        <v/>
      </c>
      <c r="O224" s="99"/>
      <c r="P224" s="99"/>
      <c r="Q224" s="100"/>
      <c r="R224" s="38"/>
      <c r="S224" s="38"/>
      <c r="T224" s="38"/>
      <c r="U224" s="107" t="str">
        <f>IF([2]回答表!X47="●",[2]回答表!B356,IF([2]回答表!AA47="●",[2]回答表!B379,""))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IF([2]回答表!X47="●",[2]回答表!B362,"")</f>
        <v/>
      </c>
      <c r="AO224" s="182"/>
      <c r="AP224" s="182"/>
      <c r="AQ224" s="182"/>
      <c r="AR224" s="182"/>
      <c r="AS224" s="182"/>
      <c r="AT224" s="182"/>
      <c r="AU224" s="182"/>
      <c r="AV224" s="182"/>
      <c r="AW224" s="182"/>
      <c r="AX224" s="182"/>
      <c r="AY224" s="182"/>
      <c r="AZ224" s="182"/>
      <c r="BA224" s="182"/>
      <c r="BB224" s="183"/>
      <c r="BC224" s="39"/>
      <c r="BD224" s="34"/>
      <c r="BE224" s="34"/>
      <c r="BF224" s="116" t="str">
        <f>IF([2]回答表!X47="●",[2]回答表!B368,IF([2]回答表!AA47="●",[2]回答表!B385,""))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IF([2]回答表!X47="●",[2]回答表!E368,IF([2]回答表!AA47="●",[2]回答表!E385,""))</f>
        <v/>
      </c>
      <c r="BG227" s="84"/>
      <c r="BH227" s="84"/>
      <c r="BI227" s="84"/>
      <c r="BJ227" s="83" t="str">
        <f>IF([2]回答表!X47="●",[2]回答表!E369,IF([2]回答表!AA47="●",[2]回答表!E386,""))</f>
        <v/>
      </c>
      <c r="BK227" s="84"/>
      <c r="BL227" s="84"/>
      <c r="BM227" s="87"/>
      <c r="BN227" s="83" t="str">
        <f>IF([2]回答表!X47="●",[2]回答表!E370,IF([2]回答表!AA47="●",[2]回答表!E387,""))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IF([2]回答表!AA47="●","●","")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IF([2]回答表!AD47="●","●","")</f>
        <v/>
      </c>
      <c r="O236" s="99"/>
      <c r="P236" s="99"/>
      <c r="Q236" s="100"/>
      <c r="R236" s="38"/>
      <c r="S236" s="38"/>
      <c r="T236" s="38"/>
      <c r="U236" s="107" t="str">
        <f>IF([2]回答表!AD47="●",[2]回答表!B392,"")</f>
        <v/>
      </c>
      <c r="V236" s="108"/>
      <c r="W236" s="108"/>
      <c r="X236" s="108"/>
      <c r="Y236" s="108"/>
      <c r="Z236" s="108"/>
      <c r="AA236" s="108"/>
      <c r="AB236" s="108"/>
      <c r="AC236" s="108"/>
      <c r="AD236" s="108"/>
      <c r="AE236" s="108"/>
      <c r="AF236" s="108"/>
      <c r="AG236" s="108"/>
      <c r="AH236" s="108"/>
      <c r="AI236" s="108"/>
      <c r="AJ236" s="109"/>
      <c r="AK236" s="62"/>
      <c r="AL236" s="62"/>
      <c r="AM236" s="107" t="str">
        <f>IF([2]回答表!AD47="●",[2]回答表!B398,"")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21" customHeight="1" x14ac:dyDescent="0.4">
      <c r="A248" s="24"/>
      <c r="B248" s="24"/>
      <c r="C248" s="32"/>
      <c r="D248" s="89" t="s">
        <v>18</v>
      </c>
      <c r="E248" s="90"/>
      <c r="F248" s="90"/>
      <c r="G248" s="90"/>
      <c r="H248" s="90"/>
      <c r="I248" s="90"/>
      <c r="J248" s="90"/>
      <c r="K248" s="90"/>
      <c r="L248" s="90"/>
      <c r="M248" s="91"/>
      <c r="N248" s="98" t="str">
        <f>IF([2]回答表!X48="●","●","")</f>
        <v>●</v>
      </c>
      <c r="O248" s="99"/>
      <c r="P248" s="99"/>
      <c r="Q248" s="100"/>
      <c r="R248" s="38"/>
      <c r="S248" s="38"/>
      <c r="T248" s="38"/>
      <c r="U248" s="107" t="str">
        <f>IF([2]回答表!X48="●",[2]回答表!B411,IF([2]回答表!AA48="●",[2]回答表!B425,""))</f>
        <v>　大館市川口・立花地区の公共下水道未普及解消事業（管渠整備）においてＰＰＰ手法を導入し早期の完成を目指す。
 総事業費で10％の縮減、工事は約１．３倍程度のスピードが可能となるため工期短縮効果がある。</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IF([2]回答表!X48="●",[2]回答表!BC418,IF([2]回答表!AA48="●",[2]回答表!BC432,""))</f>
        <v>　</v>
      </c>
      <c r="AR248" s="151"/>
      <c r="AS248" s="151"/>
      <c r="AT248" s="151"/>
      <c r="AU248" s="173" t="s">
        <v>73</v>
      </c>
      <c r="AV248" s="174"/>
      <c r="AW248" s="174"/>
      <c r="AX248" s="175"/>
      <c r="AY248" s="151" t="str">
        <f>IF([2]回答表!X48="●",[2]回答表!BC423,IF([2]回答表!AA48="●",[2]回答表!BC437,""))</f>
        <v>　</v>
      </c>
      <c r="AZ248" s="151"/>
      <c r="BA248" s="151"/>
      <c r="BB248" s="151"/>
      <c r="BC248" s="39"/>
      <c r="BD248" s="34"/>
      <c r="BE248" s="34"/>
      <c r="BF248" s="116" t="str">
        <f>IF([2]回答表!X48="●",[2]回答表!S417,IF([2]回答表!AA48="●",[2]回答表!S431,""))</f>
        <v>令和</v>
      </c>
      <c r="BG248" s="117"/>
      <c r="BH248" s="117"/>
      <c r="BI248" s="117"/>
      <c r="BJ248" s="116"/>
      <c r="BK248" s="117"/>
      <c r="BL248" s="117"/>
      <c r="BM248" s="117"/>
      <c r="BN248" s="116"/>
      <c r="BO248" s="117"/>
      <c r="BP248" s="117"/>
      <c r="BQ248" s="118"/>
      <c r="BR248" s="37"/>
      <c r="BS248" s="24"/>
    </row>
    <row r="249" spans="1:71" ht="21"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21"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IF([2]回答表!X48="●",[2]回答表!BC419,IF([2]回答表!AA48="●",[2]回答表!BC433,""))</f>
        <v>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21"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f>IF([2]回答表!X48="●",[2]回答表!V417,IF([2]回答表!AA48="●",[2]回答表!V431,""))</f>
        <v>1</v>
      </c>
      <c r="BG251" s="84"/>
      <c r="BH251" s="84"/>
      <c r="BI251" s="84"/>
      <c r="BJ251" s="83">
        <f>IF([2]回答表!X48="●",[2]回答表!V418,IF([2]回答表!AA48="●",[2]回答表!V432,""))</f>
        <v>5</v>
      </c>
      <c r="BK251" s="84"/>
      <c r="BL251" s="84"/>
      <c r="BM251" s="87"/>
      <c r="BN251" s="83">
        <f>IF([2]回答表!X48="●",[2]回答表!V419,IF([2]回答表!AA48="●",[2]回答表!V433,""))</f>
        <v>28</v>
      </c>
      <c r="BO251" s="84"/>
      <c r="BP251" s="84"/>
      <c r="BQ251" s="87"/>
      <c r="BR251" s="37"/>
      <c r="BS251" s="24"/>
    </row>
    <row r="252" spans="1:71" ht="21"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IF([2]回答表!X48="●",[2]回答表!BC420,IF([2]回答表!AA48="●",[2]回答表!BC434,""))</f>
        <v>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21"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IF([2]回答表!X48="●",[2]回答表!BC424,IF([2]回答表!AA48="●",[2]回答表!BC438,""))</f>
        <v>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21" customHeight="1" x14ac:dyDescent="0.4">
      <c r="A254" s="24"/>
      <c r="B254" s="24"/>
      <c r="C254" s="32"/>
      <c r="D254" s="134" t="s">
        <v>26</v>
      </c>
      <c r="E254" s="135"/>
      <c r="F254" s="135"/>
      <c r="G254" s="135"/>
      <c r="H254" s="135"/>
      <c r="I254" s="135"/>
      <c r="J254" s="135"/>
      <c r="K254" s="135"/>
      <c r="L254" s="135"/>
      <c r="M254" s="136"/>
      <c r="N254" s="98" t="str">
        <f>IF([2]回答表!AA48="●","●","")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IF([2]回答表!X48="●",[2]回答表!BC421,IF([2]回答表!AA48="●",[2]回答表!BC435,""))</f>
        <v>●</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21"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21"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IF([2]回答表!X48="●",[2]回答表!BC422,IF([2]回答表!AA48="●",[2]回答表!BC436,""))</f>
        <v>　</v>
      </c>
      <c r="AR256" s="151"/>
      <c r="AS256" s="151"/>
      <c r="AT256" s="151"/>
      <c r="AU256" s="152" t="s">
        <v>79</v>
      </c>
      <c r="AV256" s="153"/>
      <c r="AW256" s="153"/>
      <c r="AX256" s="154"/>
      <c r="AY256" s="158" t="str">
        <f>IF([2]回答表!X48="●",[2]回答表!BC425,IF([2]回答表!AA48="●",[2]回答表!BC439,""))</f>
        <v>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21"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IF([2]回答表!AD48="●","●","")</f>
        <v/>
      </c>
      <c r="O260" s="99"/>
      <c r="P260" s="99"/>
      <c r="Q260" s="100"/>
      <c r="R260" s="38"/>
      <c r="S260" s="38"/>
      <c r="T260" s="38"/>
      <c r="U260" s="107" t="str">
        <f>IF([2]回答表!AD48="●",[2]回答表!B439,"")</f>
        <v/>
      </c>
      <c r="V260" s="108"/>
      <c r="W260" s="108"/>
      <c r="X260" s="108"/>
      <c r="Y260" s="108"/>
      <c r="Z260" s="108"/>
      <c r="AA260" s="108"/>
      <c r="AB260" s="108"/>
      <c r="AC260" s="108"/>
      <c r="AD260" s="108"/>
      <c r="AE260" s="108"/>
      <c r="AF260" s="108"/>
      <c r="AG260" s="108"/>
      <c r="AH260" s="108"/>
      <c r="AI260" s="108"/>
      <c r="AJ260" s="109"/>
      <c r="AK260" s="55"/>
      <c r="AL260" s="55"/>
      <c r="AM260" s="107" t="str">
        <f>IF([2]回答表!AD48="●",[2]回答表!B445,"")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IF([2]回答表!X49="●","●","")</f>
        <v/>
      </c>
      <c r="O271" s="99"/>
      <c r="P271" s="99"/>
      <c r="Q271" s="100"/>
      <c r="R271" s="38"/>
      <c r="S271" s="38"/>
      <c r="T271" s="38"/>
      <c r="U271" s="107" t="str">
        <f>IF([2]回答表!X49="●",[2]回答表!B458,IF([2]回答表!AA49="●",[2]回答表!B475,""))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IF([2]回答表!X49="●",[2]回答表!B468,IF([2]回答表!AA49="●",[2]回答表!B485,""))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IF([2]回答表!X49="●",[2]回答表!G464,IF([2]回答表!AA49="●",[2]回答表!G481,""))</f>
        <v/>
      </c>
      <c r="AN273" s="120"/>
      <c r="AO273" s="120"/>
      <c r="AP273" s="120"/>
      <c r="AQ273" s="120"/>
      <c r="AR273" s="120"/>
      <c r="AS273" s="120"/>
      <c r="AT273" s="121"/>
      <c r="AU273" s="119" t="str">
        <f>IF([2]回答表!X49="●",[2]回答表!G465,IF([2]回答表!AA49="●",[2]回答表!G482,""))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IF([2]回答表!X49="●",[2]回答表!E468,IF([2]回答表!AA49="●",[2]回答表!E485,""))</f>
        <v/>
      </c>
      <c r="BG274" s="84"/>
      <c r="BH274" s="84"/>
      <c r="BI274" s="84"/>
      <c r="BJ274" s="83" t="str">
        <f>IF([2]回答表!X49="●",[2]回答表!E469,IF([2]回答表!AA49="●",[2]回答表!E486,""))</f>
        <v/>
      </c>
      <c r="BK274" s="84"/>
      <c r="BL274" s="84"/>
      <c r="BM274" s="87"/>
      <c r="BN274" s="83" t="str">
        <f>IF([2]回答表!X49="●",[2]回答表!E470,IF([2]回答表!AA49="●",[2]回答表!E487,""))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IF([2]回答表!AA49="●","●","")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IF([2]回答表!AD49="●","●","")</f>
        <v/>
      </c>
      <c r="O283" s="99"/>
      <c r="P283" s="99"/>
      <c r="Q283" s="100"/>
      <c r="R283" s="38"/>
      <c r="S283" s="38"/>
      <c r="T283" s="38"/>
      <c r="U283" s="107" t="str">
        <f>IF([2]回答表!AD49="●",[2]回答表!B492,"")</f>
        <v/>
      </c>
      <c r="V283" s="108"/>
      <c r="W283" s="108"/>
      <c r="X283" s="108"/>
      <c r="Y283" s="108"/>
      <c r="Z283" s="108"/>
      <c r="AA283" s="108"/>
      <c r="AB283" s="108"/>
      <c r="AC283" s="108"/>
      <c r="AD283" s="108"/>
      <c r="AE283" s="108"/>
      <c r="AF283" s="108"/>
      <c r="AG283" s="108"/>
      <c r="AH283" s="108"/>
      <c r="AI283" s="108"/>
      <c r="AJ283" s="109"/>
      <c r="AK283" s="49"/>
      <c r="AL283" s="49"/>
      <c r="AM283" s="107" t="str">
        <f>IF([2]回答表!AD49="●",[2]回答表!B498,"")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IF([2]回答表!R50="●",[2]回答表!B511,"")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9E41-B958-469E-A732-ACE22B55DCA5}">
  <sheetPr>
    <pageSetUpPr fitToPage="1"/>
  </sheetPr>
  <dimension ref="A1:CN315"/>
  <sheetViews>
    <sheetView showZeros="0" view="pageBreakPreview" zoomScale="60" zoomScaleNormal="55" workbookViewId="0">
      <selection activeCell="AM139" sqref="AM139:BC148"/>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IF(COUNTIF([4]回答表!K15,"*")&gt;0,[4]回答表!K15,"")</f>
        <v>大館市</v>
      </c>
      <c r="D11" s="299"/>
      <c r="E11" s="299"/>
      <c r="F11" s="299"/>
      <c r="G11" s="299"/>
      <c r="H11" s="299"/>
      <c r="I11" s="299"/>
      <c r="J11" s="299"/>
      <c r="K11" s="299"/>
      <c r="L11" s="299"/>
      <c r="M11" s="299"/>
      <c r="N11" s="299"/>
      <c r="O11" s="299"/>
      <c r="P11" s="299"/>
      <c r="Q11" s="299"/>
      <c r="R11" s="299"/>
      <c r="S11" s="299"/>
      <c r="T11" s="299"/>
      <c r="U11" s="306" t="str">
        <f>IF(COUNTIF([4]回答表!F17,"*")&gt;0,[4]回答表!F17,"")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IF(COUNTIF([4]回答表!W17,"*")&gt;0,[4]回答表!W17,"")</f>
        <v>農業集落排水施設</v>
      </c>
      <c r="AP11" s="301"/>
      <c r="AQ11" s="301"/>
      <c r="AR11" s="301"/>
      <c r="AS11" s="301"/>
      <c r="AT11" s="301"/>
      <c r="AU11" s="301"/>
      <c r="AV11" s="301"/>
      <c r="AW11" s="301"/>
      <c r="AX11" s="301"/>
      <c r="AY11" s="301"/>
      <c r="AZ11" s="301"/>
      <c r="BA11" s="301"/>
      <c r="BB11" s="301"/>
      <c r="BC11" s="301"/>
      <c r="BD11" s="301"/>
      <c r="BE11" s="301"/>
      <c r="BF11" s="302"/>
      <c r="BG11" s="305" t="str">
        <f>IF(COUNTIF([4]回答表!F19,"*")&gt;0,[4]回答表!F19,"")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IF([4]回答表!R43="●","●","")</f>
        <v>●</v>
      </c>
      <c r="E24" s="123"/>
      <c r="F24" s="123"/>
      <c r="G24" s="123"/>
      <c r="H24" s="123"/>
      <c r="I24" s="123"/>
      <c r="J24" s="124"/>
      <c r="K24" s="122" t="str">
        <f>IF([4]回答表!R44="●","●","")</f>
        <v/>
      </c>
      <c r="L24" s="123"/>
      <c r="M24" s="123"/>
      <c r="N24" s="123"/>
      <c r="O24" s="123"/>
      <c r="P24" s="123"/>
      <c r="Q24" s="124"/>
      <c r="R24" s="122" t="str">
        <f>IF([4]回答表!R45="●","●","")</f>
        <v>●</v>
      </c>
      <c r="S24" s="123"/>
      <c r="T24" s="123"/>
      <c r="U24" s="123"/>
      <c r="V24" s="123"/>
      <c r="W24" s="123"/>
      <c r="X24" s="124"/>
      <c r="Y24" s="122" t="str">
        <f>IF([4]回答表!R46="●","●","")</f>
        <v/>
      </c>
      <c r="Z24" s="123"/>
      <c r="AA24" s="123"/>
      <c r="AB24" s="123"/>
      <c r="AC24" s="123"/>
      <c r="AD24" s="123"/>
      <c r="AE24" s="124"/>
      <c r="AF24" s="122" t="str">
        <f>IF([4]回答表!R47="●","●","")</f>
        <v/>
      </c>
      <c r="AG24" s="123"/>
      <c r="AH24" s="123"/>
      <c r="AI24" s="123"/>
      <c r="AJ24" s="123"/>
      <c r="AK24" s="123"/>
      <c r="AL24" s="124"/>
      <c r="AM24" s="122" t="str">
        <f>IF([4]回答表!R48="●","●","")</f>
        <v/>
      </c>
      <c r="AN24" s="123"/>
      <c r="AO24" s="123"/>
      <c r="AP24" s="123"/>
      <c r="AQ24" s="123"/>
      <c r="AR24" s="123"/>
      <c r="AS24" s="124"/>
      <c r="AT24" s="122" t="str">
        <f>IF([4]回答表!R49="●","●","")</f>
        <v/>
      </c>
      <c r="AU24" s="123"/>
      <c r="AV24" s="123"/>
      <c r="AW24" s="123"/>
      <c r="AX24" s="123"/>
      <c r="AY24" s="123"/>
      <c r="AZ24" s="124"/>
      <c r="BA24" s="18"/>
      <c r="BB24" s="119" t="str">
        <f>IF([4]回答表!R50="●","●","")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IF([4]回答表!X43="●","●","")</f>
        <v/>
      </c>
      <c r="O36" s="99"/>
      <c r="P36" s="99"/>
      <c r="Q36" s="100"/>
      <c r="R36" s="38"/>
      <c r="S36" s="38"/>
      <c r="T36" s="38"/>
      <c r="U36" s="107" t="str">
        <f>IF([4]回答表!X43="●",[4]回答表!B59,IF([4]回答表!AA43="●",[4]回答表!B79,""))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IF([4]回答表!X43="●",[4]回答表!S65,IF([4]回答表!AA43="●",[4]回答表!S85,""))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IF([4]回答表!X43="●",[4]回答表!G65,IF([4]回答表!AA43="●",[4]回答表!G85,""))</f>
        <v/>
      </c>
      <c r="AN38" s="120"/>
      <c r="AO38" s="120"/>
      <c r="AP38" s="120"/>
      <c r="AQ38" s="120"/>
      <c r="AR38" s="120"/>
      <c r="AS38" s="120"/>
      <c r="AT38" s="121"/>
      <c r="AU38" s="119" t="str">
        <f>IF([4]回答表!X43="●",[4]回答表!G66,IF([4]回答表!AA43="●",[4]回答表!G86,""))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IF([4]回答表!X43="●",[4]回答表!V65,IF([4]回答表!AA43="●",[4]回答表!V85,""))</f>
        <v/>
      </c>
      <c r="BG39" s="249"/>
      <c r="BH39" s="249"/>
      <c r="BI39" s="250"/>
      <c r="BJ39" s="83" t="str">
        <f>IF([4]回答表!X43="●",[4]回答表!V66,IF([4]回答表!AA43="●",[4]回答表!V86,""))</f>
        <v/>
      </c>
      <c r="BK39" s="249"/>
      <c r="BL39" s="249"/>
      <c r="BM39" s="250"/>
      <c r="BN39" s="83" t="str">
        <f>IF([4]回答表!X43="●",[4]回答表!V67,IF([4]回答表!AA43="●",[4]回答表!V87,""))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IF([4]回答表!X43="●",[4]回答表!O71,IF([4]回答表!AA43="●",[4]回答表!O91,""))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IF([4]回答表!X43="●",[4]回答表!O72,IF([4]回答表!AA43="●",[4]回答表!O92,""))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IF([4]回答表!AA43="●","●","")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IF([4]回答表!X43="●",[4]回答表!O73,IF([4]回答表!AA43="●",[4]回答表!O93,""))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IF([4]回答表!X43="●",[4]回答表!O74,IF([4]回答表!AA43="●",[4]回答表!O94,""))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IF([4]回答表!X43="●",[4]回答表!AG71,IF([4]回答表!AA43="●",[4]回答表!AG91,""))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IF([4]回答表!X43="●",[4]回答表!AG72,IF([4]回答表!AA43="●",[4]回答表!AG92,""))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35.25" customHeight="1" x14ac:dyDescent="0.4">
      <c r="A51" s="24"/>
      <c r="B51" s="24"/>
      <c r="C51" s="32"/>
      <c r="D51" s="89" t="s">
        <v>33</v>
      </c>
      <c r="E51" s="90"/>
      <c r="F51" s="90"/>
      <c r="G51" s="90"/>
      <c r="H51" s="90"/>
      <c r="I51" s="90"/>
      <c r="J51" s="90"/>
      <c r="K51" s="90"/>
      <c r="L51" s="90"/>
      <c r="M51" s="91"/>
      <c r="N51" s="98" t="str">
        <f>IF([4]回答表!AD43="●","●","")</f>
        <v>●</v>
      </c>
      <c r="O51" s="99"/>
      <c r="P51" s="99"/>
      <c r="Q51" s="100"/>
      <c r="R51" s="38"/>
      <c r="S51" s="38"/>
      <c r="T51" s="38"/>
      <c r="U51" s="107" t="str">
        <f>IF([4]回答表!AD43="●",[4]回答表!B99,"")</f>
        <v xml:space="preserve">当市の農集地域、11箇所のうち、10地区について公共接続、残り1地区については、集合処理浄化槽転換を検討している。
</v>
      </c>
      <c r="V51" s="108"/>
      <c r="W51" s="108"/>
      <c r="X51" s="108"/>
      <c r="Y51" s="108"/>
      <c r="Z51" s="108"/>
      <c r="AA51" s="108"/>
      <c r="AB51" s="108"/>
      <c r="AC51" s="108"/>
      <c r="AD51" s="108"/>
      <c r="AE51" s="108"/>
      <c r="AF51" s="108"/>
      <c r="AG51" s="108"/>
      <c r="AH51" s="108"/>
      <c r="AI51" s="108"/>
      <c r="AJ51" s="109"/>
      <c r="AK51" s="55"/>
      <c r="AL51" s="55"/>
      <c r="AM51" s="107" t="str">
        <f>IF([4]回答表!AD43="●",[4]回答表!B104,"")</f>
        <v>10地区について公共接続・処理場廃止としているが、生活排水処理整備構想で、平面地図上だけの検討のため３次元的に接続予定箇所の検討が必要</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35.25"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35.25"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35.25"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IF([4]回答表!X44="●","●","")</f>
        <v/>
      </c>
      <c r="O62" s="99"/>
      <c r="P62" s="99"/>
      <c r="Q62" s="100"/>
      <c r="R62" s="38"/>
      <c r="S62" s="38"/>
      <c r="T62" s="38"/>
      <c r="U62" s="107" t="str">
        <f>IF([4]回答表!X44="●",[4]回答表!B115,IF([4]回答表!AA44="●",[4]回答表!B127,""))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IF([4]回答表!X44="●",[4]回答表!S121,IF([4]回答表!AA44="●",[4]回答表!S133,""))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IF([4]回答表!X44="●",[4]回答表!J121,IF([4]回答表!AA44="●",[4]回答表!J133,""))</f>
        <v/>
      </c>
      <c r="AN65" s="120"/>
      <c r="AO65" s="120"/>
      <c r="AP65" s="120"/>
      <c r="AQ65" s="120"/>
      <c r="AR65" s="120"/>
      <c r="AS65" s="120"/>
      <c r="AT65" s="121"/>
      <c r="AU65" s="119" t="str">
        <f>IF([4]回答表!X44="●",[4]回答表!J122,IF([4]回答表!AA44="●",[4]回答表!J134,""))</f>
        <v/>
      </c>
      <c r="AV65" s="120"/>
      <c r="AW65" s="120"/>
      <c r="AX65" s="120"/>
      <c r="AY65" s="120"/>
      <c r="AZ65" s="120"/>
      <c r="BA65" s="120"/>
      <c r="BB65" s="121"/>
      <c r="BC65" s="39"/>
      <c r="BD65" s="34"/>
      <c r="BE65" s="34"/>
      <c r="BF65" s="83" t="str">
        <f>IF([4]回答表!X44="●",[4]回答表!V121,IF([4]回答表!AA44="●",[4]回答表!V133,""))</f>
        <v/>
      </c>
      <c r="BG65" s="84"/>
      <c r="BH65" s="84"/>
      <c r="BI65" s="84"/>
      <c r="BJ65" s="83" t="str">
        <f>IF([4]回答表!X44="●",[4]回答表!V122,IF([4]回答表!AA44="●",[4]回答表!V134,""))</f>
        <v/>
      </c>
      <c r="BK65" s="84"/>
      <c r="BL65" s="84"/>
      <c r="BM65" s="84"/>
      <c r="BN65" s="83" t="str">
        <f>IF([4]回答表!X44="●",[4]回答表!V123,IF([4]回答表!AA44="●",[4]回答表!V135,""))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IF([4]回答表!AA44="●","●","")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IF([4]回答表!AD44="●","●","")</f>
        <v/>
      </c>
      <c r="O74" s="99"/>
      <c r="P74" s="99"/>
      <c r="Q74" s="100"/>
      <c r="R74" s="38"/>
      <c r="S74" s="38"/>
      <c r="T74" s="38"/>
      <c r="U74" s="107" t="str">
        <f>IF([4]回答表!AD44="●",[4]回答表!B140,"")</f>
        <v/>
      </c>
      <c r="V74" s="108"/>
      <c r="W74" s="108"/>
      <c r="X74" s="108"/>
      <c r="Y74" s="108"/>
      <c r="Z74" s="108"/>
      <c r="AA74" s="108"/>
      <c r="AB74" s="108"/>
      <c r="AC74" s="108"/>
      <c r="AD74" s="108"/>
      <c r="AE74" s="108"/>
      <c r="AF74" s="108"/>
      <c r="AG74" s="108"/>
      <c r="AH74" s="108"/>
      <c r="AI74" s="108"/>
      <c r="AJ74" s="109"/>
      <c r="AK74" s="55"/>
      <c r="AL74" s="55"/>
      <c r="AM74" s="107" t="str">
        <f>IF([4]回答表!AD44="●",[4]回答表!B146,"")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IF([4]回答表!F17="水道事業",IF([4]回答表!X45="●","●",""),"")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IF([4]回答表!F17="水道事業",IF([4]回答表!X45="●",[4]回答表!B158,IF([4]回答表!AA45="●",[4]回答表!B223,"")),"")</f>
        <v/>
      </c>
      <c r="AN86" s="212"/>
      <c r="AO86" s="212"/>
      <c r="AP86" s="212"/>
      <c r="AQ86" s="212"/>
      <c r="AR86" s="212"/>
      <c r="AS86" s="212"/>
      <c r="AT86" s="212"/>
      <c r="AU86" s="212"/>
      <c r="AV86" s="212"/>
      <c r="AW86" s="212"/>
      <c r="AX86" s="212"/>
      <c r="AY86" s="212"/>
      <c r="AZ86" s="212"/>
      <c r="BA86" s="212"/>
      <c r="BB86" s="212"/>
      <c r="BC86" s="213"/>
      <c r="BD86" s="34"/>
      <c r="BE86" s="34"/>
      <c r="BF86" s="116" t="str">
        <f>IF([4]回答表!F17="水道事業",IF([4]回答表!X45="●",[4]回答表!B212,IF([4]回答表!AA45="●",[4]回答表!B278,"")),"")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IF([4]回答表!F17="水道事業",IF([4]回答表!X45="●",[4]回答表!J166,IF([4]回答表!AA45="●",[4]回答表!J231,"")),"")</f>
        <v/>
      </c>
      <c r="V88" s="120"/>
      <c r="W88" s="120"/>
      <c r="X88" s="120"/>
      <c r="Y88" s="120"/>
      <c r="Z88" s="120"/>
      <c r="AA88" s="120"/>
      <c r="AB88" s="121"/>
      <c r="AC88" s="119" t="str">
        <f>IF([4]回答表!F17="水道事業",IF([4]回答表!X45="●",[4]回答表!J173,IF([4]回答表!AA45="●",[4]回答表!J238,"")),"")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IF([4]回答表!F17="水道事業",IF([4]回答表!X45="●",[4]回答表!E212,IF([4]回答表!AA45="●",[4]回答表!E278,"")),"")</f>
        <v/>
      </c>
      <c r="BG89" s="84"/>
      <c r="BH89" s="84"/>
      <c r="BI89" s="84"/>
      <c r="BJ89" s="83" t="str">
        <f>IF([4]回答表!F17="水道事業",IF([4]回答表!X45="●",[4]回答表!E213,IF([4]回答表!AA45="●",[4]回答表!E279,"")),"")</f>
        <v/>
      </c>
      <c r="BK89" s="84"/>
      <c r="BL89" s="84"/>
      <c r="BM89" s="84"/>
      <c r="BN89" s="83" t="str">
        <f>IF([4]回答表!F17="水道事業",IF([4]回答表!X45="●",[4]回答表!E214,IF([4]回答表!AA45="●",[4]回答表!E280,"")),"")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IF([4]回答表!F17="水道事業",IF([4]回答表!AA45="●","●",""),"")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IF([4]回答表!F17="水道事業",IF([4]回答表!X45="●",[4]回答表!J176,IF([4]回答表!AA45="●",[4]回答表!J241,"")),"")</f>
        <v/>
      </c>
      <c r="V93" s="120"/>
      <c r="W93" s="120"/>
      <c r="X93" s="120"/>
      <c r="Y93" s="120"/>
      <c r="Z93" s="120"/>
      <c r="AA93" s="120"/>
      <c r="AB93" s="121"/>
      <c r="AC93" s="119" t="str">
        <f>IF([4]回答表!F17="水道事業",IF([4]回答表!X45="●",[4]回答表!J180,IF([4]回答表!AA45="●",[4]回答表!J245,"")),"")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IF([4]回答表!F17="水道事業",IF([4]回答表!AD45="●","●",""),"")</f>
        <v/>
      </c>
      <c r="O98" s="99"/>
      <c r="P98" s="99"/>
      <c r="Q98" s="100"/>
      <c r="R98" s="38"/>
      <c r="S98" s="38"/>
      <c r="T98" s="38"/>
      <c r="U98" s="107" t="str">
        <f>IF([4]回答表!F17="水道事業",IF([4]回答表!AD45="●",[4]回答表!B289,""),"")</f>
        <v/>
      </c>
      <c r="V98" s="108"/>
      <c r="W98" s="108"/>
      <c r="X98" s="108"/>
      <c r="Y98" s="108"/>
      <c r="Z98" s="108"/>
      <c r="AA98" s="108"/>
      <c r="AB98" s="108"/>
      <c r="AC98" s="108"/>
      <c r="AD98" s="108"/>
      <c r="AE98" s="108"/>
      <c r="AF98" s="108"/>
      <c r="AG98" s="108"/>
      <c r="AH98" s="108"/>
      <c r="AI98" s="108"/>
      <c r="AJ98" s="109"/>
      <c r="AK98" s="55"/>
      <c r="AL98" s="55"/>
      <c r="AM98" s="107" t="str">
        <f>IF([4]回答表!F17="水道事業",IF([4]回答表!AD45="●",[4]回答表!B295,""),"")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IF([4]回答表!F17="簡易水道事業",IF([4]回答表!X45="●",[4]回答表!B158,IF([4]回答表!AA45="●",[4]回答表!B223,"")),"")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IF([4]回答表!F17="簡易水道事業",IF([4]回答表!X45="●",[4]回答表!B212,IF([4]回答表!AA45="●",[4]回答表!B278,"")),"")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IF([4]回答表!F17="簡易水道事業",IF([4]回答表!X45="●","●",""),"")</f>
        <v/>
      </c>
      <c r="O112" s="99"/>
      <c r="P112" s="99"/>
      <c r="Q112" s="100"/>
      <c r="R112" s="38"/>
      <c r="S112" s="38"/>
      <c r="T112" s="38"/>
      <c r="U112" s="119" t="str">
        <f>IF([4]回答表!F17="簡易水道事業",IF([4]回答表!X45="●",[4]回答表!Y185,IF([4]回答表!AA45="●",[4]回答表!Y251,"")),"")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IF([4]回答表!F17="簡易水道事業",IF([4]回答表!X45="●",[4]回答表!E212,IF([4]回答表!AA45="●",[4]回答表!E278,"")),"")</f>
        <v/>
      </c>
      <c r="BG113" s="84"/>
      <c r="BH113" s="84"/>
      <c r="BI113" s="84"/>
      <c r="BJ113" s="83" t="str">
        <f>IF([4]回答表!F17="簡易水道事業",IF([4]回答表!X45="●",[4]回答表!E213,IF([4]回答表!AA45="●",[4]回答表!E279,"")),"")</f>
        <v/>
      </c>
      <c r="BK113" s="84"/>
      <c r="BL113" s="84"/>
      <c r="BM113" s="84"/>
      <c r="BN113" s="83" t="str">
        <f>IF([4]回答表!F17="簡易水道事業",IF([4]回答表!X45="●",[4]回答表!E214,IF([4]回答表!AA45="●",[4]回答表!E280,"")),"")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IF([4]回答表!F17="簡易水道事業",IF([4]回答表!X45="●",[4]回答表!Y186,IF([4]回答表!AA45="●",[4]回答表!Y252,"")),"")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IF([4]回答表!F17="簡易水道事業",IF([4]回答表!AA45="●","●",""),"")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IF([4]回答表!F17="簡易水道事業",IF([4]回答表!X45="●",[4]回答表!Y187,IF([4]回答表!AA45="●",[4]回答表!Y253,"")),"")</f>
        <v/>
      </c>
      <c r="V122" s="120"/>
      <c r="W122" s="120"/>
      <c r="X122" s="120"/>
      <c r="Y122" s="120"/>
      <c r="Z122" s="120"/>
      <c r="AA122" s="120"/>
      <c r="AB122" s="120"/>
      <c r="AC122" s="120"/>
      <c r="AD122" s="120"/>
      <c r="AE122" s="120"/>
      <c r="AF122" s="120"/>
      <c r="AG122" s="120"/>
      <c r="AH122" s="120"/>
      <c r="AI122" s="120"/>
      <c r="AJ122" s="121"/>
      <c r="AK122" s="18"/>
      <c r="AL122" s="18"/>
      <c r="AM122" s="228" t="str">
        <f>IF([4]回答表!F17="簡易水道事業",IF([4]回答表!X45="●",[4]回答表!Y189,IF([4]回答表!AA45="●",[4]回答表!Y255,"")),"")</f>
        <v/>
      </c>
      <c r="AN122" s="228"/>
      <c r="AO122" s="228"/>
      <c r="AP122" s="228"/>
      <c r="AQ122" s="228"/>
      <c r="AR122" s="228"/>
      <c r="AS122" s="228" t="str">
        <f>IF([4]回答表!F17="簡易水道事業",IF([4]回答表!X45="●",[4]回答表!Y190,IF([4]回答表!AA45="●",[4]回答表!Y256,"")),"")</f>
        <v/>
      </c>
      <c r="AT122" s="228"/>
      <c r="AU122" s="228"/>
      <c r="AV122" s="228"/>
      <c r="AW122" s="228"/>
      <c r="AX122" s="228"/>
      <c r="AY122" s="228" t="str">
        <f>IF([4]回答表!F17="簡易水道事業",IF([4]回答表!X45="●",[4]回答表!Y191,IF([4]回答表!AA45="●",[4]回答表!Y257,"")),"")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IF([4]回答表!F17="簡易水道事業",IF([4]回答表!AD45="●","●",""),"")</f>
        <v/>
      </c>
      <c r="O127" s="99"/>
      <c r="P127" s="99"/>
      <c r="Q127" s="100"/>
      <c r="R127" s="38"/>
      <c r="S127" s="38"/>
      <c r="T127" s="38"/>
      <c r="U127" s="107" t="str">
        <f>IF([4]回答表!F17="簡易水道事業",IF([4]回答表!AD45="●",[4]回答表!B289,""),"")</f>
        <v/>
      </c>
      <c r="V127" s="108"/>
      <c r="W127" s="108"/>
      <c r="X127" s="108"/>
      <c r="Y127" s="108"/>
      <c r="Z127" s="108"/>
      <c r="AA127" s="108"/>
      <c r="AB127" s="108"/>
      <c r="AC127" s="108"/>
      <c r="AD127" s="108"/>
      <c r="AE127" s="108"/>
      <c r="AF127" s="108"/>
      <c r="AG127" s="108"/>
      <c r="AH127" s="108"/>
      <c r="AI127" s="108"/>
      <c r="AJ127" s="109"/>
      <c r="AK127" s="55"/>
      <c r="AL127" s="55"/>
      <c r="AM127" s="107" t="str">
        <f>IF([4]回答表!F17="簡易水道事業",IF([4]回答表!AD45="●",[4]回答表!B295,""),"")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IF([4]回答表!F17="下水道事業",IF([4]回答表!X45="●","●",""),"")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IF([4]回答表!F17="下水道事業",IF([4]回答表!X45="●",[4]回答表!B158,IF([4]回答表!AA45="●",[4]回答表!B223,"")),"")</f>
        <v>10地区について公共接続・処理場廃止とし、流域処理場への流入処理を予定・検討している。うち真中地区の統合事業が実施予定で、公共接続により、農業集落排水事業で行う場合に比べて年間3,465千円の管理費減少が見込まれる。他９地区は計画段階。</v>
      </c>
      <c r="AN139" s="212"/>
      <c r="AO139" s="212"/>
      <c r="AP139" s="212"/>
      <c r="AQ139" s="212"/>
      <c r="AR139" s="212"/>
      <c r="AS139" s="212"/>
      <c r="AT139" s="212"/>
      <c r="AU139" s="212"/>
      <c r="AV139" s="212"/>
      <c r="AW139" s="212"/>
      <c r="AX139" s="212"/>
      <c r="AY139" s="212"/>
      <c r="AZ139" s="212"/>
      <c r="BA139" s="212"/>
      <c r="BB139" s="212"/>
      <c r="BC139" s="213"/>
      <c r="BD139" s="34"/>
      <c r="BE139" s="34"/>
      <c r="BF139" s="116" t="str">
        <f>IF([4]回答表!F17="下水道事業",IF([4]回答表!X45="●",[4]回答表!B212,IF([4]回答表!AA45="●",[4]回答表!B278,"")),"")</f>
        <v>令和</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IF([4]回答表!F17="下水道事業",IF([4]回答表!X45="●",[4]回答表!Y193,IF([4]回答表!AA45="●",[4]回答表!Y259,"")),"")</f>
        <v>●</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f>IF([4]回答表!F17="下水道事業",IF([4]回答表!X45="●",[4]回答表!E212,IF([4]回答表!AA45="●",[4]回答表!E278,"")),"")</f>
        <v>4</v>
      </c>
      <c r="BG142" s="84"/>
      <c r="BH142" s="84"/>
      <c r="BI142" s="84"/>
      <c r="BJ142" s="83">
        <f>IF([4]回答表!F17="下水道事業",IF([4]回答表!X45="●",[4]回答表!E213,IF([4]回答表!AA45="●",[4]回答表!E279,"")),"")</f>
        <v>4</v>
      </c>
      <c r="BK142" s="84"/>
      <c r="BL142" s="84"/>
      <c r="BM142" s="84"/>
      <c r="BN142" s="83">
        <f>IF([4]回答表!F17="下水道事業",IF([4]回答表!X45="●",[4]回答表!E214,IF([4]回答表!AA45="●",[4]回答表!E280,"")),"")</f>
        <v>1</v>
      </c>
      <c r="BO142" s="84"/>
      <c r="BP142" s="84"/>
      <c r="BQ142" s="87"/>
      <c r="BR142" s="37"/>
      <c r="BX142" s="211" t="str">
        <f>IF([4]回答表!AQ20="下水道事業",IF([4]回答表!BI48="○",[4]回答表!AM161,IF([4]回答表!BL48="○",[4]回答表!AM226,"")),"")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IF([4]回答表!F17="下水道事業",IF([4]回答表!X45="●",[4]回答表!Y195,IF([4]回答表!AA45="●",[4]回答表!Y261,"")),"")</f>
        <v>●</v>
      </c>
      <c r="V147" s="120"/>
      <c r="W147" s="120"/>
      <c r="X147" s="120"/>
      <c r="Y147" s="120"/>
      <c r="Z147" s="120"/>
      <c r="AA147" s="120"/>
      <c r="AB147" s="121"/>
      <c r="AC147" s="119" t="str">
        <f>IF([4]回答表!F17="下水道事業",IF([4]回答表!X45="●",[4]回答表!Y196,IF([4]回答表!AA45="●",[4]回答表!Y262,"")),"")</f>
        <v xml:space="preserve">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IF([4]回答表!F17="下水道事業",IF([4]回答表!X45="●",[4]回答表!Y198,IF([4]回答表!AA45="●",[4]回答表!Y264,"")),"")</f>
        <v xml:space="preserve"> </v>
      </c>
      <c r="V153" s="120"/>
      <c r="W153" s="120"/>
      <c r="X153" s="120"/>
      <c r="Y153" s="120"/>
      <c r="Z153" s="120"/>
      <c r="AA153" s="120"/>
      <c r="AB153" s="121"/>
      <c r="AC153" s="119" t="str">
        <f>IF([4]回答表!F17="下水道事業",IF([4]回答表!X45="●",[4]回答表!Y199,IF([4]回答表!AA45="●",[4]回答表!Y265,"")),"")</f>
        <v xml:space="preserve"> </v>
      </c>
      <c r="AD153" s="120"/>
      <c r="AE153" s="120"/>
      <c r="AF153" s="120"/>
      <c r="AG153" s="120"/>
      <c r="AH153" s="120"/>
      <c r="AI153" s="120"/>
      <c r="AJ153" s="121"/>
      <c r="AK153" s="119" t="str">
        <f>IF([4]回答表!F17="下水道事業",IF([4]回答表!X45="●",[4]回答表!Y200,IF([4]回答表!AA45="●",[4]回答表!Y266,"")),"")</f>
        <v>●</v>
      </c>
      <c r="AL153" s="120"/>
      <c r="AM153" s="120"/>
      <c r="AN153" s="120"/>
      <c r="AO153" s="120"/>
      <c r="AP153" s="120"/>
      <c r="AQ153" s="120"/>
      <c r="AR153" s="121"/>
      <c r="AS153" s="119" t="str">
        <f>IF([4]回答表!F17="下水道事業",IF([4]回答表!X45="●",[4]回答表!Y201,IF([4]回答表!AA45="●",[4]回答表!Y267,"")),"")</f>
        <v xml:space="preserve"> </v>
      </c>
      <c r="AT153" s="120"/>
      <c r="AU153" s="120"/>
      <c r="AV153" s="120"/>
      <c r="AW153" s="120"/>
      <c r="AX153" s="120"/>
      <c r="AY153" s="120"/>
      <c r="AZ153" s="121"/>
      <c r="BA153" s="119" t="str">
        <f>IF([4]回答表!F17="下水道事業",IF([4]回答表!X45="●",[4]回答表!Y202,IF([4]回答表!AA45="●",[4]回答表!Y268,"")),"")</f>
        <v xml:space="preserve">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IF([4]回答表!F17="下水道事業",IF([4]回答表!AA45="●","●",""),"")</f>
        <v>●</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IF([4]回答表!F17="下水道事業",IF([4]回答表!X45="●",[4]回答表!Y207,IF([4]回答表!AA45="●",[4]回答表!Y273,"")),"")</f>
        <v xml:space="preserve"> </v>
      </c>
      <c r="V159" s="120"/>
      <c r="W159" s="120"/>
      <c r="X159" s="120"/>
      <c r="Y159" s="120"/>
      <c r="Z159" s="120"/>
      <c r="AA159" s="120"/>
      <c r="AB159" s="121"/>
      <c r="AC159" s="119" t="str">
        <f>IF([4]回答表!F17="下水道事業",IF([4]回答表!X45="●",[4]回答表!Y208,IF([4]回答表!AA45="●",[4]回答表!Y274,"")),"")</f>
        <v xml:space="preserve"> </v>
      </c>
      <c r="AD159" s="120"/>
      <c r="AE159" s="120"/>
      <c r="AF159" s="120"/>
      <c r="AG159" s="120"/>
      <c r="AH159" s="120"/>
      <c r="AI159" s="120"/>
      <c r="AJ159" s="121"/>
      <c r="AK159" s="119" t="str">
        <f>IF([4]回答表!F17="下水道事業",IF([4]回答表!X45="●",[4]回答表!Y209,IF([4]回答表!AA45="●",[4]回答表!Y275,"")),"")</f>
        <v>●</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IF([4]回答表!F17="下水道事業",IF([4]回答表!AD45="●","●",""),"")</f>
        <v/>
      </c>
      <c r="O164" s="99"/>
      <c r="P164" s="99"/>
      <c r="Q164" s="100"/>
      <c r="R164" s="38"/>
      <c r="S164" s="38"/>
      <c r="T164" s="38"/>
      <c r="U164" s="107" t="str">
        <f>IF([4]回答表!F17="下水道事業",IF([4]回答表!AD45="●",[4]回答表!B289,""),"")</f>
        <v/>
      </c>
      <c r="V164" s="108"/>
      <c r="W164" s="108"/>
      <c r="X164" s="108"/>
      <c r="Y164" s="108"/>
      <c r="Z164" s="108"/>
      <c r="AA164" s="108"/>
      <c r="AB164" s="108"/>
      <c r="AC164" s="108"/>
      <c r="AD164" s="108"/>
      <c r="AE164" s="108"/>
      <c r="AF164" s="108"/>
      <c r="AG164" s="108"/>
      <c r="AH164" s="108"/>
      <c r="AI164" s="108"/>
      <c r="AJ164" s="109"/>
      <c r="AK164" s="55"/>
      <c r="AL164" s="55"/>
      <c r="AM164" s="107" t="str">
        <f>IF([4]回答表!F17="下水道事業",IF([4]回答表!AD45="●",[4]回答表!B295,""),"")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IF([4]回答表!BD17="●",IF([4]回答表!X45="●","●",""),"")</f>
        <v/>
      </c>
      <c r="O176" s="99"/>
      <c r="P176" s="99"/>
      <c r="Q176" s="100"/>
      <c r="R176" s="38"/>
      <c r="S176" s="38"/>
      <c r="T176" s="38"/>
      <c r="U176" s="107" t="str">
        <f>IF([4]回答表!BD17="●",IF([4]回答表!X45="●",[4]回答表!B158,IF([4]回答表!AA45="●",[4]回答表!B223,"")),"")</f>
        <v/>
      </c>
      <c r="V176" s="108"/>
      <c r="W176" s="108"/>
      <c r="X176" s="108"/>
      <c r="Y176" s="108"/>
      <c r="Z176" s="108"/>
      <c r="AA176" s="108"/>
      <c r="AB176" s="108"/>
      <c r="AC176" s="108"/>
      <c r="AD176" s="108"/>
      <c r="AE176" s="108"/>
      <c r="AF176" s="108"/>
      <c r="AG176" s="108"/>
      <c r="AH176" s="108"/>
      <c r="AI176" s="108"/>
      <c r="AJ176" s="109"/>
      <c r="AK176" s="49"/>
      <c r="AL176" s="49"/>
      <c r="AM176" s="116" t="str">
        <f>IF([4]回答表!BD17="●",IF([4]回答表!X45="●",[4]回答表!B212,IF([4]回答表!AA45="●",[4]回答表!B278,"")),"")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IF([4]回答表!BD17="●",IF([4]回答表!X45="●",[4]回答表!E212,IF([4]回答表!AA45="●",[4]回答表!E278,"")),"")</f>
        <v/>
      </c>
      <c r="AN179" s="84"/>
      <c r="AO179" s="84"/>
      <c r="AP179" s="84"/>
      <c r="AQ179" s="83" t="str">
        <f>IF([4]回答表!BD17="●",IF([4]回答表!X45="●",[4]回答表!E213,IF([4]回答表!AA45="●",[4]回答表!E279,"")),"")</f>
        <v/>
      </c>
      <c r="AR179" s="84"/>
      <c r="AS179" s="84"/>
      <c r="AT179" s="84"/>
      <c r="AU179" s="83" t="str">
        <f>IF([4]回答表!BD17="●",IF([4]回答表!X45="●",[4]回答表!E214,IF([4]回答表!AA45="●",[4]回答表!E280,"")),"")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IF([4]回答表!BD17="●",IF([4]回答表!AA45="●","●",""),"")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IF([4]回答表!BD17="●",IF([4]回答表!AD45="●","●",""),"")</f>
        <v/>
      </c>
      <c r="O188" s="99"/>
      <c r="P188" s="99"/>
      <c r="Q188" s="100"/>
      <c r="R188" s="38"/>
      <c r="S188" s="38"/>
      <c r="T188" s="38"/>
      <c r="U188" s="107" t="str">
        <f>IF([4]回答表!BD17="●",IF([4]回答表!AD45="●",[4]回答表!B289,""),"")</f>
        <v/>
      </c>
      <c r="V188" s="108"/>
      <c r="W188" s="108"/>
      <c r="X188" s="108"/>
      <c r="Y188" s="108"/>
      <c r="Z188" s="108"/>
      <c r="AA188" s="108"/>
      <c r="AB188" s="108"/>
      <c r="AC188" s="108"/>
      <c r="AD188" s="108"/>
      <c r="AE188" s="108"/>
      <c r="AF188" s="108"/>
      <c r="AG188" s="108"/>
      <c r="AH188" s="108"/>
      <c r="AI188" s="108"/>
      <c r="AJ188" s="109"/>
      <c r="AK188" s="55"/>
      <c r="AL188" s="55"/>
      <c r="AM188" s="107" t="str">
        <f>IF([4]回答表!BD17="●",IF([4]回答表!AD45="●",[4]回答表!B295,""),"")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IF([4]回答表!X46="●","●","")</f>
        <v/>
      </c>
      <c r="O200" s="99"/>
      <c r="P200" s="99"/>
      <c r="Q200" s="100"/>
      <c r="R200" s="38"/>
      <c r="S200" s="38"/>
      <c r="T200" s="38"/>
      <c r="U200" s="107" t="str">
        <f>IF([4]回答表!X46="●",[4]回答表!B307,IF([4]回答表!AA46="●",[4]回答表!B324,""))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IF([4]回答表!X46="●",[4]回答表!U313,IF([4]回答表!AA46="●",[4]回答表!U330,""))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IF([4]回答表!X46="●",[4]回答表!G313,IF([4]回答表!AA46="●",[4]回答表!G330,""))</f>
        <v/>
      </c>
      <c r="AN203" s="120"/>
      <c r="AO203" s="120"/>
      <c r="AP203" s="120"/>
      <c r="AQ203" s="120"/>
      <c r="AR203" s="120"/>
      <c r="AS203" s="120"/>
      <c r="AT203" s="121"/>
      <c r="AU203" s="119" t="str">
        <f>IF([4]回答表!X46="●",[4]回答表!G314,IF([4]回答表!AA46="●",[4]回答表!G331,""))</f>
        <v/>
      </c>
      <c r="AV203" s="120"/>
      <c r="AW203" s="120"/>
      <c r="AX203" s="120"/>
      <c r="AY203" s="120"/>
      <c r="AZ203" s="120"/>
      <c r="BA203" s="120"/>
      <c r="BB203" s="121"/>
      <c r="BC203" s="39"/>
      <c r="BD203" s="34"/>
      <c r="BE203" s="34"/>
      <c r="BF203" s="83" t="str">
        <f>IF([4]回答表!X46="●",[4]回答表!X313,IF([4]回答表!AA46="●",[4]回答表!X330,""))</f>
        <v/>
      </c>
      <c r="BG203" s="84"/>
      <c r="BH203" s="84"/>
      <c r="BI203" s="84"/>
      <c r="BJ203" s="83" t="str">
        <f>IF([4]回答表!X46="●",[4]回答表!X314,IF([4]回答表!AA46="●",[4]回答表!X331,""))</f>
        <v/>
      </c>
      <c r="BK203" s="84"/>
      <c r="BL203" s="84"/>
      <c r="BM203" s="87"/>
      <c r="BN203" s="83" t="str">
        <f>IF([4]回答表!X46="●",[4]回答表!X315,IF([4]回答表!AA46="●",[4]回答表!X332,""))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IF([4]回答表!AA46="●","●","")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IF([4]回答表!AD46="●","●","")</f>
        <v/>
      </c>
      <c r="O212" s="99"/>
      <c r="P212" s="99"/>
      <c r="Q212" s="100"/>
      <c r="R212" s="38"/>
      <c r="S212" s="38"/>
      <c r="T212" s="38"/>
      <c r="U212" s="107" t="str">
        <f>IF([4]回答表!AD46="●",[4]回答表!B337,"")</f>
        <v/>
      </c>
      <c r="V212" s="108"/>
      <c r="W212" s="108"/>
      <c r="X212" s="108"/>
      <c r="Y212" s="108"/>
      <c r="Z212" s="108"/>
      <c r="AA212" s="108"/>
      <c r="AB212" s="108"/>
      <c r="AC212" s="108"/>
      <c r="AD212" s="108"/>
      <c r="AE212" s="108"/>
      <c r="AF212" s="108"/>
      <c r="AG212" s="108"/>
      <c r="AH212" s="108"/>
      <c r="AI212" s="108"/>
      <c r="AJ212" s="109"/>
      <c r="AK212" s="62"/>
      <c r="AL212" s="62"/>
      <c r="AM212" s="107" t="str">
        <f>IF([4]回答表!AD46="●",[4]回答表!B343,"")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IF([4]回答表!X47="●","●","")</f>
        <v/>
      </c>
      <c r="O224" s="99"/>
      <c r="P224" s="99"/>
      <c r="Q224" s="100"/>
      <c r="R224" s="38"/>
      <c r="S224" s="38"/>
      <c r="T224" s="38"/>
      <c r="U224" s="107" t="str">
        <f>IF([4]回答表!X47="●",[4]回答表!B356,IF([4]回答表!AA47="●",[4]回答表!B379,""))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IF([4]回答表!X47="●",[4]回答表!B362,"")</f>
        <v/>
      </c>
      <c r="AO224" s="182"/>
      <c r="AP224" s="182"/>
      <c r="AQ224" s="182"/>
      <c r="AR224" s="182"/>
      <c r="AS224" s="182"/>
      <c r="AT224" s="182"/>
      <c r="AU224" s="182"/>
      <c r="AV224" s="182"/>
      <c r="AW224" s="182"/>
      <c r="AX224" s="182"/>
      <c r="AY224" s="182"/>
      <c r="AZ224" s="182"/>
      <c r="BA224" s="182"/>
      <c r="BB224" s="183"/>
      <c r="BC224" s="39"/>
      <c r="BD224" s="34"/>
      <c r="BE224" s="34"/>
      <c r="BF224" s="116" t="str">
        <f>IF([4]回答表!X47="●",[4]回答表!B368,IF([4]回答表!AA47="●",[4]回答表!B385,""))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IF([4]回答表!X47="●",[4]回答表!E368,IF([4]回答表!AA47="●",[4]回答表!E385,""))</f>
        <v/>
      </c>
      <c r="BG227" s="84"/>
      <c r="BH227" s="84"/>
      <c r="BI227" s="84"/>
      <c r="BJ227" s="83" t="str">
        <f>IF([4]回答表!X47="●",[4]回答表!E369,IF([4]回答表!AA47="●",[4]回答表!E386,""))</f>
        <v/>
      </c>
      <c r="BK227" s="84"/>
      <c r="BL227" s="84"/>
      <c r="BM227" s="87"/>
      <c r="BN227" s="83" t="str">
        <f>IF([4]回答表!X47="●",[4]回答表!E370,IF([4]回答表!AA47="●",[4]回答表!E387,""))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IF([4]回答表!AA47="●","●","")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IF([4]回答表!AD47="●","●","")</f>
        <v/>
      </c>
      <c r="O236" s="99"/>
      <c r="P236" s="99"/>
      <c r="Q236" s="100"/>
      <c r="R236" s="38"/>
      <c r="S236" s="38"/>
      <c r="T236" s="38"/>
      <c r="U236" s="107" t="str">
        <f>IF([4]回答表!AD47="●",[4]回答表!B392,"")</f>
        <v/>
      </c>
      <c r="V236" s="108"/>
      <c r="W236" s="108"/>
      <c r="X236" s="108"/>
      <c r="Y236" s="108"/>
      <c r="Z236" s="108"/>
      <c r="AA236" s="108"/>
      <c r="AB236" s="108"/>
      <c r="AC236" s="108"/>
      <c r="AD236" s="108"/>
      <c r="AE236" s="108"/>
      <c r="AF236" s="108"/>
      <c r="AG236" s="108"/>
      <c r="AH236" s="108"/>
      <c r="AI236" s="108"/>
      <c r="AJ236" s="109"/>
      <c r="AK236" s="62"/>
      <c r="AL236" s="62"/>
      <c r="AM236" s="107" t="str">
        <f>IF([4]回答表!AD47="●",[4]回答表!B398,"")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IF([4]回答表!X48="●","●","")</f>
        <v/>
      </c>
      <c r="O248" s="99"/>
      <c r="P248" s="99"/>
      <c r="Q248" s="100"/>
      <c r="R248" s="38"/>
      <c r="S248" s="38"/>
      <c r="T248" s="38"/>
      <c r="U248" s="107" t="str">
        <f>IF([4]回答表!X48="●",[4]回答表!B411,IF([4]回答表!AA48="●",[4]回答表!B425,""))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IF([4]回答表!X48="●",[4]回答表!BC418,IF([4]回答表!AA48="●",[4]回答表!BC432,""))</f>
        <v/>
      </c>
      <c r="AR248" s="151"/>
      <c r="AS248" s="151"/>
      <c r="AT248" s="151"/>
      <c r="AU248" s="173" t="s">
        <v>73</v>
      </c>
      <c r="AV248" s="174"/>
      <c r="AW248" s="174"/>
      <c r="AX248" s="175"/>
      <c r="AY248" s="151" t="str">
        <f>IF([4]回答表!X48="●",[4]回答表!BC423,IF([4]回答表!AA48="●",[4]回答表!BC437,""))</f>
        <v/>
      </c>
      <c r="AZ248" s="151"/>
      <c r="BA248" s="151"/>
      <c r="BB248" s="151"/>
      <c r="BC248" s="39"/>
      <c r="BD248" s="34"/>
      <c r="BE248" s="34"/>
      <c r="BF248" s="116" t="str">
        <f>IF([4]回答表!X48="●",[4]回答表!S417,IF([4]回答表!AA48="●",[4]回答表!S431,""))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IF([4]回答表!X48="●",[4]回答表!BC419,IF([4]回答表!AA48="●",[4]回答表!BC433,""))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IF([4]回答表!X48="●",[4]回答表!V417,IF([4]回答表!AA48="●",[4]回答表!V431,""))</f>
        <v/>
      </c>
      <c r="BG251" s="84"/>
      <c r="BH251" s="84"/>
      <c r="BI251" s="84"/>
      <c r="BJ251" s="83" t="str">
        <f>IF([4]回答表!X48="●",[4]回答表!V418,IF([4]回答表!AA48="●",[4]回答表!V432,""))</f>
        <v/>
      </c>
      <c r="BK251" s="84"/>
      <c r="BL251" s="84"/>
      <c r="BM251" s="87"/>
      <c r="BN251" s="83" t="str">
        <f>IF([4]回答表!X48="●",[4]回答表!V419,IF([4]回答表!AA48="●",[4]回答表!V433,""))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IF([4]回答表!X48="●",[4]回答表!BC420,IF([4]回答表!AA48="●",[4]回答表!BC434,""))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IF([4]回答表!X48="●",[4]回答表!BC424,IF([4]回答表!AA48="●",[4]回答表!BC438,""))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IF([4]回答表!AA48="●","●","")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IF([4]回答表!X48="●",[4]回答表!BC421,IF([4]回答表!AA48="●",[4]回答表!BC435,""))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IF([4]回答表!X48="●",[4]回答表!BC422,IF([4]回答表!AA48="●",[4]回答表!BC436,""))</f>
        <v/>
      </c>
      <c r="AR256" s="151"/>
      <c r="AS256" s="151"/>
      <c r="AT256" s="151"/>
      <c r="AU256" s="152" t="s">
        <v>79</v>
      </c>
      <c r="AV256" s="153"/>
      <c r="AW256" s="153"/>
      <c r="AX256" s="154"/>
      <c r="AY256" s="158" t="str">
        <f>IF([4]回答表!X48="●",[4]回答表!BC425,IF([4]回答表!AA48="●",[4]回答表!BC439,""))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IF([4]回答表!AD48="●","●","")</f>
        <v/>
      </c>
      <c r="O260" s="99"/>
      <c r="P260" s="99"/>
      <c r="Q260" s="100"/>
      <c r="R260" s="38"/>
      <c r="S260" s="38"/>
      <c r="T260" s="38"/>
      <c r="U260" s="107" t="str">
        <f>IF([4]回答表!AD48="●",[4]回答表!B439,"")</f>
        <v/>
      </c>
      <c r="V260" s="108"/>
      <c r="W260" s="108"/>
      <c r="X260" s="108"/>
      <c r="Y260" s="108"/>
      <c r="Z260" s="108"/>
      <c r="AA260" s="108"/>
      <c r="AB260" s="108"/>
      <c r="AC260" s="108"/>
      <c r="AD260" s="108"/>
      <c r="AE260" s="108"/>
      <c r="AF260" s="108"/>
      <c r="AG260" s="108"/>
      <c r="AH260" s="108"/>
      <c r="AI260" s="108"/>
      <c r="AJ260" s="109"/>
      <c r="AK260" s="55"/>
      <c r="AL260" s="55"/>
      <c r="AM260" s="107" t="str">
        <f>IF([4]回答表!AD48="●",[4]回答表!B445,"")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IF([4]回答表!X49="●","●","")</f>
        <v/>
      </c>
      <c r="O271" s="99"/>
      <c r="P271" s="99"/>
      <c r="Q271" s="100"/>
      <c r="R271" s="38"/>
      <c r="S271" s="38"/>
      <c r="T271" s="38"/>
      <c r="U271" s="107" t="str">
        <f>IF([4]回答表!X49="●",[4]回答表!B458,IF([4]回答表!AA49="●",[4]回答表!B475,""))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IF([4]回答表!X49="●",[4]回答表!B468,IF([4]回答表!AA49="●",[4]回答表!B485,""))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IF([4]回答表!X49="●",[4]回答表!G464,IF([4]回答表!AA49="●",[4]回答表!G481,""))</f>
        <v/>
      </c>
      <c r="AN273" s="120"/>
      <c r="AO273" s="120"/>
      <c r="AP273" s="120"/>
      <c r="AQ273" s="120"/>
      <c r="AR273" s="120"/>
      <c r="AS273" s="120"/>
      <c r="AT273" s="121"/>
      <c r="AU273" s="119" t="str">
        <f>IF([4]回答表!X49="●",[4]回答表!G465,IF([4]回答表!AA49="●",[4]回答表!G482,""))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IF([4]回答表!X49="●",[4]回答表!E468,IF([4]回答表!AA49="●",[4]回答表!E485,""))</f>
        <v/>
      </c>
      <c r="BG274" s="84"/>
      <c r="BH274" s="84"/>
      <c r="BI274" s="84"/>
      <c r="BJ274" s="83" t="str">
        <f>IF([4]回答表!X49="●",[4]回答表!E469,IF([4]回答表!AA49="●",[4]回答表!E486,""))</f>
        <v/>
      </c>
      <c r="BK274" s="84"/>
      <c r="BL274" s="84"/>
      <c r="BM274" s="87"/>
      <c r="BN274" s="83" t="str">
        <f>IF([4]回答表!X49="●",[4]回答表!E470,IF([4]回答表!AA49="●",[4]回答表!E487,""))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IF([4]回答表!AA49="●","●","")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IF([4]回答表!AD49="●","●","")</f>
        <v/>
      </c>
      <c r="O283" s="99"/>
      <c r="P283" s="99"/>
      <c r="Q283" s="100"/>
      <c r="R283" s="38"/>
      <c r="S283" s="38"/>
      <c r="T283" s="38"/>
      <c r="U283" s="107" t="str">
        <f>IF([4]回答表!AD49="●",[4]回答表!B492,"")</f>
        <v/>
      </c>
      <c r="V283" s="108"/>
      <c r="W283" s="108"/>
      <c r="X283" s="108"/>
      <c r="Y283" s="108"/>
      <c r="Z283" s="108"/>
      <c r="AA283" s="108"/>
      <c r="AB283" s="108"/>
      <c r="AC283" s="108"/>
      <c r="AD283" s="108"/>
      <c r="AE283" s="108"/>
      <c r="AF283" s="108"/>
      <c r="AG283" s="108"/>
      <c r="AH283" s="108"/>
      <c r="AI283" s="108"/>
      <c r="AJ283" s="109"/>
      <c r="AK283" s="49"/>
      <c r="AL283" s="49"/>
      <c r="AM283" s="107" t="str">
        <f>IF([4]回答表!AD49="●",[4]回答表!B498,"")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IF([4]回答表!R50="●",[4]回答表!B511,"")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25E2-E34B-4B21-8BDC-722CA75CD93C}">
  <sheetPr>
    <pageSetUpPr fitToPage="1"/>
  </sheetPr>
  <dimension ref="A1:CN315"/>
  <sheetViews>
    <sheetView showZeros="0" view="pageBreakPreview" zoomScale="60" zoomScaleNormal="55" workbookViewId="0">
      <selection activeCell="A74" sqref="A74:XFD7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IF(COUNTIF([3]回答表!K15,"*")&gt;0,[3]回答表!K15,"")</f>
        <v>大館市</v>
      </c>
      <c r="D11" s="299"/>
      <c r="E11" s="299"/>
      <c r="F11" s="299"/>
      <c r="G11" s="299"/>
      <c r="H11" s="299"/>
      <c r="I11" s="299"/>
      <c r="J11" s="299"/>
      <c r="K11" s="299"/>
      <c r="L11" s="299"/>
      <c r="M11" s="299"/>
      <c r="N11" s="299"/>
      <c r="O11" s="299"/>
      <c r="P11" s="299"/>
      <c r="Q11" s="299"/>
      <c r="R11" s="299"/>
      <c r="S11" s="299"/>
      <c r="T11" s="299"/>
      <c r="U11" s="306" t="str">
        <f>IF(COUNTIF([3]回答表!F17,"*")&gt;0,[3]回答表!F17,"")</f>
        <v>下水道事業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IF(COUNTIF([3]回答表!W17,"*")&gt;0,[3]回答表!W17,"")</f>
        <v>特定地域排水処理施設</v>
      </c>
      <c r="AP11" s="301"/>
      <c r="AQ11" s="301"/>
      <c r="AR11" s="301"/>
      <c r="AS11" s="301"/>
      <c r="AT11" s="301"/>
      <c r="AU11" s="301"/>
      <c r="AV11" s="301"/>
      <c r="AW11" s="301"/>
      <c r="AX11" s="301"/>
      <c r="AY11" s="301"/>
      <c r="AZ11" s="301"/>
      <c r="BA11" s="301"/>
      <c r="BB11" s="301"/>
      <c r="BC11" s="301"/>
      <c r="BD11" s="301"/>
      <c r="BE11" s="301"/>
      <c r="BF11" s="302"/>
      <c r="BG11" s="305" t="str">
        <f>IF(COUNTIF([3]回答表!F19,"*")&gt;0,[3]回答表!F19,"")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IF([3]回答表!R43="●","●","")</f>
        <v>●</v>
      </c>
      <c r="E24" s="123"/>
      <c r="F24" s="123"/>
      <c r="G24" s="123"/>
      <c r="H24" s="123"/>
      <c r="I24" s="123"/>
      <c r="J24" s="124"/>
      <c r="K24" s="122" t="str">
        <f>IF([3]回答表!R44="●","●","")</f>
        <v>●</v>
      </c>
      <c r="L24" s="123"/>
      <c r="M24" s="123"/>
      <c r="N24" s="123"/>
      <c r="O24" s="123"/>
      <c r="P24" s="123"/>
      <c r="Q24" s="124"/>
      <c r="R24" s="122" t="str">
        <f>IF([3]回答表!R45="●","●","")</f>
        <v/>
      </c>
      <c r="S24" s="123"/>
      <c r="T24" s="123"/>
      <c r="U24" s="123"/>
      <c r="V24" s="123"/>
      <c r="W24" s="123"/>
      <c r="X24" s="124"/>
      <c r="Y24" s="122" t="str">
        <f>IF([3]回答表!R46="●","●","")</f>
        <v/>
      </c>
      <c r="Z24" s="123"/>
      <c r="AA24" s="123"/>
      <c r="AB24" s="123"/>
      <c r="AC24" s="123"/>
      <c r="AD24" s="123"/>
      <c r="AE24" s="124"/>
      <c r="AF24" s="122" t="str">
        <f>IF([3]回答表!R47="●","●","")</f>
        <v/>
      </c>
      <c r="AG24" s="123"/>
      <c r="AH24" s="123"/>
      <c r="AI24" s="123"/>
      <c r="AJ24" s="123"/>
      <c r="AK24" s="123"/>
      <c r="AL24" s="124"/>
      <c r="AM24" s="122" t="str">
        <f>IF([3]回答表!R48="●","●","")</f>
        <v/>
      </c>
      <c r="AN24" s="123"/>
      <c r="AO24" s="123"/>
      <c r="AP24" s="123"/>
      <c r="AQ24" s="123"/>
      <c r="AR24" s="123"/>
      <c r="AS24" s="124"/>
      <c r="AT24" s="122" t="str">
        <f>IF([3]回答表!R49="●","●","")</f>
        <v/>
      </c>
      <c r="AU24" s="123"/>
      <c r="AV24" s="123"/>
      <c r="AW24" s="123"/>
      <c r="AX24" s="123"/>
      <c r="AY24" s="123"/>
      <c r="AZ24" s="124"/>
      <c r="BA24" s="18"/>
      <c r="BB24" s="119" t="str">
        <f>IF([3]回答表!R50="●","●","")</f>
        <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IF([3]回答表!X43="●","●","")</f>
        <v/>
      </c>
      <c r="O36" s="99"/>
      <c r="P36" s="99"/>
      <c r="Q36" s="100"/>
      <c r="R36" s="38"/>
      <c r="S36" s="38"/>
      <c r="T36" s="38"/>
      <c r="U36" s="107" t="str">
        <f>IF([3]回答表!X43="●",[3]回答表!B59,IF([3]回答表!AA43="●",[3]回答表!B79,""))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IF([3]回答表!X43="●",[3]回答表!S65,IF([3]回答表!AA43="●",[3]回答表!S85,""))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IF([3]回答表!X43="●",[3]回答表!G65,IF([3]回答表!AA43="●",[3]回答表!G85,""))</f>
        <v/>
      </c>
      <c r="AN38" s="120"/>
      <c r="AO38" s="120"/>
      <c r="AP38" s="120"/>
      <c r="AQ38" s="120"/>
      <c r="AR38" s="120"/>
      <c r="AS38" s="120"/>
      <c r="AT38" s="121"/>
      <c r="AU38" s="119" t="str">
        <f>IF([3]回答表!X43="●",[3]回答表!G66,IF([3]回答表!AA43="●",[3]回答表!G86,""))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IF([3]回答表!X43="●",[3]回答表!V65,IF([3]回答表!AA43="●",[3]回答表!V85,""))</f>
        <v/>
      </c>
      <c r="BG39" s="249"/>
      <c r="BH39" s="249"/>
      <c r="BI39" s="250"/>
      <c r="BJ39" s="83" t="str">
        <f>IF([3]回答表!X43="●",[3]回答表!V66,IF([3]回答表!AA43="●",[3]回答表!V86,""))</f>
        <v/>
      </c>
      <c r="BK39" s="249"/>
      <c r="BL39" s="249"/>
      <c r="BM39" s="250"/>
      <c r="BN39" s="83" t="str">
        <f>IF([3]回答表!X43="●",[3]回答表!V67,IF([3]回答表!AA43="●",[3]回答表!V87,""))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IF([3]回答表!X43="●",[3]回答表!O71,IF([3]回答表!AA43="●",[3]回答表!O91,""))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IF([3]回答表!X43="●",[3]回答表!O72,IF([3]回答表!AA43="●",[3]回答表!O92,""))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IF([3]回答表!AA43="●","●","")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IF([3]回答表!X43="●",[3]回答表!O73,IF([3]回答表!AA43="●",[3]回答表!O93,""))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IF([3]回答表!X43="●",[3]回答表!O74,IF([3]回答表!AA43="●",[3]回答表!O94,""))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IF([3]回答表!X43="●",[3]回答表!AG71,IF([3]回答表!AA43="●",[3]回答表!AG91,""))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IF([3]回答表!X43="●",[3]回答表!AG72,IF([3]回答表!AA43="●",[3]回答表!AG92,""))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52.5" customHeight="1" x14ac:dyDescent="0.4">
      <c r="A51" s="24"/>
      <c r="B51" s="24"/>
      <c r="C51" s="32"/>
      <c r="D51" s="89" t="s">
        <v>33</v>
      </c>
      <c r="E51" s="90"/>
      <c r="F51" s="90"/>
      <c r="G51" s="90"/>
      <c r="H51" s="90"/>
      <c r="I51" s="90"/>
      <c r="J51" s="90"/>
      <c r="K51" s="90"/>
      <c r="L51" s="90"/>
      <c r="M51" s="91"/>
      <c r="N51" s="98" t="str">
        <f>IF([3]回答表!AD43="●","●","")</f>
        <v>●</v>
      </c>
      <c r="O51" s="99"/>
      <c r="P51" s="99"/>
      <c r="Q51" s="100"/>
      <c r="R51" s="38"/>
      <c r="S51" s="38"/>
      <c r="T51" s="38"/>
      <c r="U51" s="107" t="str">
        <f>IF([3]回答表!AD43="●",[3]回答表!B99,"")</f>
        <v xml:space="preserve">当市の特定地域生活排水処理地域の町設置浄化槽について、合併した際、他の市町は、設置費補助としてきたが1町だけ町設置浄化槽としていたため、農集の廃止が進んできた際、浄化槽を民間譲渡し事業廃止を検討
</v>
      </c>
      <c r="V51" s="108"/>
      <c r="W51" s="108"/>
      <c r="X51" s="108"/>
      <c r="Y51" s="108"/>
      <c r="Z51" s="108"/>
      <c r="AA51" s="108"/>
      <c r="AB51" s="108"/>
      <c r="AC51" s="108"/>
      <c r="AD51" s="108"/>
      <c r="AE51" s="108"/>
      <c r="AF51" s="108"/>
      <c r="AG51" s="108"/>
      <c r="AH51" s="108"/>
      <c r="AI51" s="108"/>
      <c r="AJ51" s="109"/>
      <c r="AK51" s="55"/>
      <c r="AL51" s="55"/>
      <c r="AM51" s="107" t="str">
        <f>IF([3]回答表!AD43="●",[3]回答表!B104,"")</f>
        <v>現在、法定検査実施率９割以上であるが、民間譲渡することにより実施率が低下する。機器の更新の際に残価設定・補助対応について検討が必要</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52.5"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52.5"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52.5"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IF([3]回答表!X44="●","●","")</f>
        <v/>
      </c>
      <c r="O62" s="99"/>
      <c r="P62" s="99"/>
      <c r="Q62" s="100"/>
      <c r="R62" s="38"/>
      <c r="S62" s="38"/>
      <c r="T62" s="38"/>
      <c r="U62" s="107" t="str">
        <f>IF([3]回答表!X44="●",[3]回答表!B115,IF([3]回答表!AA44="●",[3]回答表!B127,""))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IF([3]回答表!X44="●",[3]回答表!S121,IF([3]回答表!AA44="●",[3]回答表!S133,""))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IF([3]回答表!X44="●",[3]回答表!J121,IF([3]回答表!AA44="●",[3]回答表!J133,""))</f>
        <v/>
      </c>
      <c r="AN65" s="120"/>
      <c r="AO65" s="120"/>
      <c r="AP65" s="120"/>
      <c r="AQ65" s="120"/>
      <c r="AR65" s="120"/>
      <c r="AS65" s="120"/>
      <c r="AT65" s="121"/>
      <c r="AU65" s="119" t="str">
        <f>IF([3]回答表!X44="●",[3]回答表!J122,IF([3]回答表!AA44="●",[3]回答表!J134,""))</f>
        <v/>
      </c>
      <c r="AV65" s="120"/>
      <c r="AW65" s="120"/>
      <c r="AX65" s="120"/>
      <c r="AY65" s="120"/>
      <c r="AZ65" s="120"/>
      <c r="BA65" s="120"/>
      <c r="BB65" s="121"/>
      <c r="BC65" s="39"/>
      <c r="BD65" s="34"/>
      <c r="BE65" s="34"/>
      <c r="BF65" s="83" t="str">
        <f>IF([3]回答表!X44="●",[3]回答表!V121,IF([3]回答表!AA44="●",[3]回答表!V133,""))</f>
        <v/>
      </c>
      <c r="BG65" s="84"/>
      <c r="BH65" s="84"/>
      <c r="BI65" s="84"/>
      <c r="BJ65" s="83" t="str">
        <f>IF([3]回答表!X44="●",[3]回答表!V122,IF([3]回答表!AA44="●",[3]回答表!V134,""))</f>
        <v/>
      </c>
      <c r="BK65" s="84"/>
      <c r="BL65" s="84"/>
      <c r="BM65" s="84"/>
      <c r="BN65" s="83" t="str">
        <f>IF([3]回答表!X44="●",[3]回答表!V123,IF([3]回答表!AA44="●",[3]回答表!V135,""))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IF([3]回答表!AA44="●","●","")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45" customHeight="1" x14ac:dyDescent="0.4">
      <c r="C74" s="32"/>
      <c r="D74" s="89" t="s">
        <v>33</v>
      </c>
      <c r="E74" s="90"/>
      <c r="F74" s="90"/>
      <c r="G74" s="90"/>
      <c r="H74" s="90"/>
      <c r="I74" s="90"/>
      <c r="J74" s="90"/>
      <c r="K74" s="90"/>
      <c r="L74" s="90"/>
      <c r="M74" s="91"/>
      <c r="N74" s="98" t="str">
        <f>IF([3]回答表!AD44="●","●","")</f>
        <v>●</v>
      </c>
      <c r="O74" s="99"/>
      <c r="P74" s="99"/>
      <c r="Q74" s="100"/>
      <c r="R74" s="38"/>
      <c r="S74" s="38"/>
      <c r="T74" s="38"/>
      <c r="U74" s="107" t="str">
        <f>IF([3]回答表!AD44="●",[3]回答表!B140,"")</f>
        <v>当市の特定地域生活排水処理地域の町設置浄化槽について、合併した際、他の市町は、設置費補助としてきたが1町だけ町設置浄化槽としていたため、農集の廃止が進んできた際、浄化槽の民間譲渡を検討</v>
      </c>
      <c r="V74" s="108"/>
      <c r="W74" s="108"/>
      <c r="X74" s="108"/>
      <c r="Y74" s="108"/>
      <c r="Z74" s="108"/>
      <c r="AA74" s="108"/>
      <c r="AB74" s="108"/>
      <c r="AC74" s="108"/>
      <c r="AD74" s="108"/>
      <c r="AE74" s="108"/>
      <c r="AF74" s="108"/>
      <c r="AG74" s="108"/>
      <c r="AH74" s="108"/>
      <c r="AI74" s="108"/>
      <c r="AJ74" s="109"/>
      <c r="AK74" s="55"/>
      <c r="AL74" s="55"/>
      <c r="AM74" s="107" t="str">
        <f>IF([3]回答表!AD44="●",[3]回答表!B146,"")</f>
        <v>現在、法定検査実施率９割以上であるが、民間譲渡することにより実施率が低下する。機器の更新の際に残価設定・補助対応について検討が必要</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45"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45"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45"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IF([3]回答表!F17="水道事業",IF([3]回答表!X45="●","●",""),"")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IF([3]回答表!F17="水道事業",IF([3]回答表!X45="●",[3]回答表!B158,IF([3]回答表!AA45="●",[3]回答表!B223,"")),"")</f>
        <v/>
      </c>
      <c r="AN86" s="212"/>
      <c r="AO86" s="212"/>
      <c r="AP86" s="212"/>
      <c r="AQ86" s="212"/>
      <c r="AR86" s="212"/>
      <c r="AS86" s="212"/>
      <c r="AT86" s="212"/>
      <c r="AU86" s="212"/>
      <c r="AV86" s="212"/>
      <c r="AW86" s="212"/>
      <c r="AX86" s="212"/>
      <c r="AY86" s="212"/>
      <c r="AZ86" s="212"/>
      <c r="BA86" s="212"/>
      <c r="BB86" s="212"/>
      <c r="BC86" s="213"/>
      <c r="BD86" s="34"/>
      <c r="BE86" s="34"/>
      <c r="BF86" s="116" t="str">
        <f>IF([3]回答表!F17="水道事業",IF([3]回答表!X45="●",[3]回答表!B212,IF([3]回答表!AA45="●",[3]回答表!B278,"")),"")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IF([3]回答表!F17="水道事業",IF([3]回答表!X45="●",[3]回答表!J166,IF([3]回答表!AA45="●",[3]回答表!J231,"")),"")</f>
        <v/>
      </c>
      <c r="V88" s="120"/>
      <c r="W88" s="120"/>
      <c r="X88" s="120"/>
      <c r="Y88" s="120"/>
      <c r="Z88" s="120"/>
      <c r="AA88" s="120"/>
      <c r="AB88" s="121"/>
      <c r="AC88" s="119" t="str">
        <f>IF([3]回答表!F17="水道事業",IF([3]回答表!X45="●",[3]回答表!J173,IF([3]回答表!AA45="●",[3]回答表!J238,"")),"")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IF([3]回答表!F17="水道事業",IF([3]回答表!X45="●",[3]回答表!E212,IF([3]回答表!AA45="●",[3]回答表!E278,"")),"")</f>
        <v/>
      </c>
      <c r="BG89" s="84"/>
      <c r="BH89" s="84"/>
      <c r="BI89" s="84"/>
      <c r="BJ89" s="83" t="str">
        <f>IF([3]回答表!F17="水道事業",IF([3]回答表!X45="●",[3]回答表!E213,IF([3]回答表!AA45="●",[3]回答表!E279,"")),"")</f>
        <v/>
      </c>
      <c r="BK89" s="84"/>
      <c r="BL89" s="84"/>
      <c r="BM89" s="84"/>
      <c r="BN89" s="83" t="str">
        <f>IF([3]回答表!F17="水道事業",IF([3]回答表!X45="●",[3]回答表!E214,IF([3]回答表!AA45="●",[3]回答表!E280,"")),"")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IF([3]回答表!F17="水道事業",IF([3]回答表!AA45="●","●",""),"")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IF([3]回答表!F17="水道事業",IF([3]回答表!X45="●",[3]回答表!J176,IF([3]回答表!AA45="●",[3]回答表!J241,"")),"")</f>
        <v/>
      </c>
      <c r="V93" s="120"/>
      <c r="W93" s="120"/>
      <c r="X93" s="120"/>
      <c r="Y93" s="120"/>
      <c r="Z93" s="120"/>
      <c r="AA93" s="120"/>
      <c r="AB93" s="121"/>
      <c r="AC93" s="119" t="str">
        <f>IF([3]回答表!F17="水道事業",IF([3]回答表!X45="●",[3]回答表!J180,IF([3]回答表!AA45="●",[3]回答表!J245,"")),"")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IF([3]回答表!F17="水道事業",IF([3]回答表!AD45="●","●",""),"")</f>
        <v/>
      </c>
      <c r="O98" s="99"/>
      <c r="P98" s="99"/>
      <c r="Q98" s="100"/>
      <c r="R98" s="38"/>
      <c r="S98" s="38"/>
      <c r="T98" s="38"/>
      <c r="U98" s="107" t="str">
        <f>IF([3]回答表!F17="水道事業",IF([3]回答表!AD45="●",[3]回答表!B289,""),"")</f>
        <v/>
      </c>
      <c r="V98" s="108"/>
      <c r="W98" s="108"/>
      <c r="X98" s="108"/>
      <c r="Y98" s="108"/>
      <c r="Z98" s="108"/>
      <c r="AA98" s="108"/>
      <c r="AB98" s="108"/>
      <c r="AC98" s="108"/>
      <c r="AD98" s="108"/>
      <c r="AE98" s="108"/>
      <c r="AF98" s="108"/>
      <c r="AG98" s="108"/>
      <c r="AH98" s="108"/>
      <c r="AI98" s="108"/>
      <c r="AJ98" s="109"/>
      <c r="AK98" s="55"/>
      <c r="AL98" s="55"/>
      <c r="AM98" s="107" t="str">
        <f>IF([3]回答表!F17="水道事業",IF([3]回答表!AD45="●",[3]回答表!B295,""),"")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IF([3]回答表!F17="簡易水道事業",IF([3]回答表!X45="●",[3]回答表!B158,IF([3]回答表!AA45="●",[3]回答表!B223,"")),"")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IF([3]回答表!F17="簡易水道事業",IF([3]回答表!X45="●",[3]回答表!B212,IF([3]回答表!AA45="●",[3]回答表!B278,"")),"")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IF([3]回答表!F17="簡易水道事業",IF([3]回答表!X45="●","●",""),"")</f>
        <v/>
      </c>
      <c r="O112" s="99"/>
      <c r="P112" s="99"/>
      <c r="Q112" s="100"/>
      <c r="R112" s="38"/>
      <c r="S112" s="38"/>
      <c r="T112" s="38"/>
      <c r="U112" s="119" t="str">
        <f>IF([3]回答表!F17="簡易水道事業",IF([3]回答表!X45="●",[3]回答表!Y185,IF([3]回答表!AA45="●",[3]回答表!Y251,"")),"")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IF([3]回答表!F17="簡易水道事業",IF([3]回答表!X45="●",[3]回答表!E212,IF([3]回答表!AA45="●",[3]回答表!E278,"")),"")</f>
        <v/>
      </c>
      <c r="BG113" s="84"/>
      <c r="BH113" s="84"/>
      <c r="BI113" s="84"/>
      <c r="BJ113" s="83" t="str">
        <f>IF([3]回答表!F17="簡易水道事業",IF([3]回答表!X45="●",[3]回答表!E213,IF([3]回答表!AA45="●",[3]回答表!E279,"")),"")</f>
        <v/>
      </c>
      <c r="BK113" s="84"/>
      <c r="BL113" s="84"/>
      <c r="BM113" s="84"/>
      <c r="BN113" s="83" t="str">
        <f>IF([3]回答表!F17="簡易水道事業",IF([3]回答表!X45="●",[3]回答表!E214,IF([3]回答表!AA45="●",[3]回答表!E280,"")),"")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IF([3]回答表!F17="簡易水道事業",IF([3]回答表!X45="●",[3]回答表!Y186,IF([3]回答表!AA45="●",[3]回答表!Y252,"")),"")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IF([3]回答表!F17="簡易水道事業",IF([3]回答表!AA45="●","●",""),"")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IF([3]回答表!F17="簡易水道事業",IF([3]回答表!X45="●",[3]回答表!Y187,IF([3]回答表!AA45="●",[3]回答表!Y253,"")),"")</f>
        <v/>
      </c>
      <c r="V122" s="120"/>
      <c r="W122" s="120"/>
      <c r="X122" s="120"/>
      <c r="Y122" s="120"/>
      <c r="Z122" s="120"/>
      <c r="AA122" s="120"/>
      <c r="AB122" s="120"/>
      <c r="AC122" s="120"/>
      <c r="AD122" s="120"/>
      <c r="AE122" s="120"/>
      <c r="AF122" s="120"/>
      <c r="AG122" s="120"/>
      <c r="AH122" s="120"/>
      <c r="AI122" s="120"/>
      <c r="AJ122" s="121"/>
      <c r="AK122" s="18"/>
      <c r="AL122" s="18"/>
      <c r="AM122" s="228" t="str">
        <f>IF([3]回答表!F17="簡易水道事業",IF([3]回答表!X45="●",[3]回答表!Y189,IF([3]回答表!AA45="●",[3]回答表!Y255,"")),"")</f>
        <v/>
      </c>
      <c r="AN122" s="228"/>
      <c r="AO122" s="228"/>
      <c r="AP122" s="228"/>
      <c r="AQ122" s="228"/>
      <c r="AR122" s="228"/>
      <c r="AS122" s="228" t="str">
        <f>IF([3]回答表!F17="簡易水道事業",IF([3]回答表!X45="●",[3]回答表!Y190,IF([3]回答表!AA45="●",[3]回答表!Y256,"")),"")</f>
        <v/>
      </c>
      <c r="AT122" s="228"/>
      <c r="AU122" s="228"/>
      <c r="AV122" s="228"/>
      <c r="AW122" s="228"/>
      <c r="AX122" s="228"/>
      <c r="AY122" s="228" t="str">
        <f>IF([3]回答表!F17="簡易水道事業",IF([3]回答表!X45="●",[3]回答表!Y191,IF([3]回答表!AA45="●",[3]回答表!Y257,"")),"")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IF([3]回答表!F17="簡易水道事業",IF([3]回答表!AD45="●","●",""),"")</f>
        <v/>
      </c>
      <c r="O127" s="99"/>
      <c r="P127" s="99"/>
      <c r="Q127" s="100"/>
      <c r="R127" s="38"/>
      <c r="S127" s="38"/>
      <c r="T127" s="38"/>
      <c r="U127" s="107" t="str">
        <f>IF([3]回答表!F17="簡易水道事業",IF([3]回答表!AD45="●",[3]回答表!B289,""),"")</f>
        <v/>
      </c>
      <c r="V127" s="108"/>
      <c r="W127" s="108"/>
      <c r="X127" s="108"/>
      <c r="Y127" s="108"/>
      <c r="Z127" s="108"/>
      <c r="AA127" s="108"/>
      <c r="AB127" s="108"/>
      <c r="AC127" s="108"/>
      <c r="AD127" s="108"/>
      <c r="AE127" s="108"/>
      <c r="AF127" s="108"/>
      <c r="AG127" s="108"/>
      <c r="AH127" s="108"/>
      <c r="AI127" s="108"/>
      <c r="AJ127" s="109"/>
      <c r="AK127" s="55"/>
      <c r="AL127" s="55"/>
      <c r="AM127" s="107" t="str">
        <f>IF([3]回答表!F17="簡易水道事業",IF([3]回答表!AD45="●",[3]回答表!B295,""),"")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IF([3]回答表!F17="下水道事業",IF([3]回答表!X45="●","●",""),"")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IF([3]回答表!F17="下水道事業",IF([3]回答表!X45="●",[3]回答表!B158,IF([3]回答表!AA45="●",[3]回答表!B223,"")),"")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IF([3]回答表!F17="下水道事業",IF([3]回答表!X45="●",[3]回答表!B212,IF([3]回答表!AA45="●",[3]回答表!B278,"")),"")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IF([3]回答表!F17="下水道事業",IF([3]回答表!X45="●",[3]回答表!Y193,IF([3]回答表!AA45="●",[3]回答表!Y259,"")),"")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IF([3]回答表!F17="下水道事業",IF([3]回答表!X45="●",[3]回答表!E212,IF([3]回答表!AA45="●",[3]回答表!E278,"")),"")</f>
        <v/>
      </c>
      <c r="BG142" s="84"/>
      <c r="BH142" s="84"/>
      <c r="BI142" s="84"/>
      <c r="BJ142" s="83" t="str">
        <f>IF([3]回答表!F17="下水道事業",IF([3]回答表!X45="●",[3]回答表!E213,IF([3]回答表!AA45="●",[3]回答表!E279,"")),"")</f>
        <v/>
      </c>
      <c r="BK142" s="84"/>
      <c r="BL142" s="84"/>
      <c r="BM142" s="84"/>
      <c r="BN142" s="83" t="str">
        <f>IF([3]回答表!F17="下水道事業",IF([3]回答表!X45="●",[3]回答表!E214,IF([3]回答表!AA45="●",[3]回答表!E280,"")),"")</f>
        <v/>
      </c>
      <c r="BO142" s="84"/>
      <c r="BP142" s="84"/>
      <c r="BQ142" s="87"/>
      <c r="BR142" s="37"/>
      <c r="BX142" s="211" t="str">
        <f>IF([3]回答表!AQ20="下水道事業",IF([3]回答表!BI48="○",[3]回答表!AM161,IF([3]回答表!BL48="○",[3]回答表!AM226,"")),"")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IF([3]回答表!F17="下水道事業",IF([3]回答表!X45="●",[3]回答表!Y195,IF([3]回答表!AA45="●",[3]回答表!Y261,"")),"")</f>
        <v/>
      </c>
      <c r="V147" s="120"/>
      <c r="W147" s="120"/>
      <c r="X147" s="120"/>
      <c r="Y147" s="120"/>
      <c r="Z147" s="120"/>
      <c r="AA147" s="120"/>
      <c r="AB147" s="121"/>
      <c r="AC147" s="119" t="str">
        <f>IF([3]回答表!F17="下水道事業",IF([3]回答表!X45="●",[3]回答表!Y196,IF([3]回答表!AA45="●",[3]回答表!Y262,"")),"")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IF([3]回答表!F17="下水道事業",IF([3]回答表!X45="●",[3]回答表!Y198,IF([3]回答表!AA45="●",[3]回答表!Y264,"")),"")</f>
        <v/>
      </c>
      <c r="V153" s="120"/>
      <c r="W153" s="120"/>
      <c r="X153" s="120"/>
      <c r="Y153" s="120"/>
      <c r="Z153" s="120"/>
      <c r="AA153" s="120"/>
      <c r="AB153" s="121"/>
      <c r="AC153" s="119" t="str">
        <f>IF([3]回答表!F17="下水道事業",IF([3]回答表!X45="●",[3]回答表!Y199,IF([3]回答表!AA45="●",[3]回答表!Y265,"")),"")</f>
        <v/>
      </c>
      <c r="AD153" s="120"/>
      <c r="AE153" s="120"/>
      <c r="AF153" s="120"/>
      <c r="AG153" s="120"/>
      <c r="AH153" s="120"/>
      <c r="AI153" s="120"/>
      <c r="AJ153" s="121"/>
      <c r="AK153" s="119" t="str">
        <f>IF([3]回答表!F17="下水道事業",IF([3]回答表!X45="●",[3]回答表!Y200,IF([3]回答表!AA45="●",[3]回答表!Y266,"")),"")</f>
        <v/>
      </c>
      <c r="AL153" s="120"/>
      <c r="AM153" s="120"/>
      <c r="AN153" s="120"/>
      <c r="AO153" s="120"/>
      <c r="AP153" s="120"/>
      <c r="AQ153" s="120"/>
      <c r="AR153" s="121"/>
      <c r="AS153" s="119" t="str">
        <f>IF([3]回答表!F17="下水道事業",IF([3]回答表!X45="●",[3]回答表!Y201,IF([3]回答表!AA45="●",[3]回答表!Y267,"")),"")</f>
        <v/>
      </c>
      <c r="AT153" s="120"/>
      <c r="AU153" s="120"/>
      <c r="AV153" s="120"/>
      <c r="AW153" s="120"/>
      <c r="AX153" s="120"/>
      <c r="AY153" s="120"/>
      <c r="AZ153" s="121"/>
      <c r="BA153" s="119" t="str">
        <f>IF([3]回答表!F17="下水道事業",IF([3]回答表!X45="●",[3]回答表!Y202,IF([3]回答表!AA45="●",[3]回答表!Y268,"")),"")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IF([3]回答表!F17="下水道事業",IF([3]回答表!AA45="●","●",""),"")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IF([3]回答表!F17="下水道事業",IF([3]回答表!X45="●",[3]回答表!Y207,IF([3]回答表!AA45="●",[3]回答表!Y273,"")),"")</f>
        <v/>
      </c>
      <c r="V159" s="120"/>
      <c r="W159" s="120"/>
      <c r="X159" s="120"/>
      <c r="Y159" s="120"/>
      <c r="Z159" s="120"/>
      <c r="AA159" s="120"/>
      <c r="AB159" s="121"/>
      <c r="AC159" s="119" t="str">
        <f>IF([3]回答表!F17="下水道事業",IF([3]回答表!X45="●",[3]回答表!Y208,IF([3]回答表!AA45="●",[3]回答表!Y274,"")),"")</f>
        <v/>
      </c>
      <c r="AD159" s="120"/>
      <c r="AE159" s="120"/>
      <c r="AF159" s="120"/>
      <c r="AG159" s="120"/>
      <c r="AH159" s="120"/>
      <c r="AI159" s="120"/>
      <c r="AJ159" s="121"/>
      <c r="AK159" s="119" t="str">
        <f>IF([3]回答表!F17="下水道事業",IF([3]回答表!X45="●",[3]回答表!Y209,IF([3]回答表!AA45="●",[3]回答表!Y275,"")),"")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IF([3]回答表!F17="下水道事業",IF([3]回答表!AD45="●","●",""),"")</f>
        <v/>
      </c>
      <c r="O164" s="99"/>
      <c r="P164" s="99"/>
      <c r="Q164" s="100"/>
      <c r="R164" s="38"/>
      <c r="S164" s="38"/>
      <c r="T164" s="38"/>
      <c r="U164" s="107" t="str">
        <f>IF([3]回答表!F17="下水道事業",IF([3]回答表!AD45="●",[3]回答表!B289,""),"")</f>
        <v/>
      </c>
      <c r="V164" s="108"/>
      <c r="W164" s="108"/>
      <c r="X164" s="108"/>
      <c r="Y164" s="108"/>
      <c r="Z164" s="108"/>
      <c r="AA164" s="108"/>
      <c r="AB164" s="108"/>
      <c r="AC164" s="108"/>
      <c r="AD164" s="108"/>
      <c r="AE164" s="108"/>
      <c r="AF164" s="108"/>
      <c r="AG164" s="108"/>
      <c r="AH164" s="108"/>
      <c r="AI164" s="108"/>
      <c r="AJ164" s="109"/>
      <c r="AK164" s="55"/>
      <c r="AL164" s="55"/>
      <c r="AM164" s="107" t="str">
        <f>IF([3]回答表!F17="下水道事業",IF([3]回答表!AD45="●",[3]回答表!B295,""),"")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IF([3]回答表!BD17="●",IF([3]回答表!X45="●","●",""),"")</f>
        <v/>
      </c>
      <c r="O176" s="99"/>
      <c r="P176" s="99"/>
      <c r="Q176" s="100"/>
      <c r="R176" s="38"/>
      <c r="S176" s="38"/>
      <c r="T176" s="38"/>
      <c r="U176" s="107" t="str">
        <f>IF([3]回答表!BD17="●",IF([3]回答表!X45="●",[3]回答表!B158,IF([3]回答表!AA45="●",[3]回答表!B223,"")),"")</f>
        <v/>
      </c>
      <c r="V176" s="108"/>
      <c r="W176" s="108"/>
      <c r="X176" s="108"/>
      <c r="Y176" s="108"/>
      <c r="Z176" s="108"/>
      <c r="AA176" s="108"/>
      <c r="AB176" s="108"/>
      <c r="AC176" s="108"/>
      <c r="AD176" s="108"/>
      <c r="AE176" s="108"/>
      <c r="AF176" s="108"/>
      <c r="AG176" s="108"/>
      <c r="AH176" s="108"/>
      <c r="AI176" s="108"/>
      <c r="AJ176" s="109"/>
      <c r="AK176" s="49"/>
      <c r="AL176" s="49"/>
      <c r="AM176" s="116" t="str">
        <f>IF([3]回答表!BD17="●",IF([3]回答表!X45="●",[3]回答表!B212,IF([3]回答表!AA45="●",[3]回答表!B278,"")),"")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IF([3]回答表!BD17="●",IF([3]回答表!X45="●",[3]回答表!E212,IF([3]回答表!AA45="●",[3]回答表!E278,"")),"")</f>
        <v/>
      </c>
      <c r="AN179" s="84"/>
      <c r="AO179" s="84"/>
      <c r="AP179" s="84"/>
      <c r="AQ179" s="83" t="str">
        <f>IF([3]回答表!BD17="●",IF([3]回答表!X45="●",[3]回答表!E213,IF([3]回答表!AA45="●",[3]回答表!E279,"")),"")</f>
        <v/>
      </c>
      <c r="AR179" s="84"/>
      <c r="AS179" s="84"/>
      <c r="AT179" s="84"/>
      <c r="AU179" s="83" t="str">
        <f>IF([3]回答表!BD17="●",IF([3]回答表!X45="●",[3]回答表!E214,IF([3]回答表!AA45="●",[3]回答表!E280,"")),"")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IF([3]回答表!BD17="●",IF([3]回答表!AA45="●","●",""),"")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IF([3]回答表!BD17="●",IF([3]回答表!AD45="●","●",""),"")</f>
        <v/>
      </c>
      <c r="O188" s="99"/>
      <c r="P188" s="99"/>
      <c r="Q188" s="100"/>
      <c r="R188" s="38"/>
      <c r="S188" s="38"/>
      <c r="T188" s="38"/>
      <c r="U188" s="107" t="str">
        <f>IF([3]回答表!BD17="●",IF([3]回答表!AD45="●",[3]回答表!B289,""),"")</f>
        <v/>
      </c>
      <c r="V188" s="108"/>
      <c r="W188" s="108"/>
      <c r="X188" s="108"/>
      <c r="Y188" s="108"/>
      <c r="Z188" s="108"/>
      <c r="AA188" s="108"/>
      <c r="AB188" s="108"/>
      <c r="AC188" s="108"/>
      <c r="AD188" s="108"/>
      <c r="AE188" s="108"/>
      <c r="AF188" s="108"/>
      <c r="AG188" s="108"/>
      <c r="AH188" s="108"/>
      <c r="AI188" s="108"/>
      <c r="AJ188" s="109"/>
      <c r="AK188" s="55"/>
      <c r="AL188" s="55"/>
      <c r="AM188" s="107" t="str">
        <f>IF([3]回答表!BD17="●",IF([3]回答表!AD45="●",[3]回答表!B295,""),"")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IF([3]回答表!X46="●","●","")</f>
        <v/>
      </c>
      <c r="O200" s="99"/>
      <c r="P200" s="99"/>
      <c r="Q200" s="100"/>
      <c r="R200" s="38"/>
      <c r="S200" s="38"/>
      <c r="T200" s="38"/>
      <c r="U200" s="107" t="str">
        <f>IF([3]回答表!X46="●",[3]回答表!B307,IF([3]回答表!AA46="●",[3]回答表!B324,""))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IF([3]回答表!X46="●",[3]回答表!U313,IF([3]回答表!AA46="●",[3]回答表!U330,""))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IF([3]回答表!X46="●",[3]回答表!G313,IF([3]回答表!AA46="●",[3]回答表!G330,""))</f>
        <v/>
      </c>
      <c r="AN203" s="120"/>
      <c r="AO203" s="120"/>
      <c r="AP203" s="120"/>
      <c r="AQ203" s="120"/>
      <c r="AR203" s="120"/>
      <c r="AS203" s="120"/>
      <c r="AT203" s="121"/>
      <c r="AU203" s="119" t="str">
        <f>IF([3]回答表!X46="●",[3]回答表!G314,IF([3]回答表!AA46="●",[3]回答表!G331,""))</f>
        <v/>
      </c>
      <c r="AV203" s="120"/>
      <c r="AW203" s="120"/>
      <c r="AX203" s="120"/>
      <c r="AY203" s="120"/>
      <c r="AZ203" s="120"/>
      <c r="BA203" s="120"/>
      <c r="BB203" s="121"/>
      <c r="BC203" s="39"/>
      <c r="BD203" s="34"/>
      <c r="BE203" s="34"/>
      <c r="BF203" s="83" t="str">
        <f>IF([3]回答表!X46="●",[3]回答表!X313,IF([3]回答表!AA46="●",[3]回答表!X330,""))</f>
        <v/>
      </c>
      <c r="BG203" s="84"/>
      <c r="BH203" s="84"/>
      <c r="BI203" s="84"/>
      <c r="BJ203" s="83" t="str">
        <f>IF([3]回答表!X46="●",[3]回答表!X314,IF([3]回答表!AA46="●",[3]回答表!X331,""))</f>
        <v/>
      </c>
      <c r="BK203" s="84"/>
      <c r="BL203" s="84"/>
      <c r="BM203" s="87"/>
      <c r="BN203" s="83" t="str">
        <f>IF([3]回答表!X46="●",[3]回答表!X315,IF([3]回答表!AA46="●",[3]回答表!X332,""))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IF([3]回答表!AA46="●","●","")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IF([3]回答表!AD46="●","●","")</f>
        <v/>
      </c>
      <c r="O212" s="99"/>
      <c r="P212" s="99"/>
      <c r="Q212" s="100"/>
      <c r="R212" s="38"/>
      <c r="S212" s="38"/>
      <c r="T212" s="38"/>
      <c r="U212" s="107" t="str">
        <f>IF([3]回答表!AD46="●",[3]回答表!B337,"")</f>
        <v/>
      </c>
      <c r="V212" s="108"/>
      <c r="W212" s="108"/>
      <c r="X212" s="108"/>
      <c r="Y212" s="108"/>
      <c r="Z212" s="108"/>
      <c r="AA212" s="108"/>
      <c r="AB212" s="108"/>
      <c r="AC212" s="108"/>
      <c r="AD212" s="108"/>
      <c r="AE212" s="108"/>
      <c r="AF212" s="108"/>
      <c r="AG212" s="108"/>
      <c r="AH212" s="108"/>
      <c r="AI212" s="108"/>
      <c r="AJ212" s="109"/>
      <c r="AK212" s="62"/>
      <c r="AL212" s="62"/>
      <c r="AM212" s="107" t="str">
        <f>IF([3]回答表!AD46="●",[3]回答表!B343,"")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IF([3]回答表!X47="●","●","")</f>
        <v/>
      </c>
      <c r="O224" s="99"/>
      <c r="P224" s="99"/>
      <c r="Q224" s="100"/>
      <c r="R224" s="38"/>
      <c r="S224" s="38"/>
      <c r="T224" s="38"/>
      <c r="U224" s="107" t="str">
        <f>IF([3]回答表!X47="●",[3]回答表!B356,IF([3]回答表!AA47="●",[3]回答表!B379,""))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IF([3]回答表!X47="●",[3]回答表!B362,"")</f>
        <v/>
      </c>
      <c r="AO224" s="182"/>
      <c r="AP224" s="182"/>
      <c r="AQ224" s="182"/>
      <c r="AR224" s="182"/>
      <c r="AS224" s="182"/>
      <c r="AT224" s="182"/>
      <c r="AU224" s="182"/>
      <c r="AV224" s="182"/>
      <c r="AW224" s="182"/>
      <c r="AX224" s="182"/>
      <c r="AY224" s="182"/>
      <c r="AZ224" s="182"/>
      <c r="BA224" s="182"/>
      <c r="BB224" s="183"/>
      <c r="BC224" s="39"/>
      <c r="BD224" s="34"/>
      <c r="BE224" s="34"/>
      <c r="BF224" s="116" t="str">
        <f>IF([3]回答表!X47="●",[3]回答表!B368,IF([3]回答表!AA47="●",[3]回答表!B385,""))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IF([3]回答表!X47="●",[3]回答表!E368,IF([3]回答表!AA47="●",[3]回答表!E385,""))</f>
        <v/>
      </c>
      <c r="BG227" s="84"/>
      <c r="BH227" s="84"/>
      <c r="BI227" s="84"/>
      <c r="BJ227" s="83" t="str">
        <f>IF([3]回答表!X47="●",[3]回答表!E369,IF([3]回答表!AA47="●",[3]回答表!E386,""))</f>
        <v/>
      </c>
      <c r="BK227" s="84"/>
      <c r="BL227" s="84"/>
      <c r="BM227" s="87"/>
      <c r="BN227" s="83" t="str">
        <f>IF([3]回答表!X47="●",[3]回答表!E370,IF([3]回答表!AA47="●",[3]回答表!E387,""))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IF([3]回答表!AA47="●","●","")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IF([3]回答表!AD47="●","●","")</f>
        <v/>
      </c>
      <c r="O236" s="99"/>
      <c r="P236" s="99"/>
      <c r="Q236" s="100"/>
      <c r="R236" s="38"/>
      <c r="S236" s="38"/>
      <c r="T236" s="38"/>
      <c r="U236" s="107" t="str">
        <f>IF([3]回答表!AD47="●",[3]回答表!B392,"")</f>
        <v/>
      </c>
      <c r="V236" s="108"/>
      <c r="W236" s="108"/>
      <c r="X236" s="108"/>
      <c r="Y236" s="108"/>
      <c r="Z236" s="108"/>
      <c r="AA236" s="108"/>
      <c r="AB236" s="108"/>
      <c r="AC236" s="108"/>
      <c r="AD236" s="108"/>
      <c r="AE236" s="108"/>
      <c r="AF236" s="108"/>
      <c r="AG236" s="108"/>
      <c r="AH236" s="108"/>
      <c r="AI236" s="108"/>
      <c r="AJ236" s="109"/>
      <c r="AK236" s="62"/>
      <c r="AL236" s="62"/>
      <c r="AM236" s="107" t="str">
        <f>IF([3]回答表!AD47="●",[3]回答表!B398,"")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IF([3]回答表!X48="●","●","")</f>
        <v/>
      </c>
      <c r="O248" s="99"/>
      <c r="P248" s="99"/>
      <c r="Q248" s="100"/>
      <c r="R248" s="38"/>
      <c r="S248" s="38"/>
      <c r="T248" s="38"/>
      <c r="U248" s="107" t="str">
        <f>IF([3]回答表!X48="●",[3]回答表!B411,IF([3]回答表!AA48="●",[3]回答表!B425,""))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IF([3]回答表!X48="●",[3]回答表!BC418,IF([3]回答表!AA48="●",[3]回答表!BC432,""))</f>
        <v/>
      </c>
      <c r="AR248" s="151"/>
      <c r="AS248" s="151"/>
      <c r="AT248" s="151"/>
      <c r="AU248" s="173" t="s">
        <v>73</v>
      </c>
      <c r="AV248" s="174"/>
      <c r="AW248" s="174"/>
      <c r="AX248" s="175"/>
      <c r="AY248" s="151" t="str">
        <f>IF([3]回答表!X48="●",[3]回答表!BC423,IF([3]回答表!AA48="●",[3]回答表!BC437,""))</f>
        <v/>
      </c>
      <c r="AZ248" s="151"/>
      <c r="BA248" s="151"/>
      <c r="BB248" s="151"/>
      <c r="BC248" s="39"/>
      <c r="BD248" s="34"/>
      <c r="BE248" s="34"/>
      <c r="BF248" s="116" t="str">
        <f>IF([3]回答表!X48="●",[3]回答表!S417,IF([3]回答表!AA48="●",[3]回答表!S431,""))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IF([3]回答表!X48="●",[3]回答表!BC419,IF([3]回答表!AA48="●",[3]回答表!BC433,""))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IF([3]回答表!X48="●",[3]回答表!V417,IF([3]回答表!AA48="●",[3]回答表!V431,""))</f>
        <v/>
      </c>
      <c r="BG251" s="84"/>
      <c r="BH251" s="84"/>
      <c r="BI251" s="84"/>
      <c r="BJ251" s="83" t="str">
        <f>IF([3]回答表!X48="●",[3]回答表!V418,IF([3]回答表!AA48="●",[3]回答表!V432,""))</f>
        <v/>
      </c>
      <c r="BK251" s="84"/>
      <c r="BL251" s="84"/>
      <c r="BM251" s="87"/>
      <c r="BN251" s="83" t="str">
        <f>IF([3]回答表!X48="●",[3]回答表!V419,IF([3]回答表!AA48="●",[3]回答表!V433,""))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IF([3]回答表!X48="●",[3]回答表!BC420,IF([3]回答表!AA48="●",[3]回答表!BC434,""))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IF([3]回答表!X48="●",[3]回答表!BC424,IF([3]回答表!AA48="●",[3]回答表!BC438,""))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IF([3]回答表!AA48="●","●","")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IF([3]回答表!X48="●",[3]回答表!BC421,IF([3]回答表!AA48="●",[3]回答表!BC435,""))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IF([3]回答表!X48="●",[3]回答表!BC422,IF([3]回答表!AA48="●",[3]回答表!BC436,""))</f>
        <v/>
      </c>
      <c r="AR256" s="151"/>
      <c r="AS256" s="151"/>
      <c r="AT256" s="151"/>
      <c r="AU256" s="152" t="s">
        <v>79</v>
      </c>
      <c r="AV256" s="153"/>
      <c r="AW256" s="153"/>
      <c r="AX256" s="154"/>
      <c r="AY256" s="158" t="str">
        <f>IF([3]回答表!X48="●",[3]回答表!BC425,IF([3]回答表!AA48="●",[3]回答表!BC439,""))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IF([3]回答表!AD48="●","●","")</f>
        <v/>
      </c>
      <c r="O260" s="99"/>
      <c r="P260" s="99"/>
      <c r="Q260" s="100"/>
      <c r="R260" s="38"/>
      <c r="S260" s="38"/>
      <c r="T260" s="38"/>
      <c r="U260" s="107" t="str">
        <f>IF([3]回答表!AD48="●",[3]回答表!B439,"")</f>
        <v/>
      </c>
      <c r="V260" s="108"/>
      <c r="W260" s="108"/>
      <c r="X260" s="108"/>
      <c r="Y260" s="108"/>
      <c r="Z260" s="108"/>
      <c r="AA260" s="108"/>
      <c r="AB260" s="108"/>
      <c r="AC260" s="108"/>
      <c r="AD260" s="108"/>
      <c r="AE260" s="108"/>
      <c r="AF260" s="108"/>
      <c r="AG260" s="108"/>
      <c r="AH260" s="108"/>
      <c r="AI260" s="108"/>
      <c r="AJ260" s="109"/>
      <c r="AK260" s="55"/>
      <c r="AL260" s="55"/>
      <c r="AM260" s="107" t="str">
        <f>IF([3]回答表!AD48="●",[3]回答表!B445,"")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IF([3]回答表!X49="●","●","")</f>
        <v/>
      </c>
      <c r="O271" s="99"/>
      <c r="P271" s="99"/>
      <c r="Q271" s="100"/>
      <c r="R271" s="38"/>
      <c r="S271" s="38"/>
      <c r="T271" s="38"/>
      <c r="U271" s="107" t="str">
        <f>IF([3]回答表!X49="●",[3]回答表!B458,IF([3]回答表!AA49="●",[3]回答表!B475,""))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IF([3]回答表!X49="●",[3]回答表!B468,IF([3]回答表!AA49="●",[3]回答表!B485,""))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IF([3]回答表!X49="●",[3]回答表!G464,IF([3]回答表!AA49="●",[3]回答表!G481,""))</f>
        <v/>
      </c>
      <c r="AN273" s="120"/>
      <c r="AO273" s="120"/>
      <c r="AP273" s="120"/>
      <c r="AQ273" s="120"/>
      <c r="AR273" s="120"/>
      <c r="AS273" s="120"/>
      <c r="AT273" s="121"/>
      <c r="AU273" s="119" t="str">
        <f>IF([3]回答表!X49="●",[3]回答表!G465,IF([3]回答表!AA49="●",[3]回答表!G482,""))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IF([3]回答表!X49="●",[3]回答表!E468,IF([3]回答表!AA49="●",[3]回答表!E485,""))</f>
        <v/>
      </c>
      <c r="BG274" s="84"/>
      <c r="BH274" s="84"/>
      <c r="BI274" s="84"/>
      <c r="BJ274" s="83" t="str">
        <f>IF([3]回答表!X49="●",[3]回答表!E469,IF([3]回答表!AA49="●",[3]回答表!E486,""))</f>
        <v/>
      </c>
      <c r="BK274" s="84"/>
      <c r="BL274" s="84"/>
      <c r="BM274" s="87"/>
      <c r="BN274" s="83" t="str">
        <f>IF([3]回答表!X49="●",[3]回答表!E470,IF([3]回答表!AA49="●",[3]回答表!E487,""))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IF([3]回答表!AA49="●","●","")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IF([3]回答表!AD49="●","●","")</f>
        <v/>
      </c>
      <c r="O283" s="99"/>
      <c r="P283" s="99"/>
      <c r="Q283" s="100"/>
      <c r="R283" s="38"/>
      <c r="S283" s="38"/>
      <c r="T283" s="38"/>
      <c r="U283" s="107" t="str">
        <f>IF([3]回答表!AD49="●",[3]回答表!B492,"")</f>
        <v/>
      </c>
      <c r="V283" s="108"/>
      <c r="W283" s="108"/>
      <c r="X283" s="108"/>
      <c r="Y283" s="108"/>
      <c r="Z283" s="108"/>
      <c r="AA283" s="108"/>
      <c r="AB283" s="108"/>
      <c r="AC283" s="108"/>
      <c r="AD283" s="108"/>
      <c r="AE283" s="108"/>
      <c r="AF283" s="108"/>
      <c r="AG283" s="108"/>
      <c r="AH283" s="108"/>
      <c r="AI283" s="108"/>
      <c r="AJ283" s="109"/>
      <c r="AK283" s="49"/>
      <c r="AL283" s="49"/>
      <c r="AM283" s="107" t="str">
        <f>IF([3]回答表!AD49="●",[3]回答表!B498,"")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IF([3]回答表!R50="●",[3]回答表!B511,"")</f>
        <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E176-74AA-4EA9-823C-607FA749286C}">
  <sheetPr>
    <pageSetUpPr fitToPage="1"/>
  </sheetPr>
  <dimension ref="A1:CN315"/>
  <sheetViews>
    <sheetView showZeros="0" view="pageBreakPreview" zoomScale="60" zoomScaleNormal="55" workbookViewId="0">
      <selection activeCell="AR57" sqref="AR57:BB5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298" t="s">
        <v>0</v>
      </c>
      <c r="D8" s="299"/>
      <c r="E8" s="299"/>
      <c r="F8" s="299"/>
      <c r="G8" s="299"/>
      <c r="H8" s="299"/>
      <c r="I8" s="299"/>
      <c r="J8" s="299"/>
      <c r="K8" s="299"/>
      <c r="L8" s="299"/>
      <c r="M8" s="299"/>
      <c r="N8" s="299"/>
      <c r="O8" s="299"/>
      <c r="P8" s="299"/>
      <c r="Q8" s="299"/>
      <c r="R8" s="299"/>
      <c r="S8" s="299"/>
      <c r="T8" s="299"/>
      <c r="U8" s="300" t="s">
        <v>1</v>
      </c>
      <c r="V8" s="301"/>
      <c r="W8" s="301"/>
      <c r="X8" s="301"/>
      <c r="Y8" s="301"/>
      <c r="Z8" s="301"/>
      <c r="AA8" s="301"/>
      <c r="AB8" s="301"/>
      <c r="AC8" s="301"/>
      <c r="AD8" s="301"/>
      <c r="AE8" s="301"/>
      <c r="AF8" s="301"/>
      <c r="AG8" s="301"/>
      <c r="AH8" s="301"/>
      <c r="AI8" s="301"/>
      <c r="AJ8" s="301"/>
      <c r="AK8" s="301"/>
      <c r="AL8" s="301"/>
      <c r="AM8" s="301"/>
      <c r="AN8" s="302"/>
      <c r="AO8" s="303" t="s">
        <v>2</v>
      </c>
      <c r="AP8" s="301"/>
      <c r="AQ8" s="301"/>
      <c r="AR8" s="301"/>
      <c r="AS8" s="301"/>
      <c r="AT8" s="301"/>
      <c r="AU8" s="301"/>
      <c r="AV8" s="301"/>
      <c r="AW8" s="301"/>
      <c r="AX8" s="301"/>
      <c r="AY8" s="301"/>
      <c r="AZ8" s="301"/>
      <c r="BA8" s="301"/>
      <c r="BB8" s="301"/>
      <c r="BC8" s="301"/>
      <c r="BD8" s="301"/>
      <c r="BE8" s="301"/>
      <c r="BF8" s="302"/>
      <c r="BG8" s="298" t="s">
        <v>3</v>
      </c>
      <c r="BH8" s="304"/>
      <c r="BI8" s="304"/>
      <c r="BJ8" s="304"/>
      <c r="BK8" s="304"/>
      <c r="BL8" s="304"/>
      <c r="BM8" s="304"/>
      <c r="BN8" s="304"/>
      <c r="BO8" s="304"/>
      <c r="BP8" s="304"/>
      <c r="BQ8" s="304"/>
      <c r="BR8" s="7"/>
    </row>
    <row r="9" spans="3:71" ht="15.6" customHeight="1" x14ac:dyDescent="0.4">
      <c r="C9" s="299"/>
      <c r="D9" s="299"/>
      <c r="E9" s="299"/>
      <c r="F9" s="299"/>
      <c r="G9" s="299"/>
      <c r="H9" s="299"/>
      <c r="I9" s="299"/>
      <c r="J9" s="299"/>
      <c r="K9" s="299"/>
      <c r="L9" s="299"/>
      <c r="M9" s="299"/>
      <c r="N9" s="299"/>
      <c r="O9" s="299"/>
      <c r="P9" s="299"/>
      <c r="Q9" s="299"/>
      <c r="R9" s="299"/>
      <c r="S9" s="299"/>
      <c r="T9" s="299"/>
      <c r="U9" s="251"/>
      <c r="V9" s="249"/>
      <c r="W9" s="249"/>
      <c r="X9" s="249"/>
      <c r="Y9" s="249"/>
      <c r="Z9" s="249"/>
      <c r="AA9" s="249"/>
      <c r="AB9" s="249"/>
      <c r="AC9" s="249"/>
      <c r="AD9" s="249"/>
      <c r="AE9" s="249"/>
      <c r="AF9" s="249"/>
      <c r="AG9" s="249"/>
      <c r="AH9" s="249"/>
      <c r="AI9" s="249"/>
      <c r="AJ9" s="249"/>
      <c r="AK9" s="249"/>
      <c r="AL9" s="249"/>
      <c r="AM9" s="249"/>
      <c r="AN9" s="250"/>
      <c r="AO9" s="251"/>
      <c r="AP9" s="249"/>
      <c r="AQ9" s="249"/>
      <c r="AR9" s="249"/>
      <c r="AS9" s="249"/>
      <c r="AT9" s="249"/>
      <c r="AU9" s="249"/>
      <c r="AV9" s="249"/>
      <c r="AW9" s="249"/>
      <c r="AX9" s="249"/>
      <c r="AY9" s="249"/>
      <c r="AZ9" s="249"/>
      <c r="BA9" s="249"/>
      <c r="BB9" s="249"/>
      <c r="BC9" s="249"/>
      <c r="BD9" s="249"/>
      <c r="BE9" s="249"/>
      <c r="BF9" s="250"/>
      <c r="BG9" s="304"/>
      <c r="BH9" s="304"/>
      <c r="BI9" s="304"/>
      <c r="BJ9" s="304"/>
      <c r="BK9" s="304"/>
      <c r="BL9" s="304"/>
      <c r="BM9" s="304"/>
      <c r="BN9" s="304"/>
      <c r="BO9" s="304"/>
      <c r="BP9" s="304"/>
      <c r="BQ9" s="304"/>
      <c r="BR9" s="7"/>
    </row>
    <row r="10" spans="3:71" ht="15.6" customHeight="1" x14ac:dyDescent="0.4">
      <c r="C10" s="299"/>
      <c r="D10" s="299"/>
      <c r="E10" s="299"/>
      <c r="F10" s="299"/>
      <c r="G10" s="299"/>
      <c r="H10" s="299"/>
      <c r="I10" s="299"/>
      <c r="J10" s="299"/>
      <c r="K10" s="299"/>
      <c r="L10" s="299"/>
      <c r="M10" s="299"/>
      <c r="N10" s="299"/>
      <c r="O10" s="299"/>
      <c r="P10" s="299"/>
      <c r="Q10" s="299"/>
      <c r="R10" s="299"/>
      <c r="S10" s="299"/>
      <c r="T10" s="299"/>
      <c r="U10" s="252"/>
      <c r="V10" s="253"/>
      <c r="W10" s="253"/>
      <c r="X10" s="253"/>
      <c r="Y10" s="253"/>
      <c r="Z10" s="253"/>
      <c r="AA10" s="253"/>
      <c r="AB10" s="253"/>
      <c r="AC10" s="253"/>
      <c r="AD10" s="253"/>
      <c r="AE10" s="253"/>
      <c r="AF10" s="253"/>
      <c r="AG10" s="253"/>
      <c r="AH10" s="253"/>
      <c r="AI10" s="253"/>
      <c r="AJ10" s="253"/>
      <c r="AK10" s="253"/>
      <c r="AL10" s="253"/>
      <c r="AM10" s="253"/>
      <c r="AN10" s="254"/>
      <c r="AO10" s="252"/>
      <c r="AP10" s="253"/>
      <c r="AQ10" s="253"/>
      <c r="AR10" s="253"/>
      <c r="AS10" s="253"/>
      <c r="AT10" s="253"/>
      <c r="AU10" s="253"/>
      <c r="AV10" s="253"/>
      <c r="AW10" s="253"/>
      <c r="AX10" s="253"/>
      <c r="AY10" s="253"/>
      <c r="AZ10" s="253"/>
      <c r="BA10" s="253"/>
      <c r="BB10" s="253"/>
      <c r="BC10" s="253"/>
      <c r="BD10" s="253"/>
      <c r="BE10" s="253"/>
      <c r="BF10" s="254"/>
      <c r="BG10" s="304"/>
      <c r="BH10" s="304"/>
      <c r="BI10" s="304"/>
      <c r="BJ10" s="304"/>
      <c r="BK10" s="304"/>
      <c r="BL10" s="304"/>
      <c r="BM10" s="304"/>
      <c r="BN10" s="304"/>
      <c r="BO10" s="304"/>
      <c r="BP10" s="304"/>
      <c r="BQ10" s="304"/>
      <c r="BR10" s="7"/>
    </row>
    <row r="11" spans="3:71" ht="15.6" customHeight="1" x14ac:dyDescent="0.4">
      <c r="C11" s="305" t="str">
        <f>IF(COUNTIF([10]回答表!K15,"*")&gt;0,[10]回答表!K15,"")</f>
        <v>大館市</v>
      </c>
      <c r="D11" s="299"/>
      <c r="E11" s="299"/>
      <c r="F11" s="299"/>
      <c r="G11" s="299"/>
      <c r="H11" s="299"/>
      <c r="I11" s="299"/>
      <c r="J11" s="299"/>
      <c r="K11" s="299"/>
      <c r="L11" s="299"/>
      <c r="M11" s="299"/>
      <c r="N11" s="299"/>
      <c r="O11" s="299"/>
      <c r="P11" s="299"/>
      <c r="Q11" s="299"/>
      <c r="R11" s="299"/>
      <c r="S11" s="299"/>
      <c r="T11" s="299"/>
      <c r="U11" s="306" t="str">
        <f>IF(COUNTIF([10]回答表!F17,"*")&gt;0,[10]回答表!F17,"")</f>
        <v>市場事業</v>
      </c>
      <c r="V11" s="307"/>
      <c r="W11" s="307"/>
      <c r="X11" s="307"/>
      <c r="Y11" s="307"/>
      <c r="Z11" s="307"/>
      <c r="AA11" s="307"/>
      <c r="AB11" s="307"/>
      <c r="AC11" s="307"/>
      <c r="AD11" s="307"/>
      <c r="AE11" s="307"/>
      <c r="AF11" s="301"/>
      <c r="AG11" s="301"/>
      <c r="AH11" s="301"/>
      <c r="AI11" s="301"/>
      <c r="AJ11" s="301"/>
      <c r="AK11" s="301"/>
      <c r="AL11" s="301"/>
      <c r="AM11" s="301"/>
      <c r="AN11" s="302"/>
      <c r="AO11" s="312" t="str">
        <f>IF(COUNTIF([10]回答表!W17,"*")&gt;0,[10]回答表!W17,"")</f>
        <v>―</v>
      </c>
      <c r="AP11" s="301"/>
      <c r="AQ11" s="301"/>
      <c r="AR11" s="301"/>
      <c r="AS11" s="301"/>
      <c r="AT11" s="301"/>
      <c r="AU11" s="301"/>
      <c r="AV11" s="301"/>
      <c r="AW11" s="301"/>
      <c r="AX11" s="301"/>
      <c r="AY11" s="301"/>
      <c r="AZ11" s="301"/>
      <c r="BA11" s="301"/>
      <c r="BB11" s="301"/>
      <c r="BC11" s="301"/>
      <c r="BD11" s="301"/>
      <c r="BE11" s="301"/>
      <c r="BF11" s="302"/>
      <c r="BG11" s="305" t="str">
        <f>IF(COUNTIF([10]回答表!F19,"*")&gt;0,[10]回答表!F19,"")</f>
        <v>ー</v>
      </c>
      <c r="BH11" s="304"/>
      <c r="BI11" s="304"/>
      <c r="BJ11" s="304"/>
      <c r="BK11" s="304"/>
      <c r="BL11" s="304"/>
      <c r="BM11" s="304"/>
      <c r="BN11" s="304"/>
      <c r="BO11" s="304"/>
      <c r="BP11" s="304"/>
      <c r="BQ11" s="304"/>
      <c r="BR11" s="5"/>
    </row>
    <row r="12" spans="3:71" ht="15.6" customHeight="1" x14ac:dyDescent="0.4">
      <c r="C12" s="299"/>
      <c r="D12" s="299"/>
      <c r="E12" s="299"/>
      <c r="F12" s="299"/>
      <c r="G12" s="299"/>
      <c r="H12" s="299"/>
      <c r="I12" s="299"/>
      <c r="J12" s="299"/>
      <c r="K12" s="299"/>
      <c r="L12" s="299"/>
      <c r="M12" s="299"/>
      <c r="N12" s="299"/>
      <c r="O12" s="299"/>
      <c r="P12" s="299"/>
      <c r="Q12" s="299"/>
      <c r="R12" s="299"/>
      <c r="S12" s="299"/>
      <c r="T12" s="299"/>
      <c r="U12" s="308"/>
      <c r="V12" s="309"/>
      <c r="W12" s="309"/>
      <c r="X12" s="309"/>
      <c r="Y12" s="309"/>
      <c r="Z12" s="309"/>
      <c r="AA12" s="309"/>
      <c r="AB12" s="309"/>
      <c r="AC12" s="309"/>
      <c r="AD12" s="309"/>
      <c r="AE12" s="309"/>
      <c r="AF12" s="249"/>
      <c r="AG12" s="249"/>
      <c r="AH12" s="249"/>
      <c r="AI12" s="249"/>
      <c r="AJ12" s="249"/>
      <c r="AK12" s="249"/>
      <c r="AL12" s="249"/>
      <c r="AM12" s="249"/>
      <c r="AN12" s="250"/>
      <c r="AO12" s="251"/>
      <c r="AP12" s="249"/>
      <c r="AQ12" s="249"/>
      <c r="AR12" s="249"/>
      <c r="AS12" s="249"/>
      <c r="AT12" s="249"/>
      <c r="AU12" s="249"/>
      <c r="AV12" s="249"/>
      <c r="AW12" s="249"/>
      <c r="AX12" s="249"/>
      <c r="AY12" s="249"/>
      <c r="AZ12" s="249"/>
      <c r="BA12" s="249"/>
      <c r="BB12" s="249"/>
      <c r="BC12" s="249"/>
      <c r="BD12" s="249"/>
      <c r="BE12" s="249"/>
      <c r="BF12" s="250"/>
      <c r="BG12" s="304"/>
      <c r="BH12" s="304"/>
      <c r="BI12" s="304"/>
      <c r="BJ12" s="304"/>
      <c r="BK12" s="304"/>
      <c r="BL12" s="304"/>
      <c r="BM12" s="304"/>
      <c r="BN12" s="304"/>
      <c r="BO12" s="304"/>
      <c r="BP12" s="304"/>
      <c r="BQ12" s="304"/>
      <c r="BR12" s="5"/>
    </row>
    <row r="13" spans="3:71" ht="15.6" customHeight="1" x14ac:dyDescent="0.4">
      <c r="C13" s="299"/>
      <c r="D13" s="299"/>
      <c r="E13" s="299"/>
      <c r="F13" s="299"/>
      <c r="G13" s="299"/>
      <c r="H13" s="299"/>
      <c r="I13" s="299"/>
      <c r="J13" s="299"/>
      <c r="K13" s="299"/>
      <c r="L13" s="299"/>
      <c r="M13" s="299"/>
      <c r="N13" s="299"/>
      <c r="O13" s="299"/>
      <c r="P13" s="299"/>
      <c r="Q13" s="299"/>
      <c r="R13" s="299"/>
      <c r="S13" s="299"/>
      <c r="T13" s="299"/>
      <c r="U13" s="310"/>
      <c r="V13" s="311"/>
      <c r="W13" s="311"/>
      <c r="X13" s="311"/>
      <c r="Y13" s="311"/>
      <c r="Z13" s="311"/>
      <c r="AA13" s="311"/>
      <c r="AB13" s="311"/>
      <c r="AC13" s="311"/>
      <c r="AD13" s="311"/>
      <c r="AE13" s="311"/>
      <c r="AF13" s="253"/>
      <c r="AG13" s="253"/>
      <c r="AH13" s="253"/>
      <c r="AI13" s="253"/>
      <c r="AJ13" s="253"/>
      <c r="AK13" s="253"/>
      <c r="AL13" s="253"/>
      <c r="AM13" s="253"/>
      <c r="AN13" s="254"/>
      <c r="AO13" s="252"/>
      <c r="AP13" s="253"/>
      <c r="AQ13" s="253"/>
      <c r="AR13" s="253"/>
      <c r="AS13" s="253"/>
      <c r="AT13" s="253"/>
      <c r="AU13" s="253"/>
      <c r="AV13" s="253"/>
      <c r="AW13" s="253"/>
      <c r="AX13" s="253"/>
      <c r="AY13" s="253"/>
      <c r="AZ13" s="253"/>
      <c r="BA13" s="253"/>
      <c r="BB13" s="253"/>
      <c r="BC13" s="253"/>
      <c r="BD13" s="253"/>
      <c r="BE13" s="253"/>
      <c r="BF13" s="254"/>
      <c r="BG13" s="304"/>
      <c r="BH13" s="304"/>
      <c r="BI13" s="304"/>
      <c r="BJ13" s="304"/>
      <c r="BK13" s="304"/>
      <c r="BL13" s="304"/>
      <c r="BM13" s="304"/>
      <c r="BN13" s="304"/>
      <c r="BO13" s="304"/>
      <c r="BP13" s="304"/>
      <c r="BQ13" s="304"/>
      <c r="BR13" s="5"/>
    </row>
    <row r="14" spans="3:71" ht="15.6" customHeight="1" x14ac:dyDescent="0.4">
      <c r="D14" s="8"/>
      <c r="E14" s="8"/>
      <c r="F14" s="8"/>
      <c r="G14" s="8"/>
      <c r="H14" s="8"/>
      <c r="I14" s="8"/>
      <c r="J14" s="8"/>
      <c r="K14" s="8"/>
      <c r="L14" s="8"/>
      <c r="M14" s="8"/>
      <c r="N14" s="8"/>
      <c r="O14" s="8"/>
      <c r="P14" s="8"/>
      <c r="Q14" s="8"/>
      <c r="R14" s="8"/>
      <c r="S14" s="8"/>
      <c r="T14" s="8"/>
      <c r="U14" s="8"/>
      <c r="V14" s="8"/>
      <c r="W14" s="8"/>
    </row>
    <row r="15" spans="3:71" ht="15.6" customHeight="1" x14ac:dyDescent="0.4">
      <c r="D15" s="8"/>
      <c r="E15" s="8"/>
      <c r="F15" s="8"/>
      <c r="G15" s="8"/>
      <c r="H15" s="8"/>
      <c r="I15" s="8"/>
      <c r="J15" s="8"/>
      <c r="K15" s="8"/>
      <c r="L15" s="8"/>
      <c r="M15" s="8"/>
      <c r="N15" s="8"/>
      <c r="O15" s="8"/>
      <c r="P15" s="8"/>
      <c r="Q15" s="8"/>
      <c r="R15" s="8"/>
      <c r="S15" s="8"/>
      <c r="T15" s="8"/>
      <c r="U15" s="8"/>
      <c r="V15" s="8"/>
      <c r="W15" s="8"/>
    </row>
    <row r="16" spans="3:71" ht="15.6" customHeight="1" x14ac:dyDescent="0.4">
      <c r="D16" s="8"/>
      <c r="E16" s="8"/>
      <c r="F16" s="8"/>
      <c r="G16" s="8"/>
      <c r="H16" s="8"/>
      <c r="I16" s="8"/>
      <c r="J16" s="8"/>
      <c r="K16" s="8"/>
      <c r="L16" s="8"/>
      <c r="M16" s="8"/>
      <c r="N16" s="8"/>
      <c r="O16" s="8"/>
      <c r="P16" s="8"/>
      <c r="Q16" s="8"/>
      <c r="R16" s="8"/>
      <c r="S16" s="8"/>
      <c r="T16" s="8"/>
      <c r="U16" s="8"/>
      <c r="V16" s="8"/>
      <c r="W16" s="8"/>
    </row>
    <row r="17" spans="3:84" ht="15.6" customHeight="1" x14ac:dyDescent="0.4">
      <c r="C17" s="9"/>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1"/>
      <c r="BS17" s="12"/>
    </row>
    <row r="18" spans="3:84" ht="15.6" customHeight="1" x14ac:dyDescent="0.4">
      <c r="C18" s="13"/>
      <c r="D18" s="265" t="s">
        <v>4</v>
      </c>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7"/>
      <c r="BA18" s="14"/>
      <c r="BB18" s="14"/>
      <c r="BC18" s="14"/>
      <c r="BD18" s="14"/>
      <c r="BE18" s="14"/>
      <c r="BF18" s="14"/>
      <c r="BG18" s="14"/>
      <c r="BH18" s="14"/>
      <c r="BI18" s="14"/>
      <c r="BJ18" s="14"/>
      <c r="BK18" s="14"/>
      <c r="BL18" s="15"/>
      <c r="BS18" s="12"/>
    </row>
    <row r="19" spans="3:84" ht="15.6" customHeight="1" x14ac:dyDescent="0.4">
      <c r="C19" s="13"/>
      <c r="D19" s="268"/>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c r="AK19" s="269"/>
      <c r="AL19" s="269"/>
      <c r="AM19" s="269"/>
      <c r="AN19" s="269"/>
      <c r="AO19" s="269"/>
      <c r="AP19" s="269"/>
      <c r="AQ19" s="269"/>
      <c r="AR19" s="269"/>
      <c r="AS19" s="269"/>
      <c r="AT19" s="269"/>
      <c r="AU19" s="269"/>
      <c r="AV19" s="269"/>
      <c r="AW19" s="269"/>
      <c r="AX19" s="269"/>
      <c r="AY19" s="269"/>
      <c r="AZ19" s="270"/>
      <c r="BA19" s="14"/>
      <c r="BB19" s="14"/>
      <c r="BC19" s="14"/>
      <c r="BD19" s="14"/>
      <c r="BE19" s="14"/>
      <c r="BF19" s="14"/>
      <c r="BG19" s="14"/>
      <c r="BH19" s="14"/>
      <c r="BI19" s="14"/>
      <c r="BJ19" s="14"/>
      <c r="BK19" s="14"/>
      <c r="BL19" s="15"/>
      <c r="BS19" s="12"/>
    </row>
    <row r="20" spans="3:84" ht="13.35" customHeight="1" x14ac:dyDescent="0.4">
      <c r="C20" s="13"/>
      <c r="D20" s="271" t="s">
        <v>5</v>
      </c>
      <c r="E20" s="272"/>
      <c r="F20" s="272"/>
      <c r="G20" s="272"/>
      <c r="H20" s="272"/>
      <c r="I20" s="272"/>
      <c r="J20" s="273"/>
      <c r="K20" s="271" t="s">
        <v>6</v>
      </c>
      <c r="L20" s="272"/>
      <c r="M20" s="272"/>
      <c r="N20" s="272"/>
      <c r="O20" s="272"/>
      <c r="P20" s="272"/>
      <c r="Q20" s="273"/>
      <c r="R20" s="271" t="s">
        <v>7</v>
      </c>
      <c r="S20" s="272"/>
      <c r="T20" s="272"/>
      <c r="U20" s="272"/>
      <c r="V20" s="272"/>
      <c r="W20" s="272"/>
      <c r="X20" s="273"/>
      <c r="Y20" s="280" t="s">
        <v>8</v>
      </c>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2"/>
      <c r="BA20" s="16"/>
      <c r="BB20" s="289" t="s">
        <v>9</v>
      </c>
      <c r="BC20" s="290"/>
      <c r="BD20" s="290"/>
      <c r="BE20" s="290"/>
      <c r="BF20" s="290"/>
      <c r="BG20" s="290"/>
      <c r="BH20" s="290"/>
      <c r="BI20" s="290"/>
      <c r="BJ20" s="258"/>
      <c r="BK20" s="259"/>
      <c r="BL20" s="15"/>
      <c r="BS20" s="17"/>
    </row>
    <row r="21" spans="3:84" ht="13.35" customHeight="1" x14ac:dyDescent="0.4">
      <c r="C21" s="13"/>
      <c r="D21" s="274"/>
      <c r="E21" s="275"/>
      <c r="F21" s="275"/>
      <c r="G21" s="275"/>
      <c r="H21" s="275"/>
      <c r="I21" s="275"/>
      <c r="J21" s="276"/>
      <c r="K21" s="274"/>
      <c r="L21" s="275"/>
      <c r="M21" s="275"/>
      <c r="N21" s="275"/>
      <c r="O21" s="275"/>
      <c r="P21" s="275"/>
      <c r="Q21" s="276"/>
      <c r="R21" s="274"/>
      <c r="S21" s="275"/>
      <c r="T21" s="275"/>
      <c r="U21" s="275"/>
      <c r="V21" s="275"/>
      <c r="W21" s="275"/>
      <c r="X21" s="276"/>
      <c r="Y21" s="283"/>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5"/>
      <c r="BA21" s="16"/>
      <c r="BB21" s="291"/>
      <c r="BC21" s="292"/>
      <c r="BD21" s="292"/>
      <c r="BE21" s="292"/>
      <c r="BF21" s="292"/>
      <c r="BG21" s="292"/>
      <c r="BH21" s="292"/>
      <c r="BI21" s="292"/>
      <c r="BJ21" s="260"/>
      <c r="BK21" s="261"/>
      <c r="BL21" s="15"/>
      <c r="BS21" s="17"/>
    </row>
    <row r="22" spans="3:84" ht="13.35" customHeight="1" x14ac:dyDescent="0.4">
      <c r="C22" s="13"/>
      <c r="D22" s="274"/>
      <c r="E22" s="275"/>
      <c r="F22" s="275"/>
      <c r="G22" s="275"/>
      <c r="H22" s="275"/>
      <c r="I22" s="275"/>
      <c r="J22" s="276"/>
      <c r="K22" s="274"/>
      <c r="L22" s="275"/>
      <c r="M22" s="275"/>
      <c r="N22" s="275"/>
      <c r="O22" s="275"/>
      <c r="P22" s="275"/>
      <c r="Q22" s="276"/>
      <c r="R22" s="274"/>
      <c r="S22" s="275"/>
      <c r="T22" s="275"/>
      <c r="U22" s="275"/>
      <c r="V22" s="275"/>
      <c r="W22" s="275"/>
      <c r="X22" s="276"/>
      <c r="Y22" s="286"/>
      <c r="Z22" s="287"/>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8"/>
      <c r="BA22" s="18"/>
      <c r="BB22" s="291"/>
      <c r="BC22" s="292"/>
      <c r="BD22" s="292"/>
      <c r="BE22" s="292"/>
      <c r="BF22" s="292"/>
      <c r="BG22" s="292"/>
      <c r="BH22" s="292"/>
      <c r="BI22" s="292"/>
      <c r="BJ22" s="260"/>
      <c r="BK22" s="261"/>
      <c r="BL22" s="15"/>
      <c r="BS22" s="17"/>
    </row>
    <row r="23" spans="3:84" ht="31.35" customHeight="1" x14ac:dyDescent="0.4">
      <c r="C23" s="13"/>
      <c r="D23" s="277"/>
      <c r="E23" s="278"/>
      <c r="F23" s="278"/>
      <c r="G23" s="278"/>
      <c r="H23" s="278"/>
      <c r="I23" s="278"/>
      <c r="J23" s="279"/>
      <c r="K23" s="277"/>
      <c r="L23" s="278"/>
      <c r="M23" s="278"/>
      <c r="N23" s="278"/>
      <c r="O23" s="278"/>
      <c r="P23" s="278"/>
      <c r="Q23" s="279"/>
      <c r="R23" s="277"/>
      <c r="S23" s="278"/>
      <c r="T23" s="278"/>
      <c r="U23" s="278"/>
      <c r="V23" s="278"/>
      <c r="W23" s="278"/>
      <c r="X23" s="279"/>
      <c r="Y23" s="295" t="s">
        <v>10</v>
      </c>
      <c r="Z23" s="296"/>
      <c r="AA23" s="296"/>
      <c r="AB23" s="296"/>
      <c r="AC23" s="296"/>
      <c r="AD23" s="296"/>
      <c r="AE23" s="297"/>
      <c r="AF23" s="295" t="s">
        <v>11</v>
      </c>
      <c r="AG23" s="296"/>
      <c r="AH23" s="296"/>
      <c r="AI23" s="296"/>
      <c r="AJ23" s="296"/>
      <c r="AK23" s="296"/>
      <c r="AL23" s="297"/>
      <c r="AM23" s="295" t="s">
        <v>12</v>
      </c>
      <c r="AN23" s="296"/>
      <c r="AO23" s="296"/>
      <c r="AP23" s="296"/>
      <c r="AQ23" s="296"/>
      <c r="AR23" s="296"/>
      <c r="AS23" s="297"/>
      <c r="AT23" s="295" t="s">
        <v>13</v>
      </c>
      <c r="AU23" s="296"/>
      <c r="AV23" s="296"/>
      <c r="AW23" s="296"/>
      <c r="AX23" s="296"/>
      <c r="AY23" s="296"/>
      <c r="AZ23" s="297"/>
      <c r="BA23" s="18"/>
      <c r="BB23" s="293"/>
      <c r="BC23" s="294"/>
      <c r="BD23" s="294"/>
      <c r="BE23" s="294"/>
      <c r="BF23" s="294"/>
      <c r="BG23" s="294"/>
      <c r="BH23" s="294"/>
      <c r="BI23" s="294"/>
      <c r="BJ23" s="262"/>
      <c r="BK23" s="263"/>
      <c r="BL23" s="15"/>
      <c r="BS23" s="17"/>
    </row>
    <row r="24" spans="3:84" ht="15.6" customHeight="1" x14ac:dyDescent="0.4">
      <c r="C24" s="13"/>
      <c r="D24" s="122" t="str">
        <f>IF([10]回答表!R43="●","●","")</f>
        <v/>
      </c>
      <c r="E24" s="123"/>
      <c r="F24" s="123"/>
      <c r="G24" s="123"/>
      <c r="H24" s="123"/>
      <c r="I24" s="123"/>
      <c r="J24" s="124"/>
      <c r="K24" s="122" t="str">
        <f>IF([10]回答表!R44="●","●","")</f>
        <v/>
      </c>
      <c r="L24" s="123"/>
      <c r="M24" s="123"/>
      <c r="N24" s="123"/>
      <c r="O24" s="123"/>
      <c r="P24" s="123"/>
      <c r="Q24" s="124"/>
      <c r="R24" s="122" t="str">
        <f>IF([10]回答表!R45="●","●","")</f>
        <v/>
      </c>
      <c r="S24" s="123"/>
      <c r="T24" s="123"/>
      <c r="U24" s="123"/>
      <c r="V24" s="123"/>
      <c r="W24" s="123"/>
      <c r="X24" s="124"/>
      <c r="Y24" s="122" t="str">
        <f>IF([10]回答表!R46="●","●","")</f>
        <v/>
      </c>
      <c r="Z24" s="123"/>
      <c r="AA24" s="123"/>
      <c r="AB24" s="123"/>
      <c r="AC24" s="123"/>
      <c r="AD24" s="123"/>
      <c r="AE24" s="124"/>
      <c r="AF24" s="122" t="str">
        <f>IF([10]回答表!R47="●","●","")</f>
        <v/>
      </c>
      <c r="AG24" s="123"/>
      <c r="AH24" s="123"/>
      <c r="AI24" s="123"/>
      <c r="AJ24" s="123"/>
      <c r="AK24" s="123"/>
      <c r="AL24" s="124"/>
      <c r="AM24" s="122" t="str">
        <f>IF([10]回答表!R48="●","●","")</f>
        <v/>
      </c>
      <c r="AN24" s="123"/>
      <c r="AO24" s="123"/>
      <c r="AP24" s="123"/>
      <c r="AQ24" s="123"/>
      <c r="AR24" s="123"/>
      <c r="AS24" s="124"/>
      <c r="AT24" s="122" t="str">
        <f>IF([10]回答表!R49="●","●","")</f>
        <v/>
      </c>
      <c r="AU24" s="123"/>
      <c r="AV24" s="123"/>
      <c r="AW24" s="123"/>
      <c r="AX24" s="123"/>
      <c r="AY24" s="123"/>
      <c r="AZ24" s="124"/>
      <c r="BA24" s="18"/>
      <c r="BB24" s="119" t="str">
        <f>IF([10]回答表!R50="●","●","")</f>
        <v>●</v>
      </c>
      <c r="BC24" s="120"/>
      <c r="BD24" s="120"/>
      <c r="BE24" s="120"/>
      <c r="BF24" s="120"/>
      <c r="BG24" s="120"/>
      <c r="BH24" s="120"/>
      <c r="BI24" s="120"/>
      <c r="BJ24" s="258"/>
      <c r="BK24" s="259"/>
      <c r="BL24" s="15"/>
      <c r="BS24" s="17"/>
    </row>
    <row r="25" spans="3:84" ht="15.6" customHeight="1" x14ac:dyDescent="0.4">
      <c r="C25" s="13"/>
      <c r="D25" s="122"/>
      <c r="E25" s="123"/>
      <c r="F25" s="123"/>
      <c r="G25" s="123"/>
      <c r="H25" s="123"/>
      <c r="I25" s="123"/>
      <c r="J25" s="124"/>
      <c r="K25" s="122"/>
      <c r="L25" s="123"/>
      <c r="M25" s="123"/>
      <c r="N25" s="123"/>
      <c r="O25" s="123"/>
      <c r="P25" s="123"/>
      <c r="Q25" s="124"/>
      <c r="R25" s="122"/>
      <c r="S25" s="123"/>
      <c r="T25" s="123"/>
      <c r="U25" s="123"/>
      <c r="V25" s="123"/>
      <c r="W25" s="123"/>
      <c r="X25" s="124"/>
      <c r="Y25" s="122"/>
      <c r="Z25" s="123"/>
      <c r="AA25" s="123"/>
      <c r="AB25" s="123"/>
      <c r="AC25" s="123"/>
      <c r="AD25" s="123"/>
      <c r="AE25" s="124"/>
      <c r="AF25" s="122"/>
      <c r="AG25" s="123"/>
      <c r="AH25" s="123"/>
      <c r="AI25" s="123"/>
      <c r="AJ25" s="123"/>
      <c r="AK25" s="123"/>
      <c r="AL25" s="124"/>
      <c r="AM25" s="122"/>
      <c r="AN25" s="123"/>
      <c r="AO25" s="123"/>
      <c r="AP25" s="123"/>
      <c r="AQ25" s="123"/>
      <c r="AR25" s="123"/>
      <c r="AS25" s="124"/>
      <c r="AT25" s="122"/>
      <c r="AU25" s="123"/>
      <c r="AV25" s="123"/>
      <c r="AW25" s="123"/>
      <c r="AX25" s="123"/>
      <c r="AY25" s="123"/>
      <c r="AZ25" s="124"/>
      <c r="BA25" s="19"/>
      <c r="BB25" s="122"/>
      <c r="BC25" s="123"/>
      <c r="BD25" s="123"/>
      <c r="BE25" s="123"/>
      <c r="BF25" s="123"/>
      <c r="BG25" s="123"/>
      <c r="BH25" s="123"/>
      <c r="BI25" s="123"/>
      <c r="BJ25" s="260"/>
      <c r="BK25" s="261"/>
      <c r="BL25" s="15"/>
      <c r="BS25" s="17"/>
    </row>
    <row r="26" spans="3:84" ht="15.6" customHeight="1" x14ac:dyDescent="0.4">
      <c r="C26" s="13"/>
      <c r="D26" s="125"/>
      <c r="E26" s="126"/>
      <c r="F26" s="126"/>
      <c r="G26" s="126"/>
      <c r="H26" s="126"/>
      <c r="I26" s="126"/>
      <c r="J26" s="127"/>
      <c r="K26" s="125"/>
      <c r="L26" s="126"/>
      <c r="M26" s="126"/>
      <c r="N26" s="126"/>
      <c r="O26" s="126"/>
      <c r="P26" s="126"/>
      <c r="Q26" s="127"/>
      <c r="R26" s="125"/>
      <c r="S26" s="126"/>
      <c r="T26" s="126"/>
      <c r="U26" s="126"/>
      <c r="V26" s="126"/>
      <c r="W26" s="126"/>
      <c r="X26" s="127"/>
      <c r="Y26" s="125"/>
      <c r="Z26" s="126"/>
      <c r="AA26" s="126"/>
      <c r="AB26" s="126"/>
      <c r="AC26" s="126"/>
      <c r="AD26" s="126"/>
      <c r="AE26" s="127"/>
      <c r="AF26" s="125"/>
      <c r="AG26" s="126"/>
      <c r="AH26" s="126"/>
      <c r="AI26" s="126"/>
      <c r="AJ26" s="126"/>
      <c r="AK26" s="126"/>
      <c r="AL26" s="127"/>
      <c r="AM26" s="125"/>
      <c r="AN26" s="126"/>
      <c r="AO26" s="126"/>
      <c r="AP26" s="126"/>
      <c r="AQ26" s="126"/>
      <c r="AR26" s="126"/>
      <c r="AS26" s="127"/>
      <c r="AT26" s="125"/>
      <c r="AU26" s="126"/>
      <c r="AV26" s="126"/>
      <c r="AW26" s="126"/>
      <c r="AX26" s="126"/>
      <c r="AY26" s="126"/>
      <c r="AZ26" s="127"/>
      <c r="BA26" s="19"/>
      <c r="BB26" s="125"/>
      <c r="BC26" s="126"/>
      <c r="BD26" s="126"/>
      <c r="BE26" s="126"/>
      <c r="BF26" s="126"/>
      <c r="BG26" s="126"/>
      <c r="BH26" s="126"/>
      <c r="BI26" s="126"/>
      <c r="BJ26" s="262"/>
      <c r="BK26" s="263"/>
      <c r="BL26" s="15"/>
      <c r="BS26" s="17"/>
    </row>
    <row r="27" spans="3:84" ht="15.6" customHeight="1" x14ac:dyDescent="0.4">
      <c r="C27" s="20"/>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2"/>
      <c r="BL27" s="23"/>
      <c r="BS27" s="17"/>
    </row>
    <row r="28" spans="3:84" ht="15.6" customHeight="1" x14ac:dyDescent="0.4">
      <c r="BS28" s="24"/>
    </row>
    <row r="29" spans="3:84" ht="15.6" customHeight="1" x14ac:dyDescent="0.4">
      <c r="BS29" s="25"/>
    </row>
    <row r="30" spans="3:84" ht="15.6" customHeight="1" x14ac:dyDescent="0.4">
      <c r="D30" s="8"/>
      <c r="E30" s="8"/>
      <c r="F30" s="8"/>
      <c r="G30" s="8"/>
      <c r="H30" s="8"/>
      <c r="I30" s="8"/>
      <c r="J30" s="8"/>
      <c r="K30" s="8"/>
      <c r="L30" s="8"/>
      <c r="M30" s="8"/>
      <c r="N30" s="8"/>
      <c r="O30" s="8"/>
      <c r="P30" s="8"/>
      <c r="Q30" s="8"/>
      <c r="R30" s="8"/>
      <c r="S30" s="8"/>
      <c r="T30" s="8"/>
      <c r="U30" s="8"/>
      <c r="V30" s="8"/>
      <c r="W30" s="8"/>
      <c r="BS30" s="24"/>
    </row>
    <row r="31" spans="3:84" ht="15.6" customHeight="1" x14ac:dyDescent="0.4">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143"/>
      <c r="AS31" s="143"/>
      <c r="AT31" s="143"/>
      <c r="AU31" s="143"/>
      <c r="AV31" s="143"/>
      <c r="AW31" s="143"/>
      <c r="AX31" s="143"/>
      <c r="AY31" s="143"/>
      <c r="AZ31" s="143"/>
      <c r="BA31" s="143"/>
      <c r="BB31" s="143"/>
      <c r="BC31" s="28"/>
      <c r="BD31" s="29"/>
      <c r="BE31" s="29"/>
      <c r="BF31" s="29"/>
      <c r="BG31" s="29"/>
      <c r="BH31" s="29"/>
      <c r="BI31" s="29"/>
      <c r="BJ31" s="29"/>
      <c r="BK31" s="29"/>
      <c r="BL31" s="29"/>
      <c r="BM31" s="29"/>
      <c r="BN31" s="29"/>
      <c r="BO31" s="29"/>
      <c r="BP31" s="29"/>
      <c r="BQ31" s="29"/>
      <c r="BR31" s="30"/>
      <c r="BS31" s="24"/>
      <c r="CF31" s="31"/>
    </row>
    <row r="32" spans="3:84" ht="15.6" customHeight="1" x14ac:dyDescent="0.5">
      <c r="C32" s="32"/>
      <c r="D32" s="144" t="s">
        <v>14</v>
      </c>
      <c r="E32" s="145"/>
      <c r="F32" s="145"/>
      <c r="G32" s="145"/>
      <c r="H32" s="145"/>
      <c r="I32" s="145"/>
      <c r="J32" s="145"/>
      <c r="K32" s="145"/>
      <c r="L32" s="145"/>
      <c r="M32" s="145"/>
      <c r="N32" s="145"/>
      <c r="O32" s="145"/>
      <c r="P32" s="145"/>
      <c r="Q32" s="146"/>
      <c r="R32" s="89" t="s">
        <v>5</v>
      </c>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1"/>
      <c r="BC32" s="33"/>
      <c r="BD32" s="34"/>
      <c r="BE32" s="34"/>
      <c r="BF32" s="34"/>
      <c r="BG32" s="34"/>
      <c r="BH32" s="34"/>
      <c r="BI32" s="34"/>
      <c r="BJ32" s="34"/>
      <c r="BK32" s="34"/>
      <c r="BL32" s="34"/>
      <c r="BM32" s="34"/>
      <c r="BN32" s="35"/>
      <c r="BO32" s="35"/>
      <c r="BP32" s="35"/>
      <c r="BQ32" s="36"/>
      <c r="BR32" s="37"/>
      <c r="BS32" s="24"/>
    </row>
    <row r="33" spans="1:71" ht="15.6" customHeight="1" x14ac:dyDescent="0.5">
      <c r="C33" s="32"/>
      <c r="D33" s="147"/>
      <c r="E33" s="148"/>
      <c r="F33" s="148"/>
      <c r="G33" s="148"/>
      <c r="H33" s="148"/>
      <c r="I33" s="148"/>
      <c r="J33" s="148"/>
      <c r="K33" s="148"/>
      <c r="L33" s="148"/>
      <c r="M33" s="148"/>
      <c r="N33" s="148"/>
      <c r="O33" s="148"/>
      <c r="P33" s="148"/>
      <c r="Q33" s="149"/>
      <c r="R33" s="95"/>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7"/>
      <c r="BC33" s="33"/>
      <c r="BD33" s="34"/>
      <c r="BE33" s="34"/>
      <c r="BF33" s="34"/>
      <c r="BG33" s="34"/>
      <c r="BH33" s="34"/>
      <c r="BI33" s="34"/>
      <c r="BJ33" s="34"/>
      <c r="BK33" s="34"/>
      <c r="BL33" s="34"/>
      <c r="BM33" s="34"/>
      <c r="BN33" s="35"/>
      <c r="BO33" s="35"/>
      <c r="BP33" s="35"/>
      <c r="BQ33" s="36"/>
      <c r="BR33" s="37"/>
      <c r="BS33" s="24"/>
    </row>
    <row r="34" spans="1:71" ht="15.6" customHeight="1" x14ac:dyDescent="0.5">
      <c r="C34" s="32"/>
      <c r="D34" s="38"/>
      <c r="E34" s="38"/>
      <c r="F34" s="38"/>
      <c r="G34" s="38"/>
      <c r="H34" s="38"/>
      <c r="I34" s="38"/>
      <c r="J34" s="38"/>
      <c r="K34" s="38"/>
      <c r="L34" s="38"/>
      <c r="M34" s="38"/>
      <c r="N34" s="38"/>
      <c r="O34" s="38"/>
      <c r="P34" s="38"/>
      <c r="Q34" s="38"/>
      <c r="R34" s="38"/>
      <c r="S34" s="38"/>
      <c r="T34" s="38"/>
      <c r="U34" s="38"/>
      <c r="V34" s="38"/>
      <c r="W34" s="38"/>
      <c r="X34" s="18"/>
      <c r="Y34" s="18"/>
      <c r="Z34" s="18"/>
      <c r="AA34" s="34"/>
      <c r="AB34" s="39"/>
      <c r="AC34" s="39"/>
      <c r="AD34" s="39"/>
      <c r="AE34" s="39"/>
      <c r="AF34" s="39"/>
      <c r="AG34" s="39"/>
      <c r="AH34" s="39"/>
      <c r="AI34" s="39"/>
      <c r="AJ34" s="39"/>
      <c r="AK34" s="39"/>
      <c r="AL34" s="39"/>
      <c r="AM34" s="39"/>
      <c r="AN34" s="36"/>
      <c r="AO34" s="39"/>
      <c r="AP34" s="40"/>
      <c r="AQ34" s="40"/>
      <c r="AR34" s="41"/>
      <c r="AS34" s="41"/>
      <c r="AT34" s="41"/>
      <c r="AU34" s="41"/>
      <c r="AV34" s="41"/>
      <c r="AW34" s="41"/>
      <c r="AX34" s="41"/>
      <c r="AY34" s="41"/>
      <c r="AZ34" s="41"/>
      <c r="BA34" s="41"/>
      <c r="BB34" s="41"/>
      <c r="BC34" s="33"/>
      <c r="BD34" s="34"/>
      <c r="BE34" s="34"/>
      <c r="BF34" s="34"/>
      <c r="BG34" s="34"/>
      <c r="BH34" s="34"/>
      <c r="BI34" s="34"/>
      <c r="BJ34" s="34"/>
      <c r="BK34" s="34"/>
      <c r="BL34" s="34"/>
      <c r="BM34" s="34"/>
      <c r="BN34" s="35"/>
      <c r="BO34" s="35"/>
      <c r="BP34" s="35"/>
      <c r="BQ34" s="36"/>
      <c r="BR34" s="37"/>
      <c r="BS34" s="24"/>
    </row>
    <row r="35" spans="1:71" ht="25.5" x14ac:dyDescent="0.5">
      <c r="A35" s="24"/>
      <c r="B35" s="24"/>
      <c r="C35" s="32"/>
      <c r="D35" s="38"/>
      <c r="E35" s="38"/>
      <c r="F35" s="38"/>
      <c r="G35" s="38"/>
      <c r="H35" s="38"/>
      <c r="I35" s="38"/>
      <c r="J35" s="38"/>
      <c r="K35" s="38"/>
      <c r="L35" s="38"/>
      <c r="M35" s="38"/>
      <c r="N35" s="38"/>
      <c r="O35" s="38"/>
      <c r="P35" s="38"/>
      <c r="Q35" s="38"/>
      <c r="R35" s="38"/>
      <c r="S35" s="38"/>
      <c r="T35" s="38"/>
      <c r="U35" s="42" t="s">
        <v>15</v>
      </c>
      <c r="V35" s="38"/>
      <c r="W35" s="38"/>
      <c r="X35" s="38"/>
      <c r="Y35" s="38"/>
      <c r="Z35" s="38"/>
      <c r="AA35" s="35"/>
      <c r="AB35" s="43"/>
      <c r="AC35" s="43"/>
      <c r="AD35" s="43"/>
      <c r="AE35" s="43"/>
      <c r="AF35" s="43"/>
      <c r="AG35" s="43"/>
      <c r="AH35" s="43"/>
      <c r="AI35" s="43"/>
      <c r="AJ35" s="43"/>
      <c r="AK35" s="43"/>
      <c r="AL35" s="43"/>
      <c r="AM35" s="42" t="s">
        <v>16</v>
      </c>
      <c r="AN35" s="44"/>
      <c r="AO35" s="43"/>
      <c r="AP35" s="45"/>
      <c r="AQ35" s="45"/>
      <c r="AR35" s="46"/>
      <c r="AS35" s="46"/>
      <c r="AT35" s="46"/>
      <c r="AU35" s="46"/>
      <c r="AV35" s="46"/>
      <c r="AW35" s="46"/>
      <c r="AX35" s="46"/>
      <c r="AY35" s="46"/>
      <c r="AZ35" s="46"/>
      <c r="BA35" s="46"/>
      <c r="BB35" s="46"/>
      <c r="BC35" s="47"/>
      <c r="BD35" s="35"/>
      <c r="BE35" s="35"/>
      <c r="BF35" s="48" t="s">
        <v>17</v>
      </c>
      <c r="BG35" s="35"/>
      <c r="BH35" s="35"/>
      <c r="BI35" s="35"/>
      <c r="BJ35" s="35"/>
      <c r="BK35" s="35"/>
      <c r="BL35" s="35"/>
      <c r="BM35" s="35"/>
      <c r="BN35" s="35"/>
      <c r="BO35" s="35"/>
      <c r="BP35" s="35"/>
      <c r="BQ35" s="36"/>
      <c r="BR35" s="37"/>
      <c r="BS35" s="24"/>
    </row>
    <row r="36" spans="1:71" ht="15.6" customHeight="1" x14ac:dyDescent="0.4">
      <c r="A36" s="24"/>
      <c r="B36" s="24"/>
      <c r="C36" s="32"/>
      <c r="D36" s="89" t="s">
        <v>18</v>
      </c>
      <c r="E36" s="90"/>
      <c r="F36" s="90"/>
      <c r="G36" s="90"/>
      <c r="H36" s="90"/>
      <c r="I36" s="90"/>
      <c r="J36" s="90"/>
      <c r="K36" s="90"/>
      <c r="L36" s="90"/>
      <c r="M36" s="91"/>
      <c r="N36" s="98" t="str">
        <f>IF([10]回答表!X43="●","●","")</f>
        <v/>
      </c>
      <c r="O36" s="99"/>
      <c r="P36" s="99"/>
      <c r="Q36" s="100"/>
      <c r="R36" s="38"/>
      <c r="S36" s="38"/>
      <c r="T36" s="38"/>
      <c r="U36" s="107" t="str">
        <f>IF([10]回答表!X43="●",[10]回答表!B59,IF([10]回答表!AA43="●",[10]回答表!B79,""))</f>
        <v/>
      </c>
      <c r="V36" s="108"/>
      <c r="W36" s="108"/>
      <c r="X36" s="108"/>
      <c r="Y36" s="108"/>
      <c r="Z36" s="108"/>
      <c r="AA36" s="108"/>
      <c r="AB36" s="108"/>
      <c r="AC36" s="108"/>
      <c r="AD36" s="108"/>
      <c r="AE36" s="108"/>
      <c r="AF36" s="108"/>
      <c r="AG36" s="108"/>
      <c r="AH36" s="108"/>
      <c r="AI36" s="108"/>
      <c r="AJ36" s="109"/>
      <c r="AK36" s="49"/>
      <c r="AL36" s="49"/>
      <c r="AM36" s="264" t="s">
        <v>19</v>
      </c>
      <c r="AN36" s="264"/>
      <c r="AO36" s="264"/>
      <c r="AP36" s="264"/>
      <c r="AQ36" s="264"/>
      <c r="AR36" s="264"/>
      <c r="AS36" s="264"/>
      <c r="AT36" s="264"/>
      <c r="AU36" s="264" t="s">
        <v>20</v>
      </c>
      <c r="AV36" s="264"/>
      <c r="AW36" s="264"/>
      <c r="AX36" s="264"/>
      <c r="AY36" s="264"/>
      <c r="AZ36" s="264"/>
      <c r="BA36" s="264"/>
      <c r="BB36" s="264"/>
      <c r="BC36" s="39"/>
      <c r="BD36" s="34"/>
      <c r="BE36" s="34"/>
      <c r="BF36" s="116" t="str">
        <f>IF([10]回答表!X43="●",[10]回答表!S65,IF([10]回答表!AA43="●",[10]回答表!S85,""))</f>
        <v/>
      </c>
      <c r="BG36" s="117"/>
      <c r="BH36" s="117"/>
      <c r="BI36" s="117"/>
      <c r="BJ36" s="116"/>
      <c r="BK36" s="117"/>
      <c r="BL36" s="117"/>
      <c r="BM36" s="117"/>
      <c r="BN36" s="116"/>
      <c r="BO36" s="117"/>
      <c r="BP36" s="117"/>
      <c r="BQ36" s="118"/>
      <c r="BR36" s="37"/>
      <c r="BS36" s="24"/>
    </row>
    <row r="37" spans="1:71" ht="15.6" customHeight="1" x14ac:dyDescent="0.4">
      <c r="A37" s="24"/>
      <c r="B37" s="24"/>
      <c r="C37" s="32"/>
      <c r="D37" s="92"/>
      <c r="E37" s="93"/>
      <c r="F37" s="93"/>
      <c r="G37" s="93"/>
      <c r="H37" s="93"/>
      <c r="I37" s="93"/>
      <c r="J37" s="93"/>
      <c r="K37" s="93"/>
      <c r="L37" s="93"/>
      <c r="M37" s="94"/>
      <c r="N37" s="101"/>
      <c r="O37" s="102"/>
      <c r="P37" s="102"/>
      <c r="Q37" s="103"/>
      <c r="R37" s="38"/>
      <c r="S37" s="38"/>
      <c r="T37" s="38"/>
      <c r="U37" s="110"/>
      <c r="V37" s="111"/>
      <c r="W37" s="111"/>
      <c r="X37" s="111"/>
      <c r="Y37" s="111"/>
      <c r="Z37" s="111"/>
      <c r="AA37" s="111"/>
      <c r="AB37" s="111"/>
      <c r="AC37" s="111"/>
      <c r="AD37" s="111"/>
      <c r="AE37" s="111"/>
      <c r="AF37" s="111"/>
      <c r="AG37" s="111"/>
      <c r="AH37" s="111"/>
      <c r="AI37" s="111"/>
      <c r="AJ37" s="112"/>
      <c r="AK37" s="49"/>
      <c r="AL37" s="49"/>
      <c r="AM37" s="264"/>
      <c r="AN37" s="264"/>
      <c r="AO37" s="264"/>
      <c r="AP37" s="264"/>
      <c r="AQ37" s="264"/>
      <c r="AR37" s="264"/>
      <c r="AS37" s="264"/>
      <c r="AT37" s="264"/>
      <c r="AU37" s="264"/>
      <c r="AV37" s="264"/>
      <c r="AW37" s="264"/>
      <c r="AX37" s="264"/>
      <c r="AY37" s="264"/>
      <c r="AZ37" s="264"/>
      <c r="BA37" s="264"/>
      <c r="BB37" s="264"/>
      <c r="BC37" s="39"/>
      <c r="BD37" s="34"/>
      <c r="BE37" s="34"/>
      <c r="BF37" s="83"/>
      <c r="BG37" s="84"/>
      <c r="BH37" s="84"/>
      <c r="BI37" s="84"/>
      <c r="BJ37" s="83"/>
      <c r="BK37" s="84"/>
      <c r="BL37" s="84"/>
      <c r="BM37" s="84"/>
      <c r="BN37" s="83"/>
      <c r="BO37" s="84"/>
      <c r="BP37" s="84"/>
      <c r="BQ37" s="87"/>
      <c r="BR37" s="37"/>
      <c r="BS37" s="24"/>
    </row>
    <row r="38" spans="1:71" ht="15.6" customHeight="1" x14ac:dyDescent="0.4">
      <c r="A38" s="24"/>
      <c r="B38" s="24"/>
      <c r="C38" s="32"/>
      <c r="D38" s="92"/>
      <c r="E38" s="93"/>
      <c r="F38" s="93"/>
      <c r="G38" s="93"/>
      <c r="H38" s="93"/>
      <c r="I38" s="93"/>
      <c r="J38" s="93"/>
      <c r="K38" s="93"/>
      <c r="L38" s="93"/>
      <c r="M38" s="94"/>
      <c r="N38" s="101"/>
      <c r="O38" s="102"/>
      <c r="P38" s="102"/>
      <c r="Q38" s="103"/>
      <c r="R38" s="38"/>
      <c r="S38" s="38"/>
      <c r="T38" s="38"/>
      <c r="U38" s="110"/>
      <c r="V38" s="111"/>
      <c r="W38" s="111"/>
      <c r="X38" s="111"/>
      <c r="Y38" s="111"/>
      <c r="Z38" s="111"/>
      <c r="AA38" s="111"/>
      <c r="AB38" s="111"/>
      <c r="AC38" s="111"/>
      <c r="AD38" s="111"/>
      <c r="AE38" s="111"/>
      <c r="AF38" s="111"/>
      <c r="AG38" s="111"/>
      <c r="AH38" s="111"/>
      <c r="AI38" s="111"/>
      <c r="AJ38" s="112"/>
      <c r="AK38" s="49"/>
      <c r="AL38" s="49"/>
      <c r="AM38" s="119" t="str">
        <f>IF([10]回答表!X43="●",[10]回答表!G65,IF([10]回答表!AA43="●",[10]回答表!G85,""))</f>
        <v/>
      </c>
      <c r="AN38" s="120"/>
      <c r="AO38" s="120"/>
      <c r="AP38" s="120"/>
      <c r="AQ38" s="120"/>
      <c r="AR38" s="120"/>
      <c r="AS38" s="120"/>
      <c r="AT38" s="121"/>
      <c r="AU38" s="119" t="str">
        <f>IF([10]回答表!X43="●",[10]回答表!G66,IF([10]回答表!AA43="●",[10]回答表!G86,""))</f>
        <v/>
      </c>
      <c r="AV38" s="120"/>
      <c r="AW38" s="120"/>
      <c r="AX38" s="120"/>
      <c r="AY38" s="120"/>
      <c r="AZ38" s="120"/>
      <c r="BA38" s="120"/>
      <c r="BB38" s="121"/>
      <c r="BC38" s="39"/>
      <c r="BD38" s="34"/>
      <c r="BE38" s="34"/>
      <c r="BF38" s="83"/>
      <c r="BG38" s="84"/>
      <c r="BH38" s="84"/>
      <c r="BI38" s="84"/>
      <c r="BJ38" s="83"/>
      <c r="BK38" s="84"/>
      <c r="BL38" s="84"/>
      <c r="BM38" s="84"/>
      <c r="BN38" s="83"/>
      <c r="BO38" s="84"/>
      <c r="BP38" s="84"/>
      <c r="BQ38" s="87"/>
      <c r="BR38" s="37"/>
      <c r="BS38" s="24"/>
    </row>
    <row r="39" spans="1:71" ht="15.6" customHeight="1" x14ac:dyDescent="0.4">
      <c r="A39" s="24"/>
      <c r="B39" s="24"/>
      <c r="C39" s="32"/>
      <c r="D39" s="95"/>
      <c r="E39" s="96"/>
      <c r="F39" s="96"/>
      <c r="G39" s="96"/>
      <c r="H39" s="96"/>
      <c r="I39" s="96"/>
      <c r="J39" s="96"/>
      <c r="K39" s="96"/>
      <c r="L39" s="96"/>
      <c r="M39" s="97"/>
      <c r="N39" s="104"/>
      <c r="O39" s="105"/>
      <c r="P39" s="105"/>
      <c r="Q39" s="106"/>
      <c r="R39" s="38"/>
      <c r="S39" s="38"/>
      <c r="T39" s="38"/>
      <c r="U39" s="110"/>
      <c r="V39" s="111"/>
      <c r="W39" s="111"/>
      <c r="X39" s="111"/>
      <c r="Y39" s="111"/>
      <c r="Z39" s="111"/>
      <c r="AA39" s="111"/>
      <c r="AB39" s="111"/>
      <c r="AC39" s="111"/>
      <c r="AD39" s="111"/>
      <c r="AE39" s="111"/>
      <c r="AF39" s="111"/>
      <c r="AG39" s="111"/>
      <c r="AH39" s="111"/>
      <c r="AI39" s="111"/>
      <c r="AJ39" s="112"/>
      <c r="AK39" s="49"/>
      <c r="AL39" s="49"/>
      <c r="AM39" s="122"/>
      <c r="AN39" s="123"/>
      <c r="AO39" s="123"/>
      <c r="AP39" s="123"/>
      <c r="AQ39" s="123"/>
      <c r="AR39" s="123"/>
      <c r="AS39" s="123"/>
      <c r="AT39" s="124"/>
      <c r="AU39" s="122"/>
      <c r="AV39" s="123"/>
      <c r="AW39" s="123"/>
      <c r="AX39" s="123"/>
      <c r="AY39" s="123"/>
      <c r="AZ39" s="123"/>
      <c r="BA39" s="123"/>
      <c r="BB39" s="124"/>
      <c r="BC39" s="39"/>
      <c r="BD39" s="34"/>
      <c r="BE39" s="34"/>
      <c r="BF39" s="83" t="str">
        <f>IF([10]回答表!X43="●",[10]回答表!V65,IF([10]回答表!AA43="●",[10]回答表!V85,""))</f>
        <v/>
      </c>
      <c r="BG39" s="249"/>
      <c r="BH39" s="249"/>
      <c r="BI39" s="250"/>
      <c r="BJ39" s="83" t="str">
        <f>IF([10]回答表!X43="●",[10]回答表!V66,IF([10]回答表!AA43="●",[10]回答表!V86,""))</f>
        <v/>
      </c>
      <c r="BK39" s="249"/>
      <c r="BL39" s="249"/>
      <c r="BM39" s="250"/>
      <c r="BN39" s="83" t="str">
        <f>IF([10]回答表!X43="●",[10]回答表!V67,IF([10]回答表!AA43="●",[10]回答表!V87,""))</f>
        <v/>
      </c>
      <c r="BO39" s="249"/>
      <c r="BP39" s="249"/>
      <c r="BQ39" s="250"/>
      <c r="BR39" s="37"/>
      <c r="BS39" s="24"/>
    </row>
    <row r="40" spans="1:71" ht="15.6" customHeight="1" x14ac:dyDescent="0.4">
      <c r="A40" s="24"/>
      <c r="B40" s="24"/>
      <c r="C40" s="32"/>
      <c r="D40" s="50"/>
      <c r="E40" s="50"/>
      <c r="F40" s="50"/>
      <c r="G40" s="50"/>
      <c r="H40" s="50"/>
      <c r="I40" s="50"/>
      <c r="J40" s="50"/>
      <c r="K40" s="50"/>
      <c r="L40" s="50"/>
      <c r="M40" s="50"/>
      <c r="N40" s="51"/>
      <c r="O40" s="51"/>
      <c r="P40" s="51"/>
      <c r="Q40" s="51"/>
      <c r="R40" s="52"/>
      <c r="S40" s="52"/>
      <c r="T40" s="52"/>
      <c r="U40" s="110"/>
      <c r="V40" s="111"/>
      <c r="W40" s="111"/>
      <c r="X40" s="111"/>
      <c r="Y40" s="111"/>
      <c r="Z40" s="111"/>
      <c r="AA40" s="111"/>
      <c r="AB40" s="111"/>
      <c r="AC40" s="111"/>
      <c r="AD40" s="111"/>
      <c r="AE40" s="111"/>
      <c r="AF40" s="111"/>
      <c r="AG40" s="111"/>
      <c r="AH40" s="111"/>
      <c r="AI40" s="111"/>
      <c r="AJ40" s="112"/>
      <c r="AK40" s="49"/>
      <c r="AL40" s="49"/>
      <c r="AM40" s="125"/>
      <c r="AN40" s="126"/>
      <c r="AO40" s="126"/>
      <c r="AP40" s="126"/>
      <c r="AQ40" s="126"/>
      <c r="AR40" s="126"/>
      <c r="AS40" s="126"/>
      <c r="AT40" s="127"/>
      <c r="AU40" s="125"/>
      <c r="AV40" s="126"/>
      <c r="AW40" s="126"/>
      <c r="AX40" s="126"/>
      <c r="AY40" s="126"/>
      <c r="AZ40" s="126"/>
      <c r="BA40" s="126"/>
      <c r="BB40" s="127"/>
      <c r="BC40" s="39"/>
      <c r="BD40" s="39"/>
      <c r="BE40" s="39"/>
      <c r="BF40" s="251"/>
      <c r="BG40" s="249"/>
      <c r="BH40" s="249"/>
      <c r="BI40" s="250"/>
      <c r="BJ40" s="251"/>
      <c r="BK40" s="249"/>
      <c r="BL40" s="249"/>
      <c r="BM40" s="250"/>
      <c r="BN40" s="251"/>
      <c r="BO40" s="249"/>
      <c r="BP40" s="249"/>
      <c r="BQ40" s="250"/>
      <c r="BR40" s="37"/>
      <c r="BS40" s="24"/>
    </row>
    <row r="41" spans="1:71" ht="15.6" customHeight="1" x14ac:dyDescent="0.4">
      <c r="A41" s="24"/>
      <c r="B41" s="24"/>
      <c r="C41" s="32"/>
      <c r="D41" s="50"/>
      <c r="E41" s="50"/>
      <c r="F41" s="50"/>
      <c r="G41" s="50"/>
      <c r="H41" s="50"/>
      <c r="I41" s="50"/>
      <c r="J41" s="50"/>
      <c r="K41" s="50"/>
      <c r="L41" s="50"/>
      <c r="M41" s="50"/>
      <c r="N41" s="51"/>
      <c r="O41" s="51"/>
      <c r="P41" s="51"/>
      <c r="Q41" s="51"/>
      <c r="R41" s="52"/>
      <c r="S41" s="52"/>
      <c r="T41" s="52"/>
      <c r="U41" s="110"/>
      <c r="V41" s="111"/>
      <c r="W41" s="111"/>
      <c r="X41" s="111"/>
      <c r="Y41" s="111"/>
      <c r="Z41" s="111"/>
      <c r="AA41" s="111"/>
      <c r="AB41" s="111"/>
      <c r="AC41" s="111"/>
      <c r="AD41" s="111"/>
      <c r="AE41" s="111"/>
      <c r="AF41" s="111"/>
      <c r="AG41" s="111"/>
      <c r="AH41" s="111"/>
      <c r="AI41" s="111"/>
      <c r="AJ41" s="112"/>
      <c r="AK41" s="49"/>
      <c r="AL41" s="49"/>
      <c r="AM41" s="49"/>
      <c r="AN41" s="49"/>
      <c r="AO41" s="49"/>
      <c r="AP41" s="49"/>
      <c r="AQ41" s="49"/>
      <c r="AR41" s="49"/>
      <c r="AS41" s="49"/>
      <c r="AT41" s="49"/>
      <c r="AU41" s="49"/>
      <c r="AV41" s="49"/>
      <c r="AW41" s="49"/>
      <c r="AX41" s="49"/>
      <c r="AY41" s="49"/>
      <c r="AZ41" s="49"/>
      <c r="BA41" s="49"/>
      <c r="BB41" s="49"/>
      <c r="BC41" s="39"/>
      <c r="BD41" s="39"/>
      <c r="BE41" s="39"/>
      <c r="BF41" s="251"/>
      <c r="BG41" s="249"/>
      <c r="BH41" s="249"/>
      <c r="BI41" s="250"/>
      <c r="BJ41" s="251"/>
      <c r="BK41" s="249"/>
      <c r="BL41" s="249"/>
      <c r="BM41" s="250"/>
      <c r="BN41" s="251"/>
      <c r="BO41" s="249"/>
      <c r="BP41" s="249"/>
      <c r="BQ41" s="250"/>
      <c r="BR41" s="37"/>
      <c r="BS41" s="24"/>
    </row>
    <row r="42" spans="1:71" ht="15.6" customHeight="1" x14ac:dyDescent="0.4">
      <c r="A42" s="24"/>
      <c r="B42" s="24"/>
      <c r="C42" s="32"/>
      <c r="D42" s="50"/>
      <c r="E42" s="50"/>
      <c r="F42" s="50"/>
      <c r="G42" s="50"/>
      <c r="H42" s="50"/>
      <c r="I42" s="50"/>
      <c r="J42" s="50"/>
      <c r="K42" s="50"/>
      <c r="L42" s="50"/>
      <c r="M42" s="50"/>
      <c r="N42" s="51"/>
      <c r="O42" s="51"/>
      <c r="P42" s="51"/>
      <c r="Q42" s="51"/>
      <c r="R42" s="52"/>
      <c r="S42" s="52"/>
      <c r="T42" s="52"/>
      <c r="U42" s="110"/>
      <c r="V42" s="111"/>
      <c r="W42" s="111"/>
      <c r="X42" s="111"/>
      <c r="Y42" s="111"/>
      <c r="Z42" s="111"/>
      <c r="AA42" s="111"/>
      <c r="AB42" s="111"/>
      <c r="AC42" s="111"/>
      <c r="AD42" s="111"/>
      <c r="AE42" s="111"/>
      <c r="AF42" s="111"/>
      <c r="AG42" s="111"/>
      <c r="AH42" s="111"/>
      <c r="AI42" s="111"/>
      <c r="AJ42" s="112"/>
      <c r="AK42" s="49"/>
      <c r="AL42" s="49"/>
      <c r="AM42" s="245" t="str">
        <f>IF([10]回答表!X43="●",[10]回答表!O71,IF([10]回答表!AA43="●",[10]回答表!O91,""))</f>
        <v/>
      </c>
      <c r="AN42" s="246"/>
      <c r="AO42" s="243" t="s">
        <v>21</v>
      </c>
      <c r="AP42" s="243"/>
      <c r="AQ42" s="243"/>
      <c r="AR42" s="243"/>
      <c r="AS42" s="243"/>
      <c r="AT42" s="243"/>
      <c r="AU42" s="243"/>
      <c r="AV42" s="243"/>
      <c r="AW42" s="243"/>
      <c r="AX42" s="243"/>
      <c r="AY42" s="243"/>
      <c r="AZ42" s="243"/>
      <c r="BA42" s="243"/>
      <c r="BB42" s="244"/>
      <c r="BC42" s="39"/>
      <c r="BD42" s="39"/>
      <c r="BE42" s="39"/>
      <c r="BF42" s="251"/>
      <c r="BG42" s="249"/>
      <c r="BH42" s="249"/>
      <c r="BI42" s="250"/>
      <c r="BJ42" s="251"/>
      <c r="BK42" s="249"/>
      <c r="BL42" s="249"/>
      <c r="BM42" s="250"/>
      <c r="BN42" s="251"/>
      <c r="BO42" s="249"/>
      <c r="BP42" s="249"/>
      <c r="BQ42" s="250"/>
      <c r="BR42" s="37"/>
      <c r="BS42" s="24"/>
    </row>
    <row r="43" spans="1:71" ht="23.1" customHeight="1" x14ac:dyDescent="0.4">
      <c r="A43" s="24"/>
      <c r="B43" s="24"/>
      <c r="C43" s="32"/>
      <c r="D43" s="50"/>
      <c r="E43" s="50"/>
      <c r="F43" s="50"/>
      <c r="G43" s="50"/>
      <c r="H43" s="50"/>
      <c r="I43" s="50"/>
      <c r="J43" s="50"/>
      <c r="K43" s="50"/>
      <c r="L43" s="50"/>
      <c r="M43" s="50"/>
      <c r="N43" s="51"/>
      <c r="O43" s="51"/>
      <c r="P43" s="51"/>
      <c r="Q43" s="51"/>
      <c r="R43" s="52"/>
      <c r="S43" s="52"/>
      <c r="T43" s="52"/>
      <c r="U43" s="110"/>
      <c r="V43" s="111"/>
      <c r="W43" s="111"/>
      <c r="X43" s="111"/>
      <c r="Y43" s="111"/>
      <c r="Z43" s="111"/>
      <c r="AA43" s="111"/>
      <c r="AB43" s="111"/>
      <c r="AC43" s="111"/>
      <c r="AD43" s="111"/>
      <c r="AE43" s="111"/>
      <c r="AF43" s="111"/>
      <c r="AG43" s="111"/>
      <c r="AH43" s="111"/>
      <c r="AI43" s="111"/>
      <c r="AJ43" s="112"/>
      <c r="AK43" s="49"/>
      <c r="AL43" s="49"/>
      <c r="AM43" s="245" t="str">
        <f>IF([10]回答表!X43="●",[10]回答表!O72,IF([10]回答表!AA43="●",[10]回答表!O92,""))</f>
        <v/>
      </c>
      <c r="AN43" s="246"/>
      <c r="AO43" s="247" t="s">
        <v>22</v>
      </c>
      <c r="AP43" s="247"/>
      <c r="AQ43" s="247"/>
      <c r="AR43" s="247"/>
      <c r="AS43" s="247"/>
      <c r="AT43" s="247"/>
      <c r="AU43" s="247"/>
      <c r="AV43" s="247"/>
      <c r="AW43" s="247"/>
      <c r="AX43" s="247"/>
      <c r="AY43" s="247"/>
      <c r="AZ43" s="247"/>
      <c r="BA43" s="247"/>
      <c r="BB43" s="248"/>
      <c r="BC43" s="39"/>
      <c r="BD43" s="34"/>
      <c r="BE43" s="34"/>
      <c r="BF43" s="83" t="s">
        <v>23</v>
      </c>
      <c r="BG43" s="249"/>
      <c r="BH43" s="249"/>
      <c r="BI43" s="250"/>
      <c r="BJ43" s="83" t="s">
        <v>24</v>
      </c>
      <c r="BK43" s="249"/>
      <c r="BL43" s="249"/>
      <c r="BM43" s="250"/>
      <c r="BN43" s="83" t="s">
        <v>25</v>
      </c>
      <c r="BO43" s="249"/>
      <c r="BP43" s="249"/>
      <c r="BQ43" s="250"/>
      <c r="BR43" s="37"/>
      <c r="BS43" s="24"/>
    </row>
    <row r="44" spans="1:71" ht="29.1" customHeight="1" x14ac:dyDescent="0.4">
      <c r="A44" s="24"/>
      <c r="B44" s="24"/>
      <c r="C44" s="32"/>
      <c r="D44" s="134" t="s">
        <v>26</v>
      </c>
      <c r="E44" s="135"/>
      <c r="F44" s="135"/>
      <c r="G44" s="135"/>
      <c r="H44" s="135"/>
      <c r="I44" s="135"/>
      <c r="J44" s="135"/>
      <c r="K44" s="135"/>
      <c r="L44" s="135"/>
      <c r="M44" s="136"/>
      <c r="N44" s="98" t="str">
        <f>IF([10]回答表!AA43="●","●","")</f>
        <v/>
      </c>
      <c r="O44" s="99"/>
      <c r="P44" s="99"/>
      <c r="Q44" s="100"/>
      <c r="R44" s="38"/>
      <c r="S44" s="38"/>
      <c r="T44" s="38"/>
      <c r="U44" s="110"/>
      <c r="V44" s="111"/>
      <c r="W44" s="111"/>
      <c r="X44" s="111"/>
      <c r="Y44" s="111"/>
      <c r="Z44" s="111"/>
      <c r="AA44" s="111"/>
      <c r="AB44" s="111"/>
      <c r="AC44" s="111"/>
      <c r="AD44" s="111"/>
      <c r="AE44" s="111"/>
      <c r="AF44" s="111"/>
      <c r="AG44" s="111"/>
      <c r="AH44" s="111"/>
      <c r="AI44" s="111"/>
      <c r="AJ44" s="112"/>
      <c r="AK44" s="49"/>
      <c r="AL44" s="49"/>
      <c r="AM44" s="245" t="str">
        <f>IF([10]回答表!X43="●",[10]回答表!O73,IF([10]回答表!AA43="●",[10]回答表!O93,""))</f>
        <v/>
      </c>
      <c r="AN44" s="246"/>
      <c r="AO44" s="255" t="s">
        <v>27</v>
      </c>
      <c r="AP44" s="256"/>
      <c r="AQ44" s="256"/>
      <c r="AR44" s="256"/>
      <c r="AS44" s="256"/>
      <c r="AT44" s="256"/>
      <c r="AU44" s="256"/>
      <c r="AV44" s="256"/>
      <c r="AW44" s="256"/>
      <c r="AX44" s="256"/>
      <c r="AY44" s="256"/>
      <c r="AZ44" s="256"/>
      <c r="BA44" s="256"/>
      <c r="BB44" s="257"/>
      <c r="BC44" s="39"/>
      <c r="BD44" s="53"/>
      <c r="BE44" s="53"/>
      <c r="BF44" s="251"/>
      <c r="BG44" s="249"/>
      <c r="BH44" s="249"/>
      <c r="BI44" s="250"/>
      <c r="BJ44" s="251"/>
      <c r="BK44" s="249"/>
      <c r="BL44" s="249"/>
      <c r="BM44" s="250"/>
      <c r="BN44" s="251"/>
      <c r="BO44" s="249"/>
      <c r="BP44" s="249"/>
      <c r="BQ44" s="250"/>
      <c r="BR44" s="37"/>
      <c r="BS44" s="24"/>
    </row>
    <row r="45" spans="1:71" ht="15.6" customHeight="1" x14ac:dyDescent="0.4">
      <c r="A45" s="24"/>
      <c r="B45" s="24"/>
      <c r="C45" s="32"/>
      <c r="D45" s="137"/>
      <c r="E45" s="138"/>
      <c r="F45" s="138"/>
      <c r="G45" s="138"/>
      <c r="H45" s="138"/>
      <c r="I45" s="138"/>
      <c r="J45" s="138"/>
      <c r="K45" s="138"/>
      <c r="L45" s="138"/>
      <c r="M45" s="139"/>
      <c r="N45" s="101"/>
      <c r="O45" s="102"/>
      <c r="P45" s="102"/>
      <c r="Q45" s="103"/>
      <c r="R45" s="38"/>
      <c r="S45" s="38"/>
      <c r="T45" s="38"/>
      <c r="U45" s="110"/>
      <c r="V45" s="111"/>
      <c r="W45" s="111"/>
      <c r="X45" s="111"/>
      <c r="Y45" s="111"/>
      <c r="Z45" s="111"/>
      <c r="AA45" s="111"/>
      <c r="AB45" s="111"/>
      <c r="AC45" s="111"/>
      <c r="AD45" s="111"/>
      <c r="AE45" s="111"/>
      <c r="AF45" s="111"/>
      <c r="AG45" s="111"/>
      <c r="AH45" s="111"/>
      <c r="AI45" s="111"/>
      <c r="AJ45" s="112"/>
      <c r="AK45" s="49"/>
      <c r="AL45" s="49"/>
      <c r="AM45" s="245" t="str">
        <f>IF([10]回答表!X43="●",[10]回答表!O74,IF([10]回答表!AA43="●",[10]回答表!O94,""))</f>
        <v/>
      </c>
      <c r="AN45" s="246"/>
      <c r="AO45" s="243" t="s">
        <v>28</v>
      </c>
      <c r="AP45" s="243"/>
      <c r="AQ45" s="243"/>
      <c r="AR45" s="243"/>
      <c r="AS45" s="243"/>
      <c r="AT45" s="243"/>
      <c r="AU45" s="243"/>
      <c r="AV45" s="243"/>
      <c r="AW45" s="243"/>
      <c r="AX45" s="243"/>
      <c r="AY45" s="243"/>
      <c r="AZ45" s="243"/>
      <c r="BA45" s="243"/>
      <c r="BB45" s="244"/>
      <c r="BC45" s="39"/>
      <c r="BD45" s="53"/>
      <c r="BE45" s="53"/>
      <c r="BF45" s="252"/>
      <c r="BG45" s="253"/>
      <c r="BH45" s="253"/>
      <c r="BI45" s="254"/>
      <c r="BJ45" s="252"/>
      <c r="BK45" s="253"/>
      <c r="BL45" s="253"/>
      <c r="BM45" s="254"/>
      <c r="BN45" s="252"/>
      <c r="BO45" s="253"/>
      <c r="BP45" s="253"/>
      <c r="BQ45" s="254"/>
      <c r="BR45" s="37"/>
      <c r="BS45" s="24"/>
    </row>
    <row r="46" spans="1:71" ht="15.6" customHeight="1" x14ac:dyDescent="0.4">
      <c r="A46" s="24"/>
      <c r="B46" s="24"/>
      <c r="C46" s="32"/>
      <c r="D46" s="137"/>
      <c r="E46" s="138"/>
      <c r="F46" s="138"/>
      <c r="G46" s="138"/>
      <c r="H46" s="138"/>
      <c r="I46" s="138"/>
      <c r="J46" s="138"/>
      <c r="K46" s="138"/>
      <c r="L46" s="138"/>
      <c r="M46" s="139"/>
      <c r="N46" s="101"/>
      <c r="O46" s="102"/>
      <c r="P46" s="102"/>
      <c r="Q46" s="103"/>
      <c r="R46" s="38"/>
      <c r="S46" s="38"/>
      <c r="T46" s="38"/>
      <c r="U46" s="110"/>
      <c r="V46" s="111"/>
      <c r="W46" s="111"/>
      <c r="X46" s="111"/>
      <c r="Y46" s="111"/>
      <c r="Z46" s="111"/>
      <c r="AA46" s="111"/>
      <c r="AB46" s="111"/>
      <c r="AC46" s="111"/>
      <c r="AD46" s="111"/>
      <c r="AE46" s="111"/>
      <c r="AF46" s="111"/>
      <c r="AG46" s="111"/>
      <c r="AH46" s="111"/>
      <c r="AI46" s="111"/>
      <c r="AJ46" s="112"/>
      <c r="AK46" s="49"/>
      <c r="AL46" s="49"/>
      <c r="AM46" s="245" t="str">
        <f>IF([10]回答表!X43="●",[10]回答表!AG71,IF([10]回答表!AA43="●",[10]回答表!AG91,""))</f>
        <v/>
      </c>
      <c r="AN46" s="246"/>
      <c r="AO46" s="243" t="s">
        <v>29</v>
      </c>
      <c r="AP46" s="243"/>
      <c r="AQ46" s="243"/>
      <c r="AR46" s="243"/>
      <c r="AS46" s="243"/>
      <c r="AT46" s="243"/>
      <c r="AU46" s="243"/>
      <c r="AV46" s="243"/>
      <c r="AW46" s="243"/>
      <c r="AX46" s="243"/>
      <c r="AY46" s="243"/>
      <c r="AZ46" s="243"/>
      <c r="BA46" s="243"/>
      <c r="BB46" s="244"/>
      <c r="BC46" s="39"/>
      <c r="BD46" s="53"/>
      <c r="BE46" s="53"/>
      <c r="BF46" s="18"/>
      <c r="BG46" s="18"/>
      <c r="BH46" s="18"/>
      <c r="BI46" s="18"/>
      <c r="BJ46" s="18"/>
      <c r="BK46" s="18"/>
      <c r="BL46" s="18"/>
      <c r="BM46" s="18"/>
      <c r="BN46" s="18"/>
      <c r="BO46" s="18"/>
      <c r="BP46" s="18"/>
      <c r="BQ46" s="18"/>
      <c r="BR46" s="37"/>
      <c r="BS46" s="24"/>
    </row>
    <row r="47" spans="1:71" ht="15.6" customHeight="1" x14ac:dyDescent="0.4">
      <c r="A47" s="24"/>
      <c r="B47" s="24"/>
      <c r="C47" s="32"/>
      <c r="D47" s="140"/>
      <c r="E47" s="141"/>
      <c r="F47" s="141"/>
      <c r="G47" s="141"/>
      <c r="H47" s="141"/>
      <c r="I47" s="141"/>
      <c r="J47" s="141"/>
      <c r="K47" s="141"/>
      <c r="L47" s="141"/>
      <c r="M47" s="142"/>
      <c r="N47" s="104"/>
      <c r="O47" s="105"/>
      <c r="P47" s="105"/>
      <c r="Q47" s="106"/>
      <c r="R47" s="38"/>
      <c r="S47" s="38"/>
      <c r="T47" s="38"/>
      <c r="U47" s="113"/>
      <c r="V47" s="114"/>
      <c r="W47" s="114"/>
      <c r="X47" s="114"/>
      <c r="Y47" s="114"/>
      <c r="Z47" s="114"/>
      <c r="AA47" s="114"/>
      <c r="AB47" s="114"/>
      <c r="AC47" s="114"/>
      <c r="AD47" s="114"/>
      <c r="AE47" s="114"/>
      <c r="AF47" s="114"/>
      <c r="AG47" s="114"/>
      <c r="AH47" s="114"/>
      <c r="AI47" s="114"/>
      <c r="AJ47" s="115"/>
      <c r="AK47" s="49"/>
      <c r="AL47" s="49"/>
      <c r="AM47" s="245" t="str">
        <f>IF([10]回答表!X43="●",[10]回答表!AG72,IF([10]回答表!AA43="●",[10]回答表!AG92,""))</f>
        <v/>
      </c>
      <c r="AN47" s="246"/>
      <c r="AO47" s="243" t="s">
        <v>30</v>
      </c>
      <c r="AP47" s="243"/>
      <c r="AQ47" s="243"/>
      <c r="AR47" s="243"/>
      <c r="AS47" s="243"/>
      <c r="AT47" s="243"/>
      <c r="AU47" s="243"/>
      <c r="AV47" s="243"/>
      <c r="AW47" s="243"/>
      <c r="AX47" s="243"/>
      <c r="AY47" s="243"/>
      <c r="AZ47" s="243"/>
      <c r="BA47" s="243"/>
      <c r="BB47" s="244"/>
      <c r="BC47" s="39"/>
      <c r="BD47" s="53"/>
      <c r="BE47" s="53"/>
      <c r="BF47" s="18"/>
      <c r="BG47" s="18"/>
      <c r="BH47" s="18"/>
      <c r="BI47" s="18"/>
      <c r="BJ47" s="18"/>
      <c r="BK47" s="18"/>
      <c r="BL47" s="18"/>
      <c r="BM47" s="18"/>
      <c r="BN47" s="18"/>
      <c r="BO47" s="18"/>
      <c r="BP47" s="18"/>
      <c r="BQ47" s="18"/>
      <c r="BR47" s="37"/>
      <c r="BS47" s="24"/>
    </row>
    <row r="48" spans="1:71" ht="15.6" customHeight="1" x14ac:dyDescent="0.4">
      <c r="A48" s="24"/>
      <c r="B48" s="24"/>
      <c r="C48" s="32"/>
      <c r="D48" s="50"/>
      <c r="E48" s="50"/>
      <c r="F48" s="50"/>
      <c r="G48" s="50"/>
      <c r="H48" s="50"/>
      <c r="I48" s="50"/>
      <c r="J48" s="50"/>
      <c r="K48" s="50"/>
      <c r="L48" s="50"/>
      <c r="M48" s="50"/>
      <c r="N48" s="50"/>
      <c r="O48" s="50"/>
      <c r="P48" s="50"/>
      <c r="Q48" s="50"/>
      <c r="R48" s="38"/>
      <c r="S48" s="38"/>
      <c r="T48" s="38"/>
      <c r="U48" s="38"/>
      <c r="V48" s="38"/>
      <c r="W48" s="38"/>
      <c r="X48" s="38"/>
      <c r="Y48" s="38"/>
      <c r="Z48" s="38"/>
      <c r="AA48" s="38"/>
      <c r="AB48" s="38"/>
      <c r="AC48" s="38"/>
      <c r="AD48" s="38"/>
      <c r="AE48" s="38"/>
      <c r="AF48" s="38"/>
      <c r="AG48" s="38"/>
      <c r="AH48" s="38"/>
      <c r="AI48" s="38"/>
      <c r="AJ48" s="38"/>
      <c r="AK48" s="49"/>
      <c r="AL48" s="49"/>
      <c r="AM48" s="54"/>
      <c r="AN48" s="54"/>
      <c r="AO48" s="54"/>
      <c r="AP48" s="54"/>
      <c r="AQ48" s="54"/>
      <c r="AR48" s="54"/>
      <c r="AS48" s="54"/>
      <c r="AT48" s="54"/>
      <c r="AU48" s="54"/>
      <c r="AV48" s="54"/>
      <c r="AW48" s="54"/>
      <c r="AX48" s="54"/>
      <c r="AY48" s="54"/>
      <c r="AZ48" s="54"/>
      <c r="BA48" s="54"/>
      <c r="BB48" s="54"/>
      <c r="BC48" s="39"/>
      <c r="BD48" s="53"/>
      <c r="BE48" s="53"/>
      <c r="BF48" s="18"/>
      <c r="BG48" s="18"/>
      <c r="BH48" s="18"/>
      <c r="BI48" s="18"/>
      <c r="BJ48" s="18"/>
      <c r="BK48" s="18"/>
      <c r="BL48" s="18"/>
      <c r="BM48" s="18"/>
      <c r="BN48" s="18"/>
      <c r="BO48" s="18"/>
      <c r="BP48" s="18"/>
      <c r="BQ48" s="18"/>
      <c r="BR48" s="37"/>
      <c r="BS48" s="24"/>
    </row>
    <row r="49" spans="1:71" ht="6.95" customHeight="1" x14ac:dyDescent="0.5">
      <c r="A49" s="24"/>
      <c r="B49" s="24"/>
      <c r="C49" s="32"/>
      <c r="D49" s="50"/>
      <c r="E49" s="50"/>
      <c r="F49" s="50"/>
      <c r="G49" s="50"/>
      <c r="H49" s="50"/>
      <c r="I49" s="50"/>
      <c r="J49" s="50"/>
      <c r="K49" s="50"/>
      <c r="L49" s="50"/>
      <c r="M49" s="50"/>
      <c r="N49" s="19"/>
      <c r="O49" s="19"/>
      <c r="P49" s="19"/>
      <c r="Q49" s="19"/>
      <c r="R49" s="38"/>
      <c r="S49" s="38"/>
      <c r="T49" s="38"/>
      <c r="U49" s="38"/>
      <c r="V49" s="38"/>
      <c r="W49" s="38"/>
      <c r="X49" s="18"/>
      <c r="Y49" s="18"/>
      <c r="Z49" s="18"/>
      <c r="AA49" s="35"/>
      <c r="AB49" s="35"/>
      <c r="AC49" s="35"/>
      <c r="AD49" s="35"/>
      <c r="AE49" s="35"/>
      <c r="AF49" s="35"/>
      <c r="AG49" s="35"/>
      <c r="AH49" s="35"/>
      <c r="AI49" s="35"/>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37"/>
      <c r="BS49" s="24"/>
    </row>
    <row r="50" spans="1:71" ht="18.600000000000001" customHeight="1" x14ac:dyDescent="0.5">
      <c r="A50" s="24"/>
      <c r="B50" s="24"/>
      <c r="C50" s="32"/>
      <c r="D50" s="50"/>
      <c r="E50" s="50"/>
      <c r="F50" s="50"/>
      <c r="G50" s="50"/>
      <c r="H50" s="50"/>
      <c r="I50" s="50"/>
      <c r="J50" s="50"/>
      <c r="K50" s="50"/>
      <c r="L50" s="50"/>
      <c r="M50" s="50"/>
      <c r="N50" s="19"/>
      <c r="O50" s="19"/>
      <c r="P50" s="19"/>
      <c r="Q50" s="19"/>
      <c r="R50" s="38"/>
      <c r="S50" s="38"/>
      <c r="T50" s="38"/>
      <c r="U50" s="42" t="s">
        <v>31</v>
      </c>
      <c r="V50" s="38"/>
      <c r="W50" s="38"/>
      <c r="X50" s="38"/>
      <c r="Y50" s="38"/>
      <c r="Z50" s="38"/>
      <c r="AA50" s="35"/>
      <c r="AB50" s="43"/>
      <c r="AC50" s="35"/>
      <c r="AD50" s="35"/>
      <c r="AE50" s="35"/>
      <c r="AF50" s="35"/>
      <c r="AG50" s="35"/>
      <c r="AH50" s="35"/>
      <c r="AI50" s="35"/>
      <c r="AJ50" s="35"/>
      <c r="AK50" s="35"/>
      <c r="AL50" s="35"/>
      <c r="AM50" s="42" t="s">
        <v>32</v>
      </c>
      <c r="AN50" s="35"/>
      <c r="AO50" s="35"/>
      <c r="AP50" s="35"/>
      <c r="AQ50" s="35"/>
      <c r="AR50" s="35"/>
      <c r="AS50" s="35"/>
      <c r="AT50" s="35"/>
      <c r="AU50" s="35"/>
      <c r="AV50" s="35"/>
      <c r="AW50" s="35"/>
      <c r="AX50" s="34"/>
      <c r="AY50" s="34"/>
      <c r="AZ50" s="34"/>
      <c r="BA50" s="34"/>
      <c r="BB50" s="34"/>
      <c r="BC50" s="34"/>
      <c r="BD50" s="34"/>
      <c r="BE50" s="34"/>
      <c r="BF50" s="34"/>
      <c r="BG50" s="34"/>
      <c r="BH50" s="34"/>
      <c r="BI50" s="34"/>
      <c r="BJ50" s="34"/>
      <c r="BK50" s="34"/>
      <c r="BL50" s="34"/>
      <c r="BM50" s="34"/>
      <c r="BN50" s="34"/>
      <c r="BO50" s="34"/>
      <c r="BP50" s="34"/>
      <c r="BQ50" s="18"/>
      <c r="BR50" s="37"/>
      <c r="BS50" s="24"/>
    </row>
    <row r="51" spans="1:71" ht="15.6" customHeight="1" x14ac:dyDescent="0.4">
      <c r="A51" s="24"/>
      <c r="B51" s="24"/>
      <c r="C51" s="32"/>
      <c r="D51" s="89" t="s">
        <v>33</v>
      </c>
      <c r="E51" s="90"/>
      <c r="F51" s="90"/>
      <c r="G51" s="90"/>
      <c r="H51" s="90"/>
      <c r="I51" s="90"/>
      <c r="J51" s="90"/>
      <c r="K51" s="90"/>
      <c r="L51" s="90"/>
      <c r="M51" s="91"/>
      <c r="N51" s="98" t="str">
        <f>IF([10]回答表!AD43="●","●","")</f>
        <v/>
      </c>
      <c r="O51" s="99"/>
      <c r="P51" s="99"/>
      <c r="Q51" s="100"/>
      <c r="R51" s="38"/>
      <c r="S51" s="38"/>
      <c r="T51" s="38"/>
      <c r="U51" s="107" t="str">
        <f>IF([10]回答表!AD43="●",[10]回答表!B99,"")</f>
        <v/>
      </c>
      <c r="V51" s="108"/>
      <c r="W51" s="108"/>
      <c r="X51" s="108"/>
      <c r="Y51" s="108"/>
      <c r="Z51" s="108"/>
      <c r="AA51" s="108"/>
      <c r="AB51" s="108"/>
      <c r="AC51" s="108"/>
      <c r="AD51" s="108"/>
      <c r="AE51" s="108"/>
      <c r="AF51" s="108"/>
      <c r="AG51" s="108"/>
      <c r="AH51" s="108"/>
      <c r="AI51" s="108"/>
      <c r="AJ51" s="109"/>
      <c r="AK51" s="55"/>
      <c r="AL51" s="55"/>
      <c r="AM51" s="107" t="str">
        <f>IF([10]回答表!AD43="●",[10]回答表!B104,"")</f>
        <v/>
      </c>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9"/>
      <c r="BR51" s="37"/>
      <c r="BS51" s="24"/>
    </row>
    <row r="52" spans="1:71" ht="15.6" customHeight="1" x14ac:dyDescent="0.4">
      <c r="A52" s="24"/>
      <c r="B52" s="24"/>
      <c r="C52" s="32"/>
      <c r="D52" s="92"/>
      <c r="E52" s="93"/>
      <c r="F52" s="93"/>
      <c r="G52" s="93"/>
      <c r="H52" s="93"/>
      <c r="I52" s="93"/>
      <c r="J52" s="93"/>
      <c r="K52" s="93"/>
      <c r="L52" s="93"/>
      <c r="M52" s="94"/>
      <c r="N52" s="101"/>
      <c r="O52" s="102"/>
      <c r="P52" s="102"/>
      <c r="Q52" s="103"/>
      <c r="R52" s="38"/>
      <c r="S52" s="38"/>
      <c r="T52" s="38"/>
      <c r="U52" s="110"/>
      <c r="V52" s="111"/>
      <c r="W52" s="111"/>
      <c r="X52" s="111"/>
      <c r="Y52" s="111"/>
      <c r="Z52" s="111"/>
      <c r="AA52" s="111"/>
      <c r="AB52" s="111"/>
      <c r="AC52" s="111"/>
      <c r="AD52" s="111"/>
      <c r="AE52" s="111"/>
      <c r="AF52" s="111"/>
      <c r="AG52" s="111"/>
      <c r="AH52" s="111"/>
      <c r="AI52" s="111"/>
      <c r="AJ52" s="112"/>
      <c r="AK52" s="55"/>
      <c r="AL52" s="55"/>
      <c r="AM52" s="110"/>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2"/>
      <c r="BR52" s="37"/>
      <c r="BS52" s="24"/>
    </row>
    <row r="53" spans="1:71" ht="15.6" customHeight="1" x14ac:dyDescent="0.4">
      <c r="A53" s="24"/>
      <c r="B53" s="24"/>
      <c r="C53" s="32"/>
      <c r="D53" s="92"/>
      <c r="E53" s="93"/>
      <c r="F53" s="93"/>
      <c r="G53" s="93"/>
      <c r="H53" s="93"/>
      <c r="I53" s="93"/>
      <c r="J53" s="93"/>
      <c r="K53" s="93"/>
      <c r="L53" s="93"/>
      <c r="M53" s="94"/>
      <c r="N53" s="101"/>
      <c r="O53" s="102"/>
      <c r="P53" s="102"/>
      <c r="Q53" s="103"/>
      <c r="R53" s="38"/>
      <c r="S53" s="38"/>
      <c r="T53" s="38"/>
      <c r="U53" s="110"/>
      <c r="V53" s="111"/>
      <c r="W53" s="111"/>
      <c r="X53" s="111"/>
      <c r="Y53" s="111"/>
      <c r="Z53" s="111"/>
      <c r="AA53" s="111"/>
      <c r="AB53" s="111"/>
      <c r="AC53" s="111"/>
      <c r="AD53" s="111"/>
      <c r="AE53" s="111"/>
      <c r="AF53" s="111"/>
      <c r="AG53" s="111"/>
      <c r="AH53" s="111"/>
      <c r="AI53" s="111"/>
      <c r="AJ53" s="112"/>
      <c r="AK53" s="55"/>
      <c r="AL53" s="55"/>
      <c r="AM53" s="110"/>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2"/>
      <c r="BR53" s="37"/>
      <c r="BS53" s="24"/>
    </row>
    <row r="54" spans="1:71" ht="15.6" customHeight="1" x14ac:dyDescent="0.4">
      <c r="C54" s="32"/>
      <c r="D54" s="95"/>
      <c r="E54" s="96"/>
      <c r="F54" s="96"/>
      <c r="G54" s="96"/>
      <c r="H54" s="96"/>
      <c r="I54" s="96"/>
      <c r="J54" s="96"/>
      <c r="K54" s="96"/>
      <c r="L54" s="96"/>
      <c r="M54" s="97"/>
      <c r="N54" s="104"/>
      <c r="O54" s="105"/>
      <c r="P54" s="105"/>
      <c r="Q54" s="106"/>
      <c r="R54" s="38"/>
      <c r="S54" s="38"/>
      <c r="T54" s="38"/>
      <c r="U54" s="113"/>
      <c r="V54" s="114"/>
      <c r="W54" s="114"/>
      <c r="X54" s="114"/>
      <c r="Y54" s="114"/>
      <c r="Z54" s="114"/>
      <c r="AA54" s="114"/>
      <c r="AB54" s="114"/>
      <c r="AC54" s="114"/>
      <c r="AD54" s="114"/>
      <c r="AE54" s="114"/>
      <c r="AF54" s="114"/>
      <c r="AG54" s="114"/>
      <c r="AH54" s="114"/>
      <c r="AI54" s="114"/>
      <c r="AJ54" s="115"/>
      <c r="AK54" s="55"/>
      <c r="AL54" s="55"/>
      <c r="AM54" s="113"/>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5"/>
      <c r="BR54" s="37"/>
      <c r="BS54" s="24"/>
    </row>
    <row r="55" spans="1:71" ht="15.6" customHeight="1" x14ac:dyDescent="0.4">
      <c r="C55" s="56"/>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8"/>
      <c r="BS55" s="24"/>
    </row>
    <row r="56" spans="1:71" ht="15.6" customHeight="1" x14ac:dyDescent="0.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row>
    <row r="57" spans="1:71" ht="15.6" customHeight="1" x14ac:dyDescent="0.4">
      <c r="C57" s="26"/>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143"/>
      <c r="AS57" s="143"/>
      <c r="AT57" s="143"/>
      <c r="AU57" s="143"/>
      <c r="AV57" s="143"/>
      <c r="AW57" s="143"/>
      <c r="AX57" s="143"/>
      <c r="AY57" s="143"/>
      <c r="AZ57" s="143"/>
      <c r="BA57" s="143"/>
      <c r="BB57" s="143"/>
      <c r="BC57" s="28"/>
      <c r="BD57" s="29"/>
      <c r="BE57" s="29"/>
      <c r="BF57" s="29"/>
      <c r="BG57" s="29"/>
      <c r="BH57" s="29"/>
      <c r="BI57" s="29"/>
      <c r="BJ57" s="29"/>
      <c r="BK57" s="29"/>
      <c r="BL57" s="29"/>
      <c r="BM57" s="29"/>
      <c r="BN57" s="29"/>
      <c r="BO57" s="29"/>
      <c r="BP57" s="29"/>
      <c r="BQ57" s="29"/>
      <c r="BR57" s="30"/>
      <c r="BS57" s="24"/>
    </row>
    <row r="58" spans="1:71" ht="15.6" customHeight="1" x14ac:dyDescent="0.5">
      <c r="C58" s="32"/>
      <c r="D58" s="144" t="s">
        <v>14</v>
      </c>
      <c r="E58" s="145"/>
      <c r="F58" s="145"/>
      <c r="G58" s="145"/>
      <c r="H58" s="145"/>
      <c r="I58" s="145"/>
      <c r="J58" s="145"/>
      <c r="K58" s="145"/>
      <c r="L58" s="145"/>
      <c r="M58" s="145"/>
      <c r="N58" s="145"/>
      <c r="O58" s="145"/>
      <c r="P58" s="145"/>
      <c r="Q58" s="146"/>
      <c r="R58" s="89" t="s">
        <v>34</v>
      </c>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1"/>
      <c r="BC58" s="33"/>
      <c r="BD58" s="34"/>
      <c r="BE58" s="34"/>
      <c r="BF58" s="34"/>
      <c r="BG58" s="34"/>
      <c r="BH58" s="34"/>
      <c r="BI58" s="34"/>
      <c r="BJ58" s="34"/>
      <c r="BK58" s="34"/>
      <c r="BL58" s="34"/>
      <c r="BM58" s="34"/>
      <c r="BN58" s="35"/>
      <c r="BO58" s="35"/>
      <c r="BP58" s="35"/>
      <c r="BQ58" s="36"/>
      <c r="BR58" s="37"/>
      <c r="BS58" s="24"/>
    </row>
    <row r="59" spans="1:71" ht="15.6" customHeight="1" x14ac:dyDescent="0.5">
      <c r="C59" s="32"/>
      <c r="D59" s="147"/>
      <c r="E59" s="148"/>
      <c r="F59" s="148"/>
      <c r="G59" s="148"/>
      <c r="H59" s="148"/>
      <c r="I59" s="148"/>
      <c r="J59" s="148"/>
      <c r="K59" s="148"/>
      <c r="L59" s="148"/>
      <c r="M59" s="148"/>
      <c r="N59" s="148"/>
      <c r="O59" s="148"/>
      <c r="P59" s="148"/>
      <c r="Q59" s="149"/>
      <c r="R59" s="95"/>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7"/>
      <c r="BC59" s="33"/>
      <c r="BD59" s="34"/>
      <c r="BE59" s="34"/>
      <c r="BF59" s="34"/>
      <c r="BG59" s="34"/>
      <c r="BH59" s="34"/>
      <c r="BI59" s="34"/>
      <c r="BJ59" s="34"/>
      <c r="BK59" s="34"/>
      <c r="BL59" s="34"/>
      <c r="BM59" s="34"/>
      <c r="BN59" s="35"/>
      <c r="BO59" s="35"/>
      <c r="BP59" s="35"/>
      <c r="BQ59" s="36"/>
      <c r="BR59" s="37"/>
      <c r="BS59" s="24"/>
    </row>
    <row r="60" spans="1:71" ht="15.6" customHeight="1" x14ac:dyDescent="0.5">
      <c r="C60" s="32"/>
      <c r="D60" s="38"/>
      <c r="E60" s="38"/>
      <c r="F60" s="38"/>
      <c r="G60" s="38"/>
      <c r="H60" s="38"/>
      <c r="I60" s="38"/>
      <c r="J60" s="38"/>
      <c r="K60" s="38"/>
      <c r="L60" s="38"/>
      <c r="M60" s="38"/>
      <c r="N60" s="38"/>
      <c r="O60" s="38"/>
      <c r="P60" s="38"/>
      <c r="Q60" s="38"/>
      <c r="R60" s="38"/>
      <c r="S60" s="38"/>
      <c r="T60" s="38"/>
      <c r="U60" s="38"/>
      <c r="V60" s="38"/>
      <c r="W60" s="38"/>
      <c r="X60" s="18"/>
      <c r="Y60" s="18"/>
      <c r="Z60" s="18"/>
      <c r="AA60" s="34"/>
      <c r="AB60" s="39"/>
      <c r="AC60" s="39"/>
      <c r="AD60" s="39"/>
      <c r="AE60" s="39"/>
      <c r="AF60" s="39"/>
      <c r="AG60" s="39"/>
      <c r="AH60" s="39"/>
      <c r="AI60" s="39"/>
      <c r="AJ60" s="39"/>
      <c r="AK60" s="39"/>
      <c r="AL60" s="39"/>
      <c r="AM60" s="39"/>
      <c r="AN60" s="36"/>
      <c r="AO60" s="39"/>
      <c r="AP60" s="40"/>
      <c r="AQ60" s="40"/>
      <c r="AR60" s="41"/>
      <c r="AS60" s="41"/>
      <c r="AT60" s="41"/>
      <c r="AU60" s="41"/>
      <c r="AV60" s="41"/>
      <c r="AW60" s="41"/>
      <c r="AX60" s="41"/>
      <c r="AY60" s="41"/>
      <c r="AZ60" s="41"/>
      <c r="BA60" s="41"/>
      <c r="BB60" s="41"/>
      <c r="BC60" s="33"/>
      <c r="BD60" s="34"/>
      <c r="BE60" s="34"/>
      <c r="BF60" s="34"/>
      <c r="BG60" s="34"/>
      <c r="BH60" s="34"/>
      <c r="BI60" s="34"/>
      <c r="BJ60" s="34"/>
      <c r="BK60" s="34"/>
      <c r="BL60" s="34"/>
      <c r="BM60" s="34"/>
      <c r="BN60" s="35"/>
      <c r="BO60" s="35"/>
      <c r="BP60" s="35"/>
      <c r="BQ60" s="36"/>
      <c r="BR60" s="37"/>
      <c r="BS60" s="24"/>
    </row>
    <row r="61" spans="1:71" ht="25.5" x14ac:dyDescent="0.5">
      <c r="C61" s="32"/>
      <c r="D61" s="38"/>
      <c r="E61" s="38"/>
      <c r="F61" s="38"/>
      <c r="G61" s="38"/>
      <c r="H61" s="38"/>
      <c r="I61" s="38"/>
      <c r="J61" s="38"/>
      <c r="K61" s="38"/>
      <c r="L61" s="38"/>
      <c r="M61" s="38"/>
      <c r="N61" s="38"/>
      <c r="O61" s="38"/>
      <c r="P61" s="38"/>
      <c r="Q61" s="38"/>
      <c r="R61" s="38"/>
      <c r="S61" s="38"/>
      <c r="T61" s="38"/>
      <c r="U61" s="42" t="s">
        <v>35</v>
      </c>
      <c r="V61" s="38"/>
      <c r="W61" s="38"/>
      <c r="X61" s="38"/>
      <c r="Y61" s="38"/>
      <c r="Z61" s="38"/>
      <c r="AA61" s="35"/>
      <c r="AB61" s="43"/>
      <c r="AC61" s="43"/>
      <c r="AD61" s="43"/>
      <c r="AE61" s="43"/>
      <c r="AF61" s="43"/>
      <c r="AG61" s="43"/>
      <c r="AH61" s="43"/>
      <c r="AI61" s="43"/>
      <c r="AJ61" s="43"/>
      <c r="AK61" s="43"/>
      <c r="AL61" s="43"/>
      <c r="AM61" s="42" t="s">
        <v>16</v>
      </c>
      <c r="AN61" s="44"/>
      <c r="AO61" s="43"/>
      <c r="AP61" s="45"/>
      <c r="AQ61" s="45"/>
      <c r="AR61" s="46"/>
      <c r="AS61" s="46"/>
      <c r="AT61" s="46"/>
      <c r="AU61" s="46"/>
      <c r="AV61" s="46"/>
      <c r="AW61" s="46"/>
      <c r="AX61" s="46"/>
      <c r="AY61" s="46"/>
      <c r="AZ61" s="46"/>
      <c r="BA61" s="46"/>
      <c r="BB61" s="46"/>
      <c r="BC61" s="47"/>
      <c r="BD61" s="35"/>
      <c r="BE61" s="35"/>
      <c r="BF61" s="48" t="s">
        <v>17</v>
      </c>
      <c r="BG61" s="59"/>
      <c r="BH61" s="59"/>
      <c r="BI61" s="59"/>
      <c r="BJ61" s="59"/>
      <c r="BK61" s="59"/>
      <c r="BL61" s="59"/>
      <c r="BM61" s="35"/>
      <c r="BN61" s="35"/>
      <c r="BO61" s="35"/>
      <c r="BP61" s="35"/>
      <c r="BQ61" s="44"/>
      <c r="BR61" s="37"/>
      <c r="BS61" s="24"/>
    </row>
    <row r="62" spans="1:71" ht="15.6" customHeight="1" x14ac:dyDescent="0.4">
      <c r="C62" s="32"/>
      <c r="D62" s="89" t="s">
        <v>18</v>
      </c>
      <c r="E62" s="90"/>
      <c r="F62" s="90"/>
      <c r="G62" s="90"/>
      <c r="H62" s="90"/>
      <c r="I62" s="90"/>
      <c r="J62" s="90"/>
      <c r="K62" s="90"/>
      <c r="L62" s="90"/>
      <c r="M62" s="91"/>
      <c r="N62" s="98" t="str">
        <f>IF([10]回答表!X44="●","●","")</f>
        <v/>
      </c>
      <c r="O62" s="99"/>
      <c r="P62" s="99"/>
      <c r="Q62" s="100"/>
      <c r="R62" s="38"/>
      <c r="S62" s="38"/>
      <c r="T62" s="38"/>
      <c r="U62" s="107" t="str">
        <f>IF([10]回答表!X44="●",[10]回答表!B115,IF([10]回答表!AA44="●",[10]回答表!B127,""))</f>
        <v/>
      </c>
      <c r="V62" s="108"/>
      <c r="W62" s="108"/>
      <c r="X62" s="108"/>
      <c r="Y62" s="108"/>
      <c r="Z62" s="108"/>
      <c r="AA62" s="108"/>
      <c r="AB62" s="108"/>
      <c r="AC62" s="108"/>
      <c r="AD62" s="108"/>
      <c r="AE62" s="108"/>
      <c r="AF62" s="108"/>
      <c r="AG62" s="108"/>
      <c r="AH62" s="108"/>
      <c r="AI62" s="108"/>
      <c r="AJ62" s="109"/>
      <c r="AK62" s="49"/>
      <c r="AL62" s="49"/>
      <c r="AM62" s="242" t="s">
        <v>36</v>
      </c>
      <c r="AN62" s="242"/>
      <c r="AO62" s="242"/>
      <c r="AP62" s="242"/>
      <c r="AQ62" s="242"/>
      <c r="AR62" s="242"/>
      <c r="AS62" s="242"/>
      <c r="AT62" s="242"/>
      <c r="AU62" s="242" t="s">
        <v>37</v>
      </c>
      <c r="AV62" s="242"/>
      <c r="AW62" s="242"/>
      <c r="AX62" s="242"/>
      <c r="AY62" s="242"/>
      <c r="AZ62" s="242"/>
      <c r="BA62" s="242"/>
      <c r="BB62" s="242"/>
      <c r="BC62" s="39"/>
      <c r="BD62" s="34"/>
      <c r="BE62" s="34"/>
      <c r="BF62" s="116" t="str">
        <f>IF([10]回答表!X44="●",[10]回答表!S121,IF([10]回答表!AA44="●",[10]回答表!S133,""))</f>
        <v/>
      </c>
      <c r="BG62" s="117"/>
      <c r="BH62" s="117"/>
      <c r="BI62" s="117"/>
      <c r="BJ62" s="116"/>
      <c r="BK62" s="117"/>
      <c r="BL62" s="117"/>
      <c r="BM62" s="117"/>
      <c r="BN62" s="116"/>
      <c r="BO62" s="117"/>
      <c r="BP62" s="117"/>
      <c r="BQ62" s="118"/>
      <c r="BR62" s="37"/>
      <c r="BS62" s="24"/>
    </row>
    <row r="63" spans="1:71" ht="15.6" customHeight="1" x14ac:dyDescent="0.4">
      <c r="C63" s="32"/>
      <c r="D63" s="92"/>
      <c r="E63" s="93"/>
      <c r="F63" s="93"/>
      <c r="G63" s="93"/>
      <c r="H63" s="93"/>
      <c r="I63" s="93"/>
      <c r="J63" s="93"/>
      <c r="K63" s="93"/>
      <c r="L63" s="93"/>
      <c r="M63" s="94"/>
      <c r="N63" s="101"/>
      <c r="O63" s="102"/>
      <c r="P63" s="102"/>
      <c r="Q63" s="103"/>
      <c r="R63" s="38"/>
      <c r="S63" s="38"/>
      <c r="T63" s="38"/>
      <c r="U63" s="110"/>
      <c r="V63" s="111"/>
      <c r="W63" s="111"/>
      <c r="X63" s="111"/>
      <c r="Y63" s="111"/>
      <c r="Z63" s="111"/>
      <c r="AA63" s="111"/>
      <c r="AB63" s="111"/>
      <c r="AC63" s="111"/>
      <c r="AD63" s="111"/>
      <c r="AE63" s="111"/>
      <c r="AF63" s="111"/>
      <c r="AG63" s="111"/>
      <c r="AH63" s="111"/>
      <c r="AI63" s="111"/>
      <c r="AJ63" s="112"/>
      <c r="AK63" s="49"/>
      <c r="AL63" s="49"/>
      <c r="AM63" s="242"/>
      <c r="AN63" s="242"/>
      <c r="AO63" s="242"/>
      <c r="AP63" s="242"/>
      <c r="AQ63" s="242"/>
      <c r="AR63" s="242"/>
      <c r="AS63" s="242"/>
      <c r="AT63" s="242"/>
      <c r="AU63" s="242"/>
      <c r="AV63" s="242"/>
      <c r="AW63" s="242"/>
      <c r="AX63" s="242"/>
      <c r="AY63" s="242"/>
      <c r="AZ63" s="242"/>
      <c r="BA63" s="242"/>
      <c r="BB63" s="242"/>
      <c r="BC63" s="39"/>
      <c r="BD63" s="34"/>
      <c r="BE63" s="34"/>
      <c r="BF63" s="83"/>
      <c r="BG63" s="84"/>
      <c r="BH63" s="84"/>
      <c r="BI63" s="84"/>
      <c r="BJ63" s="83"/>
      <c r="BK63" s="84"/>
      <c r="BL63" s="84"/>
      <c r="BM63" s="84"/>
      <c r="BN63" s="83"/>
      <c r="BO63" s="84"/>
      <c r="BP63" s="84"/>
      <c r="BQ63" s="87"/>
      <c r="BR63" s="37"/>
      <c r="BS63" s="24"/>
    </row>
    <row r="64" spans="1:71" ht="15.6" customHeight="1" x14ac:dyDescent="0.4">
      <c r="C64" s="32"/>
      <c r="D64" s="92"/>
      <c r="E64" s="93"/>
      <c r="F64" s="93"/>
      <c r="G64" s="93"/>
      <c r="H64" s="93"/>
      <c r="I64" s="93"/>
      <c r="J64" s="93"/>
      <c r="K64" s="93"/>
      <c r="L64" s="93"/>
      <c r="M64" s="94"/>
      <c r="N64" s="101"/>
      <c r="O64" s="102"/>
      <c r="P64" s="102"/>
      <c r="Q64" s="103"/>
      <c r="R64" s="38"/>
      <c r="S64" s="38"/>
      <c r="T64" s="38"/>
      <c r="U64" s="110"/>
      <c r="V64" s="111"/>
      <c r="W64" s="111"/>
      <c r="X64" s="111"/>
      <c r="Y64" s="111"/>
      <c r="Z64" s="111"/>
      <c r="AA64" s="111"/>
      <c r="AB64" s="111"/>
      <c r="AC64" s="111"/>
      <c r="AD64" s="111"/>
      <c r="AE64" s="111"/>
      <c r="AF64" s="111"/>
      <c r="AG64" s="111"/>
      <c r="AH64" s="111"/>
      <c r="AI64" s="111"/>
      <c r="AJ64" s="112"/>
      <c r="AK64" s="49"/>
      <c r="AL64" s="49"/>
      <c r="AM64" s="242"/>
      <c r="AN64" s="242"/>
      <c r="AO64" s="242"/>
      <c r="AP64" s="242"/>
      <c r="AQ64" s="242"/>
      <c r="AR64" s="242"/>
      <c r="AS64" s="242"/>
      <c r="AT64" s="242"/>
      <c r="AU64" s="242"/>
      <c r="AV64" s="242"/>
      <c r="AW64" s="242"/>
      <c r="AX64" s="242"/>
      <c r="AY64" s="242"/>
      <c r="AZ64" s="242"/>
      <c r="BA64" s="242"/>
      <c r="BB64" s="242"/>
      <c r="BC64" s="39"/>
      <c r="BD64" s="34"/>
      <c r="BE64" s="34"/>
      <c r="BF64" s="83"/>
      <c r="BG64" s="84"/>
      <c r="BH64" s="84"/>
      <c r="BI64" s="84"/>
      <c r="BJ64" s="83"/>
      <c r="BK64" s="84"/>
      <c r="BL64" s="84"/>
      <c r="BM64" s="84"/>
      <c r="BN64" s="83"/>
      <c r="BO64" s="84"/>
      <c r="BP64" s="84"/>
      <c r="BQ64" s="87"/>
      <c r="BR64" s="37"/>
      <c r="BS64" s="24"/>
    </row>
    <row r="65" spans="1:71" ht="15.6" customHeight="1" x14ac:dyDescent="0.4">
      <c r="C65" s="32"/>
      <c r="D65" s="95"/>
      <c r="E65" s="96"/>
      <c r="F65" s="96"/>
      <c r="G65" s="96"/>
      <c r="H65" s="96"/>
      <c r="I65" s="96"/>
      <c r="J65" s="96"/>
      <c r="K65" s="96"/>
      <c r="L65" s="96"/>
      <c r="M65" s="97"/>
      <c r="N65" s="104"/>
      <c r="O65" s="105"/>
      <c r="P65" s="105"/>
      <c r="Q65" s="106"/>
      <c r="R65" s="38"/>
      <c r="S65" s="38"/>
      <c r="T65" s="38"/>
      <c r="U65" s="110"/>
      <c r="V65" s="111"/>
      <c r="W65" s="111"/>
      <c r="X65" s="111"/>
      <c r="Y65" s="111"/>
      <c r="Z65" s="111"/>
      <c r="AA65" s="111"/>
      <c r="AB65" s="111"/>
      <c r="AC65" s="111"/>
      <c r="AD65" s="111"/>
      <c r="AE65" s="111"/>
      <c r="AF65" s="111"/>
      <c r="AG65" s="111"/>
      <c r="AH65" s="111"/>
      <c r="AI65" s="111"/>
      <c r="AJ65" s="112"/>
      <c r="AK65" s="49"/>
      <c r="AL65" s="49"/>
      <c r="AM65" s="119" t="str">
        <f>IF([10]回答表!X44="●",[10]回答表!J121,IF([10]回答表!AA44="●",[10]回答表!J133,""))</f>
        <v/>
      </c>
      <c r="AN65" s="120"/>
      <c r="AO65" s="120"/>
      <c r="AP65" s="120"/>
      <c r="AQ65" s="120"/>
      <c r="AR65" s="120"/>
      <c r="AS65" s="120"/>
      <c r="AT65" s="121"/>
      <c r="AU65" s="119" t="str">
        <f>IF([10]回答表!X44="●",[10]回答表!J122,IF([10]回答表!AA44="●",[10]回答表!J134,""))</f>
        <v/>
      </c>
      <c r="AV65" s="120"/>
      <c r="AW65" s="120"/>
      <c r="AX65" s="120"/>
      <c r="AY65" s="120"/>
      <c r="AZ65" s="120"/>
      <c r="BA65" s="120"/>
      <c r="BB65" s="121"/>
      <c r="BC65" s="39"/>
      <c r="BD65" s="34"/>
      <c r="BE65" s="34"/>
      <c r="BF65" s="83" t="str">
        <f>IF([10]回答表!X44="●",[10]回答表!V121,IF([10]回答表!AA44="●",[10]回答表!V133,""))</f>
        <v/>
      </c>
      <c r="BG65" s="84"/>
      <c r="BH65" s="84"/>
      <c r="BI65" s="84"/>
      <c r="BJ65" s="83" t="str">
        <f>IF([10]回答表!X44="●",[10]回答表!V122,IF([10]回答表!AA44="●",[10]回答表!V134,""))</f>
        <v/>
      </c>
      <c r="BK65" s="84"/>
      <c r="BL65" s="84"/>
      <c r="BM65" s="84"/>
      <c r="BN65" s="83" t="str">
        <f>IF([10]回答表!X44="●",[10]回答表!V123,IF([10]回答表!AA44="●",[10]回答表!V135,""))</f>
        <v/>
      </c>
      <c r="BO65" s="84"/>
      <c r="BP65" s="84"/>
      <c r="BQ65" s="87"/>
      <c r="BR65" s="37"/>
      <c r="BS65" s="24"/>
    </row>
    <row r="66" spans="1:71" ht="15.6" customHeight="1" x14ac:dyDescent="0.4">
      <c r="C66" s="32"/>
      <c r="D66" s="50"/>
      <c r="E66" s="50"/>
      <c r="F66" s="50"/>
      <c r="G66" s="50"/>
      <c r="H66" s="50"/>
      <c r="I66" s="50"/>
      <c r="J66" s="50"/>
      <c r="K66" s="50"/>
      <c r="L66" s="50"/>
      <c r="M66" s="50"/>
      <c r="N66" s="51"/>
      <c r="O66" s="51"/>
      <c r="P66" s="51"/>
      <c r="Q66" s="51"/>
      <c r="R66" s="52"/>
      <c r="S66" s="52"/>
      <c r="T66" s="52"/>
      <c r="U66" s="110"/>
      <c r="V66" s="111"/>
      <c r="W66" s="111"/>
      <c r="X66" s="111"/>
      <c r="Y66" s="111"/>
      <c r="Z66" s="111"/>
      <c r="AA66" s="111"/>
      <c r="AB66" s="111"/>
      <c r="AC66" s="111"/>
      <c r="AD66" s="111"/>
      <c r="AE66" s="111"/>
      <c r="AF66" s="111"/>
      <c r="AG66" s="111"/>
      <c r="AH66" s="111"/>
      <c r="AI66" s="111"/>
      <c r="AJ66" s="112"/>
      <c r="AK66" s="49"/>
      <c r="AL66" s="49"/>
      <c r="AM66" s="122"/>
      <c r="AN66" s="123"/>
      <c r="AO66" s="123"/>
      <c r="AP66" s="123"/>
      <c r="AQ66" s="123"/>
      <c r="AR66" s="123"/>
      <c r="AS66" s="123"/>
      <c r="AT66" s="124"/>
      <c r="AU66" s="122"/>
      <c r="AV66" s="123"/>
      <c r="AW66" s="123"/>
      <c r="AX66" s="123"/>
      <c r="AY66" s="123"/>
      <c r="AZ66" s="123"/>
      <c r="BA66" s="123"/>
      <c r="BB66" s="124"/>
      <c r="BC66" s="39"/>
      <c r="BD66" s="39"/>
      <c r="BE66" s="39"/>
      <c r="BF66" s="83"/>
      <c r="BG66" s="84"/>
      <c r="BH66" s="84"/>
      <c r="BI66" s="84"/>
      <c r="BJ66" s="83"/>
      <c r="BK66" s="84"/>
      <c r="BL66" s="84"/>
      <c r="BM66" s="84"/>
      <c r="BN66" s="83"/>
      <c r="BO66" s="84"/>
      <c r="BP66" s="84"/>
      <c r="BQ66" s="87"/>
      <c r="BR66" s="37"/>
      <c r="BS66" s="24"/>
    </row>
    <row r="67" spans="1:71" ht="15.6" customHeight="1" x14ac:dyDescent="0.4">
      <c r="C67" s="32"/>
      <c r="D67" s="50"/>
      <c r="E67" s="50"/>
      <c r="F67" s="50"/>
      <c r="G67" s="50"/>
      <c r="H67" s="50"/>
      <c r="I67" s="50"/>
      <c r="J67" s="50"/>
      <c r="K67" s="50"/>
      <c r="L67" s="50"/>
      <c r="M67" s="50"/>
      <c r="N67" s="51"/>
      <c r="O67" s="51"/>
      <c r="P67" s="51"/>
      <c r="Q67" s="51"/>
      <c r="R67" s="52"/>
      <c r="S67" s="52"/>
      <c r="T67" s="52"/>
      <c r="U67" s="110"/>
      <c r="V67" s="111"/>
      <c r="W67" s="111"/>
      <c r="X67" s="111"/>
      <c r="Y67" s="111"/>
      <c r="Z67" s="111"/>
      <c r="AA67" s="111"/>
      <c r="AB67" s="111"/>
      <c r="AC67" s="111"/>
      <c r="AD67" s="111"/>
      <c r="AE67" s="111"/>
      <c r="AF67" s="111"/>
      <c r="AG67" s="111"/>
      <c r="AH67" s="111"/>
      <c r="AI67" s="111"/>
      <c r="AJ67" s="112"/>
      <c r="AK67" s="49"/>
      <c r="AL67" s="49"/>
      <c r="AM67" s="125"/>
      <c r="AN67" s="126"/>
      <c r="AO67" s="126"/>
      <c r="AP67" s="126"/>
      <c r="AQ67" s="126"/>
      <c r="AR67" s="126"/>
      <c r="AS67" s="126"/>
      <c r="AT67" s="127"/>
      <c r="AU67" s="125"/>
      <c r="AV67" s="126"/>
      <c r="AW67" s="126"/>
      <c r="AX67" s="126"/>
      <c r="AY67" s="126"/>
      <c r="AZ67" s="126"/>
      <c r="BA67" s="126"/>
      <c r="BB67" s="127"/>
      <c r="BC67" s="39"/>
      <c r="BD67" s="34"/>
      <c r="BE67" s="34"/>
      <c r="BF67" s="83"/>
      <c r="BG67" s="84"/>
      <c r="BH67" s="84"/>
      <c r="BI67" s="84"/>
      <c r="BJ67" s="83"/>
      <c r="BK67" s="84"/>
      <c r="BL67" s="84"/>
      <c r="BM67" s="84"/>
      <c r="BN67" s="83"/>
      <c r="BO67" s="84"/>
      <c r="BP67" s="84"/>
      <c r="BQ67" s="87"/>
      <c r="BR67" s="37"/>
      <c r="BS67" s="24"/>
    </row>
    <row r="68" spans="1:71" ht="15.6" customHeight="1" x14ac:dyDescent="0.4">
      <c r="C68" s="32"/>
      <c r="D68" s="134" t="s">
        <v>26</v>
      </c>
      <c r="E68" s="135"/>
      <c r="F68" s="135"/>
      <c r="G68" s="135"/>
      <c r="H68" s="135"/>
      <c r="I68" s="135"/>
      <c r="J68" s="135"/>
      <c r="K68" s="135"/>
      <c r="L68" s="135"/>
      <c r="M68" s="136"/>
      <c r="N68" s="98" t="str">
        <f>IF([10]回答表!AA44="●","●","")</f>
        <v/>
      </c>
      <c r="O68" s="99"/>
      <c r="P68" s="99"/>
      <c r="Q68" s="100"/>
      <c r="R68" s="38"/>
      <c r="S68" s="38"/>
      <c r="T68" s="38"/>
      <c r="U68" s="110"/>
      <c r="V68" s="111"/>
      <c r="W68" s="111"/>
      <c r="X68" s="111"/>
      <c r="Y68" s="111"/>
      <c r="Z68" s="111"/>
      <c r="AA68" s="111"/>
      <c r="AB68" s="111"/>
      <c r="AC68" s="111"/>
      <c r="AD68" s="111"/>
      <c r="AE68" s="111"/>
      <c r="AF68" s="111"/>
      <c r="AG68" s="111"/>
      <c r="AH68" s="111"/>
      <c r="AI68" s="111"/>
      <c r="AJ68" s="112"/>
      <c r="AK68" s="49"/>
      <c r="AL68" s="49"/>
      <c r="AM68" s="34"/>
      <c r="AN68" s="34"/>
      <c r="AO68" s="34"/>
      <c r="AP68" s="34"/>
      <c r="AQ68" s="34"/>
      <c r="AR68" s="34"/>
      <c r="AS68" s="34"/>
      <c r="AT68" s="34"/>
      <c r="AU68" s="34"/>
      <c r="AV68" s="34"/>
      <c r="AW68" s="34"/>
      <c r="AX68" s="34"/>
      <c r="AY68" s="34"/>
      <c r="AZ68" s="34"/>
      <c r="BA68" s="34"/>
      <c r="BB68" s="34"/>
      <c r="BC68" s="39"/>
      <c r="BD68" s="53"/>
      <c r="BE68" s="53"/>
      <c r="BF68" s="83"/>
      <c r="BG68" s="84"/>
      <c r="BH68" s="84"/>
      <c r="BI68" s="84"/>
      <c r="BJ68" s="83"/>
      <c r="BK68" s="84"/>
      <c r="BL68" s="84"/>
      <c r="BM68" s="84"/>
      <c r="BN68" s="83"/>
      <c r="BO68" s="84"/>
      <c r="BP68" s="84"/>
      <c r="BQ68" s="87"/>
      <c r="BR68" s="37"/>
      <c r="BS68" s="24"/>
    </row>
    <row r="69" spans="1:71" ht="15.6" customHeight="1" x14ac:dyDescent="0.4">
      <c r="C69" s="32"/>
      <c r="D69" s="137"/>
      <c r="E69" s="138"/>
      <c r="F69" s="138"/>
      <c r="G69" s="138"/>
      <c r="H69" s="138"/>
      <c r="I69" s="138"/>
      <c r="J69" s="138"/>
      <c r="K69" s="138"/>
      <c r="L69" s="138"/>
      <c r="M69" s="139"/>
      <c r="N69" s="101"/>
      <c r="O69" s="102"/>
      <c r="P69" s="102"/>
      <c r="Q69" s="103"/>
      <c r="R69" s="38"/>
      <c r="S69" s="38"/>
      <c r="T69" s="38"/>
      <c r="U69" s="110"/>
      <c r="V69" s="111"/>
      <c r="W69" s="111"/>
      <c r="X69" s="111"/>
      <c r="Y69" s="111"/>
      <c r="Z69" s="111"/>
      <c r="AA69" s="111"/>
      <c r="AB69" s="111"/>
      <c r="AC69" s="111"/>
      <c r="AD69" s="111"/>
      <c r="AE69" s="111"/>
      <c r="AF69" s="111"/>
      <c r="AG69" s="111"/>
      <c r="AH69" s="111"/>
      <c r="AI69" s="111"/>
      <c r="AJ69" s="112"/>
      <c r="AK69" s="49"/>
      <c r="AL69" s="49"/>
      <c r="AM69" s="34"/>
      <c r="AN69" s="34"/>
      <c r="AO69" s="34"/>
      <c r="AP69" s="34"/>
      <c r="AQ69" s="34"/>
      <c r="AR69" s="34"/>
      <c r="AS69" s="34"/>
      <c r="AT69" s="34"/>
      <c r="AU69" s="34"/>
      <c r="AV69" s="34"/>
      <c r="AW69" s="34"/>
      <c r="AX69" s="34"/>
      <c r="AY69" s="34"/>
      <c r="AZ69" s="34"/>
      <c r="BA69" s="34"/>
      <c r="BB69" s="34"/>
      <c r="BC69" s="39"/>
      <c r="BD69" s="53"/>
      <c r="BE69" s="53"/>
      <c r="BF69" s="83" t="s">
        <v>23</v>
      </c>
      <c r="BG69" s="84"/>
      <c r="BH69" s="84"/>
      <c r="BI69" s="84"/>
      <c r="BJ69" s="83" t="s">
        <v>24</v>
      </c>
      <c r="BK69" s="84"/>
      <c r="BL69" s="84"/>
      <c r="BM69" s="84"/>
      <c r="BN69" s="83" t="s">
        <v>25</v>
      </c>
      <c r="BO69" s="84"/>
      <c r="BP69" s="84"/>
      <c r="BQ69" s="87"/>
      <c r="BR69" s="37"/>
      <c r="BS69" s="24"/>
    </row>
    <row r="70" spans="1:71" ht="15.6" customHeight="1" x14ac:dyDescent="0.4">
      <c r="C70" s="32"/>
      <c r="D70" s="137"/>
      <c r="E70" s="138"/>
      <c r="F70" s="138"/>
      <c r="G70" s="138"/>
      <c r="H70" s="138"/>
      <c r="I70" s="138"/>
      <c r="J70" s="138"/>
      <c r="K70" s="138"/>
      <c r="L70" s="138"/>
      <c r="M70" s="139"/>
      <c r="N70" s="101"/>
      <c r="O70" s="102"/>
      <c r="P70" s="102"/>
      <c r="Q70" s="103"/>
      <c r="R70" s="38"/>
      <c r="S70" s="38"/>
      <c r="T70" s="38"/>
      <c r="U70" s="110"/>
      <c r="V70" s="111"/>
      <c r="W70" s="111"/>
      <c r="X70" s="111"/>
      <c r="Y70" s="111"/>
      <c r="Z70" s="111"/>
      <c r="AA70" s="111"/>
      <c r="AB70" s="111"/>
      <c r="AC70" s="111"/>
      <c r="AD70" s="111"/>
      <c r="AE70" s="111"/>
      <c r="AF70" s="111"/>
      <c r="AG70" s="111"/>
      <c r="AH70" s="111"/>
      <c r="AI70" s="111"/>
      <c r="AJ70" s="112"/>
      <c r="AK70" s="49"/>
      <c r="AL70" s="49"/>
      <c r="AM70" s="34"/>
      <c r="AN70" s="34"/>
      <c r="AO70" s="34"/>
      <c r="AP70" s="34"/>
      <c r="AQ70" s="34"/>
      <c r="AR70" s="34"/>
      <c r="AS70" s="34"/>
      <c r="AT70" s="34"/>
      <c r="AU70" s="34"/>
      <c r="AV70" s="34"/>
      <c r="AW70" s="34"/>
      <c r="AX70" s="34"/>
      <c r="AY70" s="34"/>
      <c r="AZ70" s="34"/>
      <c r="BA70" s="34"/>
      <c r="BB70" s="34"/>
      <c r="BC70" s="39"/>
      <c r="BD70" s="53"/>
      <c r="BE70" s="53"/>
      <c r="BF70" s="83"/>
      <c r="BG70" s="84"/>
      <c r="BH70" s="84"/>
      <c r="BI70" s="84"/>
      <c r="BJ70" s="83"/>
      <c r="BK70" s="84"/>
      <c r="BL70" s="84"/>
      <c r="BM70" s="84"/>
      <c r="BN70" s="83"/>
      <c r="BO70" s="84"/>
      <c r="BP70" s="84"/>
      <c r="BQ70" s="87"/>
      <c r="BR70" s="37"/>
      <c r="BS70" s="24"/>
    </row>
    <row r="71" spans="1:71" ht="15.6" customHeight="1" x14ac:dyDescent="0.4">
      <c r="C71" s="32"/>
      <c r="D71" s="140"/>
      <c r="E71" s="141"/>
      <c r="F71" s="141"/>
      <c r="G71" s="141"/>
      <c r="H71" s="141"/>
      <c r="I71" s="141"/>
      <c r="J71" s="141"/>
      <c r="K71" s="141"/>
      <c r="L71" s="141"/>
      <c r="M71" s="142"/>
      <c r="N71" s="104"/>
      <c r="O71" s="105"/>
      <c r="P71" s="105"/>
      <c r="Q71" s="106"/>
      <c r="R71" s="38"/>
      <c r="S71" s="38"/>
      <c r="T71" s="38"/>
      <c r="U71" s="113"/>
      <c r="V71" s="114"/>
      <c r="W71" s="114"/>
      <c r="X71" s="114"/>
      <c r="Y71" s="114"/>
      <c r="Z71" s="114"/>
      <c r="AA71" s="114"/>
      <c r="AB71" s="114"/>
      <c r="AC71" s="114"/>
      <c r="AD71" s="114"/>
      <c r="AE71" s="114"/>
      <c r="AF71" s="114"/>
      <c r="AG71" s="114"/>
      <c r="AH71" s="114"/>
      <c r="AI71" s="114"/>
      <c r="AJ71" s="115"/>
      <c r="AK71" s="49"/>
      <c r="AL71" s="49"/>
      <c r="AM71" s="34"/>
      <c r="AN71" s="34"/>
      <c r="AO71" s="34"/>
      <c r="AP71" s="34"/>
      <c r="AQ71" s="34"/>
      <c r="AR71" s="34"/>
      <c r="AS71" s="34"/>
      <c r="AT71" s="34"/>
      <c r="AU71" s="34"/>
      <c r="AV71" s="34"/>
      <c r="AW71" s="34"/>
      <c r="AX71" s="34"/>
      <c r="AY71" s="34"/>
      <c r="AZ71" s="34"/>
      <c r="BA71" s="34"/>
      <c r="BB71" s="34"/>
      <c r="BC71" s="39"/>
      <c r="BD71" s="53"/>
      <c r="BE71" s="53"/>
      <c r="BF71" s="85"/>
      <c r="BG71" s="86"/>
      <c r="BH71" s="86"/>
      <c r="BI71" s="86"/>
      <c r="BJ71" s="85"/>
      <c r="BK71" s="86"/>
      <c r="BL71" s="86"/>
      <c r="BM71" s="86"/>
      <c r="BN71" s="85"/>
      <c r="BO71" s="86"/>
      <c r="BP71" s="86"/>
      <c r="BQ71" s="88"/>
      <c r="BR71" s="37"/>
      <c r="BS71" s="24"/>
    </row>
    <row r="72" spans="1:71" ht="15.6" customHeight="1" x14ac:dyDescent="0.5">
      <c r="C72" s="32"/>
      <c r="D72" s="50"/>
      <c r="E72" s="50"/>
      <c r="F72" s="50"/>
      <c r="G72" s="50"/>
      <c r="H72" s="50"/>
      <c r="I72" s="50"/>
      <c r="J72" s="50"/>
      <c r="K72" s="50"/>
      <c r="L72" s="50"/>
      <c r="M72" s="50"/>
      <c r="N72" s="19"/>
      <c r="O72" s="19"/>
      <c r="P72" s="19"/>
      <c r="Q72" s="19"/>
      <c r="R72" s="38"/>
      <c r="S72" s="38"/>
      <c r="T72" s="38"/>
      <c r="U72" s="38"/>
      <c r="V72" s="38"/>
      <c r="W72" s="38"/>
      <c r="X72" s="18"/>
      <c r="Y72" s="18"/>
      <c r="Z72" s="18"/>
      <c r="AA72" s="35"/>
      <c r="AB72" s="35"/>
      <c r="AC72" s="35"/>
      <c r="AD72" s="35"/>
      <c r="AE72" s="35"/>
      <c r="AF72" s="35"/>
      <c r="AG72" s="35"/>
      <c r="AH72" s="35"/>
      <c r="AI72" s="35"/>
      <c r="AJ72" s="18"/>
      <c r="AK72" s="18"/>
      <c r="AL72" s="18"/>
      <c r="AM72" s="34"/>
      <c r="AN72" s="34"/>
      <c r="AO72" s="34"/>
      <c r="AP72" s="34"/>
      <c r="AQ72" s="34"/>
      <c r="AR72" s="34"/>
      <c r="AS72" s="34"/>
      <c r="AT72" s="34"/>
      <c r="AU72" s="34"/>
      <c r="AV72" s="34"/>
      <c r="AW72" s="34"/>
      <c r="AX72" s="34"/>
      <c r="AY72" s="34"/>
      <c r="AZ72" s="34"/>
      <c r="BA72" s="34"/>
      <c r="BB72" s="34"/>
      <c r="BC72" s="18"/>
      <c r="BD72" s="18"/>
      <c r="BE72" s="18"/>
      <c r="BF72" s="18"/>
      <c r="BG72" s="18"/>
      <c r="BH72" s="18"/>
      <c r="BI72" s="18"/>
      <c r="BJ72" s="18"/>
      <c r="BK72" s="18"/>
      <c r="BL72" s="18"/>
      <c r="BM72" s="18"/>
      <c r="BN72" s="18"/>
      <c r="BO72" s="18"/>
      <c r="BP72" s="18"/>
      <c r="BQ72" s="18"/>
      <c r="BR72" s="37"/>
      <c r="BS72" s="24"/>
    </row>
    <row r="73" spans="1:71" ht="18.600000000000001" customHeight="1" x14ac:dyDescent="0.5">
      <c r="C73" s="32"/>
      <c r="D73" s="50"/>
      <c r="E73" s="50"/>
      <c r="F73" s="50"/>
      <c r="G73" s="50"/>
      <c r="H73" s="50"/>
      <c r="I73" s="50"/>
      <c r="J73" s="50"/>
      <c r="K73" s="50"/>
      <c r="L73" s="50"/>
      <c r="M73" s="50"/>
      <c r="N73" s="19"/>
      <c r="O73" s="19"/>
      <c r="P73" s="19"/>
      <c r="Q73" s="19"/>
      <c r="R73" s="38"/>
      <c r="S73" s="38"/>
      <c r="T73" s="38"/>
      <c r="U73" s="42" t="s">
        <v>31</v>
      </c>
      <c r="V73" s="38"/>
      <c r="W73" s="38"/>
      <c r="X73" s="38"/>
      <c r="Y73" s="38"/>
      <c r="Z73" s="38"/>
      <c r="AA73" s="35"/>
      <c r="AB73" s="43"/>
      <c r="AC73" s="35"/>
      <c r="AD73" s="35"/>
      <c r="AE73" s="35"/>
      <c r="AF73" s="35"/>
      <c r="AG73" s="35"/>
      <c r="AH73" s="35"/>
      <c r="AI73" s="35"/>
      <c r="AJ73" s="35"/>
      <c r="AK73" s="35"/>
      <c r="AL73" s="35"/>
      <c r="AM73" s="42" t="s">
        <v>32</v>
      </c>
      <c r="AN73" s="35"/>
      <c r="AO73" s="35"/>
      <c r="AP73" s="35"/>
      <c r="AQ73" s="35"/>
      <c r="AR73" s="35"/>
      <c r="AS73" s="35"/>
      <c r="AT73" s="35"/>
      <c r="AU73" s="35"/>
      <c r="AV73" s="35"/>
      <c r="AW73" s="35"/>
      <c r="AX73" s="34"/>
      <c r="AY73" s="34"/>
      <c r="AZ73" s="34"/>
      <c r="BA73" s="34"/>
      <c r="BB73" s="34"/>
      <c r="BC73" s="34"/>
      <c r="BD73" s="34"/>
      <c r="BE73" s="34"/>
      <c r="BF73" s="34"/>
      <c r="BG73" s="34"/>
      <c r="BH73" s="34"/>
      <c r="BI73" s="34"/>
      <c r="BJ73" s="34"/>
      <c r="BK73" s="34"/>
      <c r="BL73" s="34"/>
      <c r="BM73" s="34"/>
      <c r="BN73" s="34"/>
      <c r="BO73" s="34"/>
      <c r="BP73" s="34"/>
      <c r="BQ73" s="18"/>
      <c r="BR73" s="37"/>
      <c r="BS73" s="24"/>
    </row>
    <row r="74" spans="1:71" ht="15.6" customHeight="1" x14ac:dyDescent="0.4">
      <c r="C74" s="32"/>
      <c r="D74" s="89" t="s">
        <v>33</v>
      </c>
      <c r="E74" s="90"/>
      <c r="F74" s="90"/>
      <c r="G74" s="90"/>
      <c r="H74" s="90"/>
      <c r="I74" s="90"/>
      <c r="J74" s="90"/>
      <c r="K74" s="90"/>
      <c r="L74" s="90"/>
      <c r="M74" s="91"/>
      <c r="N74" s="98" t="str">
        <f>IF([10]回答表!AD44="●","●","")</f>
        <v/>
      </c>
      <c r="O74" s="99"/>
      <c r="P74" s="99"/>
      <c r="Q74" s="100"/>
      <c r="R74" s="38"/>
      <c r="S74" s="38"/>
      <c r="T74" s="38"/>
      <c r="U74" s="107" t="str">
        <f>IF([10]回答表!AD44="●",[10]回答表!B140,"")</f>
        <v/>
      </c>
      <c r="V74" s="108"/>
      <c r="W74" s="108"/>
      <c r="X74" s="108"/>
      <c r="Y74" s="108"/>
      <c r="Z74" s="108"/>
      <c r="AA74" s="108"/>
      <c r="AB74" s="108"/>
      <c r="AC74" s="108"/>
      <c r="AD74" s="108"/>
      <c r="AE74" s="108"/>
      <c r="AF74" s="108"/>
      <c r="AG74" s="108"/>
      <c r="AH74" s="108"/>
      <c r="AI74" s="108"/>
      <c r="AJ74" s="109"/>
      <c r="AK74" s="55"/>
      <c r="AL74" s="55"/>
      <c r="AM74" s="107" t="str">
        <f>IF([10]回答表!AD44="●",[10]回答表!B146,"")</f>
        <v/>
      </c>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9"/>
      <c r="BR74" s="37"/>
      <c r="BS74" s="24"/>
    </row>
    <row r="75" spans="1:71" ht="15.6" customHeight="1" x14ac:dyDescent="0.4">
      <c r="C75" s="32"/>
      <c r="D75" s="92"/>
      <c r="E75" s="93"/>
      <c r="F75" s="93"/>
      <c r="G75" s="93"/>
      <c r="H75" s="93"/>
      <c r="I75" s="93"/>
      <c r="J75" s="93"/>
      <c r="K75" s="93"/>
      <c r="L75" s="93"/>
      <c r="M75" s="94"/>
      <c r="N75" s="101"/>
      <c r="O75" s="102"/>
      <c r="P75" s="102"/>
      <c r="Q75" s="103"/>
      <c r="R75" s="38"/>
      <c r="S75" s="38"/>
      <c r="T75" s="38"/>
      <c r="U75" s="110"/>
      <c r="V75" s="111"/>
      <c r="W75" s="111"/>
      <c r="X75" s="111"/>
      <c r="Y75" s="111"/>
      <c r="Z75" s="111"/>
      <c r="AA75" s="111"/>
      <c r="AB75" s="111"/>
      <c r="AC75" s="111"/>
      <c r="AD75" s="111"/>
      <c r="AE75" s="111"/>
      <c r="AF75" s="111"/>
      <c r="AG75" s="111"/>
      <c r="AH75" s="111"/>
      <c r="AI75" s="111"/>
      <c r="AJ75" s="112"/>
      <c r="AK75" s="55"/>
      <c r="AL75" s="55"/>
      <c r="AM75" s="110"/>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2"/>
      <c r="BR75" s="37"/>
      <c r="BS75" s="24"/>
    </row>
    <row r="76" spans="1:71" ht="15.6" customHeight="1" x14ac:dyDescent="0.4">
      <c r="C76" s="32"/>
      <c r="D76" s="92"/>
      <c r="E76" s="93"/>
      <c r="F76" s="93"/>
      <c r="G76" s="93"/>
      <c r="H76" s="93"/>
      <c r="I76" s="93"/>
      <c r="J76" s="93"/>
      <c r="K76" s="93"/>
      <c r="L76" s="93"/>
      <c r="M76" s="94"/>
      <c r="N76" s="101"/>
      <c r="O76" s="102"/>
      <c r="P76" s="102"/>
      <c r="Q76" s="103"/>
      <c r="R76" s="38"/>
      <c r="S76" s="38"/>
      <c r="T76" s="38"/>
      <c r="U76" s="110"/>
      <c r="V76" s="111"/>
      <c r="W76" s="111"/>
      <c r="X76" s="111"/>
      <c r="Y76" s="111"/>
      <c r="Z76" s="111"/>
      <c r="AA76" s="111"/>
      <c r="AB76" s="111"/>
      <c r="AC76" s="111"/>
      <c r="AD76" s="111"/>
      <c r="AE76" s="111"/>
      <c r="AF76" s="111"/>
      <c r="AG76" s="111"/>
      <c r="AH76" s="111"/>
      <c r="AI76" s="111"/>
      <c r="AJ76" s="112"/>
      <c r="AK76" s="55"/>
      <c r="AL76" s="55"/>
      <c r="AM76" s="110"/>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2"/>
      <c r="BR76" s="37"/>
      <c r="BS76" s="24"/>
    </row>
    <row r="77" spans="1:71" ht="15.6" customHeight="1" x14ac:dyDescent="0.4">
      <c r="C77" s="32"/>
      <c r="D77" s="95"/>
      <c r="E77" s="96"/>
      <c r="F77" s="96"/>
      <c r="G77" s="96"/>
      <c r="H77" s="96"/>
      <c r="I77" s="96"/>
      <c r="J77" s="96"/>
      <c r="K77" s="96"/>
      <c r="L77" s="96"/>
      <c r="M77" s="97"/>
      <c r="N77" s="104"/>
      <c r="O77" s="105"/>
      <c r="P77" s="105"/>
      <c r="Q77" s="106"/>
      <c r="R77" s="38"/>
      <c r="S77" s="38"/>
      <c r="T77" s="38"/>
      <c r="U77" s="113"/>
      <c r="V77" s="114"/>
      <c r="W77" s="114"/>
      <c r="X77" s="114"/>
      <c r="Y77" s="114"/>
      <c r="Z77" s="114"/>
      <c r="AA77" s="114"/>
      <c r="AB77" s="114"/>
      <c r="AC77" s="114"/>
      <c r="AD77" s="114"/>
      <c r="AE77" s="114"/>
      <c r="AF77" s="114"/>
      <c r="AG77" s="114"/>
      <c r="AH77" s="114"/>
      <c r="AI77" s="114"/>
      <c r="AJ77" s="115"/>
      <c r="AK77" s="55"/>
      <c r="AL77" s="55"/>
      <c r="AM77" s="113"/>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5"/>
      <c r="BR77" s="37"/>
      <c r="BS77" s="24"/>
    </row>
    <row r="78" spans="1:71" ht="15.6" customHeight="1" x14ac:dyDescent="0.4">
      <c r="C78" s="56"/>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8"/>
      <c r="BS78" s="24"/>
    </row>
    <row r="79" spans="1:71" ht="15.6" customHeight="1" x14ac:dyDescent="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row>
    <row r="80" spans="1:71" ht="15.6" customHeight="1" x14ac:dyDescent="0.4">
      <c r="C80" s="26"/>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171"/>
      <c r="AS80" s="171"/>
      <c r="AT80" s="171"/>
      <c r="AU80" s="171"/>
      <c r="AV80" s="171"/>
      <c r="AW80" s="171"/>
      <c r="AX80" s="171"/>
      <c r="AY80" s="171"/>
      <c r="AZ80" s="171"/>
      <c r="BA80" s="171"/>
      <c r="BB80" s="171"/>
      <c r="BC80" s="28"/>
      <c r="BD80" s="29"/>
      <c r="BE80" s="29"/>
      <c r="BF80" s="29"/>
      <c r="BG80" s="29"/>
      <c r="BH80" s="29"/>
      <c r="BI80" s="29"/>
      <c r="BJ80" s="29"/>
      <c r="BK80" s="29"/>
      <c r="BL80" s="29"/>
      <c r="BM80" s="29"/>
      <c r="BN80" s="29"/>
      <c r="BO80" s="29"/>
      <c r="BP80" s="29"/>
      <c r="BQ80" s="29"/>
      <c r="BR80" s="30"/>
    </row>
    <row r="81" spans="3:70" ht="15.6" customHeight="1" x14ac:dyDescent="0.5">
      <c r="C81" s="32"/>
      <c r="D81" s="38"/>
      <c r="E81" s="38"/>
      <c r="F81" s="38"/>
      <c r="G81" s="38"/>
      <c r="H81" s="38"/>
      <c r="I81" s="38"/>
      <c r="J81" s="38"/>
      <c r="K81" s="38"/>
      <c r="L81" s="38"/>
      <c r="M81" s="38"/>
      <c r="N81" s="38"/>
      <c r="O81" s="38"/>
      <c r="P81" s="38"/>
      <c r="Q81" s="38"/>
      <c r="R81" s="38"/>
      <c r="S81" s="38"/>
      <c r="T81" s="38"/>
      <c r="U81" s="38"/>
      <c r="V81" s="38"/>
      <c r="W81" s="38"/>
      <c r="X81" s="18"/>
      <c r="Y81" s="18"/>
      <c r="Z81" s="18"/>
      <c r="AA81" s="34"/>
      <c r="AB81" s="39"/>
      <c r="AC81" s="39"/>
      <c r="AD81" s="39"/>
      <c r="AE81" s="39"/>
      <c r="AF81" s="39"/>
      <c r="AG81" s="39"/>
      <c r="AH81" s="39"/>
      <c r="AI81" s="39"/>
      <c r="AJ81" s="39"/>
      <c r="AK81" s="39"/>
      <c r="AL81" s="39"/>
      <c r="AM81" s="39"/>
      <c r="AN81" s="36"/>
      <c r="AO81" s="39"/>
      <c r="AP81" s="40"/>
      <c r="AQ81" s="40"/>
      <c r="AR81" s="192"/>
      <c r="AS81" s="192"/>
      <c r="AT81" s="192"/>
      <c r="AU81" s="192"/>
      <c r="AV81" s="192"/>
      <c r="AW81" s="192"/>
      <c r="AX81" s="192"/>
      <c r="AY81" s="192"/>
      <c r="AZ81" s="192"/>
      <c r="BA81" s="192"/>
      <c r="BB81" s="192"/>
      <c r="BC81" s="33"/>
      <c r="BD81" s="34"/>
      <c r="BE81" s="34"/>
      <c r="BF81" s="34"/>
      <c r="BG81" s="34"/>
      <c r="BH81" s="34"/>
      <c r="BI81" s="34"/>
      <c r="BJ81" s="34"/>
      <c r="BK81" s="34"/>
      <c r="BL81" s="34"/>
      <c r="BM81" s="34"/>
      <c r="BN81" s="35"/>
      <c r="BO81" s="35"/>
      <c r="BP81" s="35"/>
      <c r="BQ81" s="36"/>
      <c r="BR81" s="37"/>
    </row>
    <row r="82" spans="3:70" ht="15.6" customHeight="1" x14ac:dyDescent="0.5">
      <c r="C82" s="32"/>
      <c r="D82" s="144" t="s">
        <v>14</v>
      </c>
      <c r="E82" s="145"/>
      <c r="F82" s="145"/>
      <c r="G82" s="145"/>
      <c r="H82" s="145"/>
      <c r="I82" s="145"/>
      <c r="J82" s="145"/>
      <c r="K82" s="145"/>
      <c r="L82" s="145"/>
      <c r="M82" s="145"/>
      <c r="N82" s="145"/>
      <c r="O82" s="145"/>
      <c r="P82" s="145"/>
      <c r="Q82" s="146"/>
      <c r="R82" s="89" t="s">
        <v>38</v>
      </c>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c r="AY82" s="90"/>
      <c r="AZ82" s="90"/>
      <c r="BA82" s="90"/>
      <c r="BB82" s="91"/>
      <c r="BC82" s="33"/>
      <c r="BD82" s="34"/>
      <c r="BE82" s="34"/>
      <c r="BF82" s="34"/>
      <c r="BG82" s="34"/>
      <c r="BH82" s="34"/>
      <c r="BI82" s="34"/>
      <c r="BJ82" s="34"/>
      <c r="BK82" s="34"/>
      <c r="BL82" s="34"/>
      <c r="BM82" s="34"/>
      <c r="BN82" s="35"/>
      <c r="BO82" s="35"/>
      <c r="BP82" s="35"/>
      <c r="BQ82" s="36"/>
      <c r="BR82" s="37"/>
    </row>
    <row r="83" spans="3:70" ht="15.6" customHeight="1" x14ac:dyDescent="0.5">
      <c r="C83" s="32"/>
      <c r="D83" s="147"/>
      <c r="E83" s="148"/>
      <c r="F83" s="148"/>
      <c r="G83" s="148"/>
      <c r="H83" s="148"/>
      <c r="I83" s="148"/>
      <c r="J83" s="148"/>
      <c r="K83" s="148"/>
      <c r="L83" s="148"/>
      <c r="M83" s="148"/>
      <c r="N83" s="148"/>
      <c r="O83" s="148"/>
      <c r="P83" s="148"/>
      <c r="Q83" s="149"/>
      <c r="R83" s="95"/>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7"/>
      <c r="BC83" s="33"/>
      <c r="BD83" s="34"/>
      <c r="BE83" s="34"/>
      <c r="BF83" s="34"/>
      <c r="BG83" s="34"/>
      <c r="BH83" s="34"/>
      <c r="BI83" s="34"/>
      <c r="BJ83" s="34"/>
      <c r="BK83" s="34"/>
      <c r="BL83" s="34"/>
      <c r="BM83" s="34"/>
      <c r="BN83" s="35"/>
      <c r="BO83" s="35"/>
      <c r="BP83" s="35"/>
      <c r="BQ83" s="36"/>
      <c r="BR83" s="37"/>
    </row>
    <row r="84" spans="3:70" ht="15.6" customHeight="1" x14ac:dyDescent="0.5">
      <c r="C84" s="32"/>
      <c r="D84" s="38"/>
      <c r="E84" s="38"/>
      <c r="F84" s="38"/>
      <c r="G84" s="38"/>
      <c r="H84" s="38"/>
      <c r="I84" s="38"/>
      <c r="J84" s="38"/>
      <c r="K84" s="38"/>
      <c r="L84" s="38"/>
      <c r="M84" s="38"/>
      <c r="N84" s="38"/>
      <c r="O84" s="38"/>
      <c r="P84" s="38"/>
      <c r="Q84" s="38"/>
      <c r="R84" s="38"/>
      <c r="S84" s="38"/>
      <c r="T84" s="38"/>
      <c r="U84" s="38"/>
      <c r="V84" s="38"/>
      <c r="W84" s="38"/>
      <c r="X84" s="18"/>
      <c r="Y84" s="18"/>
      <c r="Z84" s="18"/>
      <c r="AA84" s="34"/>
      <c r="AB84" s="39"/>
      <c r="AC84" s="39"/>
      <c r="AD84" s="39"/>
      <c r="AE84" s="39"/>
      <c r="AF84" s="39"/>
      <c r="AG84" s="39"/>
      <c r="AH84" s="39"/>
      <c r="AI84" s="39"/>
      <c r="AJ84" s="39"/>
      <c r="AK84" s="39"/>
      <c r="AL84" s="39"/>
      <c r="AM84" s="39"/>
      <c r="AN84" s="36"/>
      <c r="AO84" s="39"/>
      <c r="AP84" s="40"/>
      <c r="AQ84" s="40"/>
      <c r="AR84" s="41"/>
      <c r="AS84" s="41"/>
      <c r="AT84" s="41"/>
      <c r="AU84" s="41"/>
      <c r="AV84" s="41"/>
      <c r="AW84" s="41"/>
      <c r="AX84" s="41"/>
      <c r="AY84" s="41"/>
      <c r="AZ84" s="41"/>
      <c r="BA84" s="41"/>
      <c r="BB84" s="41"/>
      <c r="BC84" s="33"/>
      <c r="BD84" s="34"/>
      <c r="BE84" s="34"/>
      <c r="BF84" s="34"/>
      <c r="BG84" s="34"/>
      <c r="BH84" s="34"/>
      <c r="BI84" s="34"/>
      <c r="BJ84" s="34"/>
      <c r="BK84" s="34"/>
      <c r="BL84" s="34"/>
      <c r="BM84" s="34"/>
      <c r="BN84" s="35"/>
      <c r="BO84" s="35"/>
      <c r="BP84" s="35"/>
      <c r="BQ84" s="36"/>
      <c r="BR84" s="37"/>
    </row>
    <row r="85" spans="3:70" ht="25.5" x14ac:dyDescent="0.5">
      <c r="C85" s="32"/>
      <c r="D85" s="38"/>
      <c r="E85" s="38"/>
      <c r="F85" s="38"/>
      <c r="G85" s="38"/>
      <c r="H85" s="38"/>
      <c r="I85" s="38"/>
      <c r="J85" s="38"/>
      <c r="K85" s="38"/>
      <c r="L85" s="38"/>
      <c r="M85" s="38"/>
      <c r="N85" s="38"/>
      <c r="O85" s="38"/>
      <c r="P85" s="38"/>
      <c r="Q85" s="38"/>
      <c r="R85" s="38"/>
      <c r="S85" s="38"/>
      <c r="T85" s="38"/>
      <c r="U85" s="42" t="s">
        <v>39</v>
      </c>
      <c r="V85" s="44"/>
      <c r="W85" s="43"/>
      <c r="X85" s="45"/>
      <c r="Y85" s="45"/>
      <c r="Z85" s="46"/>
      <c r="AA85" s="46"/>
      <c r="AB85" s="46"/>
      <c r="AC85" s="46"/>
      <c r="AD85" s="46"/>
      <c r="AE85" s="46"/>
      <c r="AF85" s="46"/>
      <c r="AG85" s="46"/>
      <c r="AH85" s="46"/>
      <c r="AI85" s="46"/>
      <c r="AJ85" s="46"/>
      <c r="AK85" s="43"/>
      <c r="AL85" s="43"/>
      <c r="AM85" s="42" t="s">
        <v>35</v>
      </c>
      <c r="AN85" s="38"/>
      <c r="AO85" s="38"/>
      <c r="AP85" s="38"/>
      <c r="AQ85" s="38"/>
      <c r="AR85" s="38"/>
      <c r="AS85" s="35"/>
      <c r="AT85" s="43"/>
      <c r="AU85" s="43"/>
      <c r="AV85" s="43"/>
      <c r="AW85" s="43"/>
      <c r="AX85" s="43"/>
      <c r="AY85" s="43"/>
      <c r="AZ85" s="43"/>
      <c r="BA85" s="43"/>
      <c r="BB85" s="43"/>
      <c r="BC85" s="47"/>
      <c r="BD85" s="35"/>
      <c r="BE85" s="35"/>
      <c r="BF85" s="48" t="s">
        <v>17</v>
      </c>
      <c r="BG85" s="59"/>
      <c r="BH85" s="59"/>
      <c r="BI85" s="59"/>
      <c r="BJ85" s="59"/>
      <c r="BK85" s="59"/>
      <c r="BL85" s="59"/>
      <c r="BM85" s="35"/>
      <c r="BN85" s="35"/>
      <c r="BO85" s="35"/>
      <c r="BP85" s="35"/>
      <c r="BQ85" s="36"/>
      <c r="BR85" s="37"/>
    </row>
    <row r="86" spans="3:70" ht="19.350000000000001" customHeight="1" x14ac:dyDescent="0.4">
      <c r="C86" s="32"/>
      <c r="D86" s="190" t="s">
        <v>18</v>
      </c>
      <c r="E86" s="190"/>
      <c r="F86" s="190"/>
      <c r="G86" s="190"/>
      <c r="H86" s="190"/>
      <c r="I86" s="190"/>
      <c r="J86" s="190"/>
      <c r="K86" s="190"/>
      <c r="L86" s="190"/>
      <c r="M86" s="190"/>
      <c r="N86" s="98" t="str">
        <f>IF([10]回答表!F17="水道事業",IF([10]回答表!X45="●","●",""),"")</f>
        <v/>
      </c>
      <c r="O86" s="99"/>
      <c r="P86" s="99"/>
      <c r="Q86" s="100"/>
      <c r="R86" s="38"/>
      <c r="S86" s="38"/>
      <c r="T86" s="38"/>
      <c r="U86" s="229" t="s">
        <v>40</v>
      </c>
      <c r="V86" s="230"/>
      <c r="W86" s="230"/>
      <c r="X86" s="230"/>
      <c r="Y86" s="230"/>
      <c r="Z86" s="230"/>
      <c r="AA86" s="230"/>
      <c r="AB86" s="230"/>
      <c r="AC86" s="220" t="s">
        <v>41</v>
      </c>
      <c r="AD86" s="221"/>
      <c r="AE86" s="221"/>
      <c r="AF86" s="221"/>
      <c r="AG86" s="221"/>
      <c r="AH86" s="221"/>
      <c r="AI86" s="221"/>
      <c r="AJ86" s="224"/>
      <c r="AK86" s="49"/>
      <c r="AL86" s="49"/>
      <c r="AM86" s="211" t="str">
        <f>IF([10]回答表!F17="水道事業",IF([10]回答表!X45="●",[10]回答表!B158,IF([10]回答表!AA45="●",[10]回答表!B223,"")),"")</f>
        <v/>
      </c>
      <c r="AN86" s="212"/>
      <c r="AO86" s="212"/>
      <c r="AP86" s="212"/>
      <c r="AQ86" s="212"/>
      <c r="AR86" s="212"/>
      <c r="AS86" s="212"/>
      <c r="AT86" s="212"/>
      <c r="AU86" s="212"/>
      <c r="AV86" s="212"/>
      <c r="AW86" s="212"/>
      <c r="AX86" s="212"/>
      <c r="AY86" s="212"/>
      <c r="AZ86" s="212"/>
      <c r="BA86" s="212"/>
      <c r="BB86" s="212"/>
      <c r="BC86" s="213"/>
      <c r="BD86" s="34"/>
      <c r="BE86" s="34"/>
      <c r="BF86" s="116" t="str">
        <f>IF([10]回答表!F17="水道事業",IF([10]回答表!X45="●",[10]回答表!B212,IF([10]回答表!AA45="●",[10]回答表!B278,"")),"")</f>
        <v/>
      </c>
      <c r="BG86" s="117"/>
      <c r="BH86" s="117"/>
      <c r="BI86" s="117"/>
      <c r="BJ86" s="116"/>
      <c r="BK86" s="117"/>
      <c r="BL86" s="117"/>
      <c r="BM86" s="117"/>
      <c r="BN86" s="116"/>
      <c r="BO86" s="117"/>
      <c r="BP86" s="117"/>
      <c r="BQ86" s="118"/>
      <c r="BR86" s="37"/>
    </row>
    <row r="87" spans="3:70" ht="19.350000000000001" customHeight="1" x14ac:dyDescent="0.4">
      <c r="C87" s="32"/>
      <c r="D87" s="190"/>
      <c r="E87" s="190"/>
      <c r="F87" s="190"/>
      <c r="G87" s="190"/>
      <c r="H87" s="190"/>
      <c r="I87" s="190"/>
      <c r="J87" s="190"/>
      <c r="K87" s="190"/>
      <c r="L87" s="190"/>
      <c r="M87" s="190"/>
      <c r="N87" s="101"/>
      <c r="O87" s="102"/>
      <c r="P87" s="102"/>
      <c r="Q87" s="103"/>
      <c r="R87" s="38"/>
      <c r="S87" s="38"/>
      <c r="T87" s="38"/>
      <c r="U87" s="238"/>
      <c r="V87" s="239"/>
      <c r="W87" s="239"/>
      <c r="X87" s="239"/>
      <c r="Y87" s="239"/>
      <c r="Z87" s="239"/>
      <c r="AA87" s="239"/>
      <c r="AB87" s="239"/>
      <c r="AC87" s="222"/>
      <c r="AD87" s="223"/>
      <c r="AE87" s="223"/>
      <c r="AF87" s="223"/>
      <c r="AG87" s="223"/>
      <c r="AH87" s="223"/>
      <c r="AI87" s="223"/>
      <c r="AJ87" s="241"/>
      <c r="AK87" s="49"/>
      <c r="AL87" s="49"/>
      <c r="AM87" s="214"/>
      <c r="AN87" s="215"/>
      <c r="AO87" s="215"/>
      <c r="AP87" s="215"/>
      <c r="AQ87" s="215"/>
      <c r="AR87" s="215"/>
      <c r="AS87" s="215"/>
      <c r="AT87" s="215"/>
      <c r="AU87" s="215"/>
      <c r="AV87" s="215"/>
      <c r="AW87" s="215"/>
      <c r="AX87" s="215"/>
      <c r="AY87" s="215"/>
      <c r="AZ87" s="215"/>
      <c r="BA87" s="215"/>
      <c r="BB87" s="215"/>
      <c r="BC87" s="216"/>
      <c r="BD87" s="34"/>
      <c r="BE87" s="34"/>
      <c r="BF87" s="83"/>
      <c r="BG87" s="84"/>
      <c r="BH87" s="84"/>
      <c r="BI87" s="84"/>
      <c r="BJ87" s="83"/>
      <c r="BK87" s="84"/>
      <c r="BL87" s="84"/>
      <c r="BM87" s="84"/>
      <c r="BN87" s="83"/>
      <c r="BO87" s="84"/>
      <c r="BP87" s="84"/>
      <c r="BQ87" s="87"/>
      <c r="BR87" s="37"/>
    </row>
    <row r="88" spans="3:70" ht="15.6" customHeight="1" x14ac:dyDescent="0.4">
      <c r="C88" s="32"/>
      <c r="D88" s="190"/>
      <c r="E88" s="190"/>
      <c r="F88" s="190"/>
      <c r="G88" s="190"/>
      <c r="H88" s="190"/>
      <c r="I88" s="190"/>
      <c r="J88" s="190"/>
      <c r="K88" s="190"/>
      <c r="L88" s="190"/>
      <c r="M88" s="190"/>
      <c r="N88" s="101"/>
      <c r="O88" s="102"/>
      <c r="P88" s="102"/>
      <c r="Q88" s="103"/>
      <c r="R88" s="38"/>
      <c r="S88" s="38"/>
      <c r="T88" s="38"/>
      <c r="U88" s="119" t="str">
        <f>IF([10]回答表!F17="水道事業",IF([10]回答表!X45="●",[10]回答表!J166,IF([10]回答表!AA45="●",[10]回答表!J231,"")),"")</f>
        <v/>
      </c>
      <c r="V88" s="120"/>
      <c r="W88" s="120"/>
      <c r="X88" s="120"/>
      <c r="Y88" s="120"/>
      <c r="Z88" s="120"/>
      <c r="AA88" s="120"/>
      <c r="AB88" s="121"/>
      <c r="AC88" s="119" t="str">
        <f>IF([10]回答表!F17="水道事業",IF([10]回答表!X45="●",[10]回答表!J173,IF([10]回答表!AA45="●",[10]回答表!J238,"")),"")</f>
        <v/>
      </c>
      <c r="AD88" s="120"/>
      <c r="AE88" s="120"/>
      <c r="AF88" s="120"/>
      <c r="AG88" s="120"/>
      <c r="AH88" s="120"/>
      <c r="AI88" s="120"/>
      <c r="AJ88" s="121"/>
      <c r="AK88" s="49"/>
      <c r="AL88" s="49"/>
      <c r="AM88" s="214"/>
      <c r="AN88" s="215"/>
      <c r="AO88" s="215"/>
      <c r="AP88" s="215"/>
      <c r="AQ88" s="215"/>
      <c r="AR88" s="215"/>
      <c r="AS88" s="215"/>
      <c r="AT88" s="215"/>
      <c r="AU88" s="215"/>
      <c r="AV88" s="215"/>
      <c r="AW88" s="215"/>
      <c r="AX88" s="215"/>
      <c r="AY88" s="215"/>
      <c r="AZ88" s="215"/>
      <c r="BA88" s="215"/>
      <c r="BB88" s="215"/>
      <c r="BC88" s="216"/>
      <c r="BD88" s="34"/>
      <c r="BE88" s="34"/>
      <c r="BF88" s="83"/>
      <c r="BG88" s="84"/>
      <c r="BH88" s="84"/>
      <c r="BI88" s="84"/>
      <c r="BJ88" s="83"/>
      <c r="BK88" s="84"/>
      <c r="BL88" s="84"/>
      <c r="BM88" s="84"/>
      <c r="BN88" s="83"/>
      <c r="BO88" s="84"/>
      <c r="BP88" s="84"/>
      <c r="BQ88" s="87"/>
      <c r="BR88" s="37"/>
    </row>
    <row r="89" spans="3:70" ht="15.6" customHeight="1" x14ac:dyDescent="0.4">
      <c r="C89" s="32"/>
      <c r="D89" s="190"/>
      <c r="E89" s="190"/>
      <c r="F89" s="190"/>
      <c r="G89" s="190"/>
      <c r="H89" s="190"/>
      <c r="I89" s="190"/>
      <c r="J89" s="190"/>
      <c r="K89" s="190"/>
      <c r="L89" s="190"/>
      <c r="M89" s="190"/>
      <c r="N89" s="104"/>
      <c r="O89" s="105"/>
      <c r="P89" s="105"/>
      <c r="Q89" s="106"/>
      <c r="R89" s="38"/>
      <c r="S89" s="38"/>
      <c r="T89" s="38"/>
      <c r="U89" s="122"/>
      <c r="V89" s="123"/>
      <c r="W89" s="123"/>
      <c r="X89" s="123"/>
      <c r="Y89" s="123"/>
      <c r="Z89" s="123"/>
      <c r="AA89" s="123"/>
      <c r="AB89" s="124"/>
      <c r="AC89" s="122"/>
      <c r="AD89" s="123"/>
      <c r="AE89" s="123"/>
      <c r="AF89" s="123"/>
      <c r="AG89" s="123"/>
      <c r="AH89" s="123"/>
      <c r="AI89" s="123"/>
      <c r="AJ89" s="124"/>
      <c r="AK89" s="49"/>
      <c r="AL89" s="49"/>
      <c r="AM89" s="214"/>
      <c r="AN89" s="215"/>
      <c r="AO89" s="215"/>
      <c r="AP89" s="215"/>
      <c r="AQ89" s="215"/>
      <c r="AR89" s="215"/>
      <c r="AS89" s="215"/>
      <c r="AT89" s="215"/>
      <c r="AU89" s="215"/>
      <c r="AV89" s="215"/>
      <c r="AW89" s="215"/>
      <c r="AX89" s="215"/>
      <c r="AY89" s="215"/>
      <c r="AZ89" s="215"/>
      <c r="BA89" s="215"/>
      <c r="BB89" s="215"/>
      <c r="BC89" s="216"/>
      <c r="BD89" s="34"/>
      <c r="BE89" s="34"/>
      <c r="BF89" s="83" t="str">
        <f>IF([10]回答表!F17="水道事業",IF([10]回答表!X45="●",[10]回答表!E212,IF([10]回答表!AA45="●",[10]回答表!E278,"")),"")</f>
        <v/>
      </c>
      <c r="BG89" s="84"/>
      <c r="BH89" s="84"/>
      <c r="BI89" s="84"/>
      <c r="BJ89" s="83" t="str">
        <f>IF([10]回答表!F17="水道事業",IF([10]回答表!X45="●",[10]回答表!E213,IF([10]回答表!AA45="●",[10]回答表!E279,"")),"")</f>
        <v/>
      </c>
      <c r="BK89" s="84"/>
      <c r="BL89" s="84"/>
      <c r="BM89" s="84"/>
      <c r="BN89" s="83" t="str">
        <f>IF([10]回答表!F17="水道事業",IF([10]回答表!X45="●",[10]回答表!E214,IF([10]回答表!AA45="●",[10]回答表!E280,"")),"")</f>
        <v/>
      </c>
      <c r="BO89" s="84"/>
      <c r="BP89" s="84"/>
      <c r="BQ89" s="87"/>
      <c r="BR89" s="37"/>
    </row>
    <row r="90" spans="3:70" ht="15.6" customHeight="1" x14ac:dyDescent="0.4">
      <c r="C90" s="32"/>
      <c r="D90" s="50"/>
      <c r="E90" s="50"/>
      <c r="F90" s="50"/>
      <c r="G90" s="50"/>
      <c r="H90" s="50"/>
      <c r="I90" s="50"/>
      <c r="J90" s="50"/>
      <c r="K90" s="50"/>
      <c r="L90" s="50"/>
      <c r="M90" s="50"/>
      <c r="N90" s="51"/>
      <c r="O90" s="51"/>
      <c r="P90" s="51"/>
      <c r="Q90" s="51"/>
      <c r="R90" s="52"/>
      <c r="S90" s="52"/>
      <c r="T90" s="52"/>
      <c r="U90" s="125"/>
      <c r="V90" s="126"/>
      <c r="W90" s="126"/>
      <c r="X90" s="126"/>
      <c r="Y90" s="126"/>
      <c r="Z90" s="126"/>
      <c r="AA90" s="126"/>
      <c r="AB90" s="127"/>
      <c r="AC90" s="125"/>
      <c r="AD90" s="126"/>
      <c r="AE90" s="126"/>
      <c r="AF90" s="126"/>
      <c r="AG90" s="126"/>
      <c r="AH90" s="126"/>
      <c r="AI90" s="126"/>
      <c r="AJ90" s="127"/>
      <c r="AK90" s="49"/>
      <c r="AL90" s="49"/>
      <c r="AM90" s="214"/>
      <c r="AN90" s="215"/>
      <c r="AO90" s="215"/>
      <c r="AP90" s="215"/>
      <c r="AQ90" s="215"/>
      <c r="AR90" s="215"/>
      <c r="AS90" s="215"/>
      <c r="AT90" s="215"/>
      <c r="AU90" s="215"/>
      <c r="AV90" s="215"/>
      <c r="AW90" s="215"/>
      <c r="AX90" s="215"/>
      <c r="AY90" s="215"/>
      <c r="AZ90" s="215"/>
      <c r="BA90" s="215"/>
      <c r="BB90" s="215"/>
      <c r="BC90" s="216"/>
      <c r="BD90" s="39"/>
      <c r="BE90" s="39"/>
      <c r="BF90" s="83"/>
      <c r="BG90" s="84"/>
      <c r="BH90" s="84"/>
      <c r="BI90" s="84"/>
      <c r="BJ90" s="83"/>
      <c r="BK90" s="84"/>
      <c r="BL90" s="84"/>
      <c r="BM90" s="84"/>
      <c r="BN90" s="83"/>
      <c r="BO90" s="84"/>
      <c r="BP90" s="84"/>
      <c r="BQ90" s="87"/>
      <c r="BR90" s="37"/>
    </row>
    <row r="91" spans="3:70" ht="19.350000000000001" customHeight="1" x14ac:dyDescent="0.4">
      <c r="C91" s="32"/>
      <c r="D91" s="50"/>
      <c r="E91" s="50"/>
      <c r="F91" s="50"/>
      <c r="G91" s="50"/>
      <c r="H91" s="50"/>
      <c r="I91" s="50"/>
      <c r="J91" s="50"/>
      <c r="K91" s="50"/>
      <c r="L91" s="50"/>
      <c r="M91" s="50"/>
      <c r="N91" s="51"/>
      <c r="O91" s="51"/>
      <c r="P91" s="51"/>
      <c r="Q91" s="51"/>
      <c r="R91" s="52"/>
      <c r="S91" s="52"/>
      <c r="T91" s="52"/>
      <c r="U91" s="229" t="s">
        <v>42</v>
      </c>
      <c r="V91" s="230"/>
      <c r="W91" s="230"/>
      <c r="X91" s="230"/>
      <c r="Y91" s="230"/>
      <c r="Z91" s="230"/>
      <c r="AA91" s="230"/>
      <c r="AB91" s="230"/>
      <c r="AC91" s="229" t="s">
        <v>43</v>
      </c>
      <c r="AD91" s="230"/>
      <c r="AE91" s="230"/>
      <c r="AF91" s="230"/>
      <c r="AG91" s="230"/>
      <c r="AH91" s="230"/>
      <c r="AI91" s="230"/>
      <c r="AJ91" s="231"/>
      <c r="AK91" s="49"/>
      <c r="AL91" s="49"/>
      <c r="AM91" s="214"/>
      <c r="AN91" s="215"/>
      <c r="AO91" s="215"/>
      <c r="AP91" s="215"/>
      <c r="AQ91" s="215"/>
      <c r="AR91" s="215"/>
      <c r="AS91" s="215"/>
      <c r="AT91" s="215"/>
      <c r="AU91" s="215"/>
      <c r="AV91" s="215"/>
      <c r="AW91" s="215"/>
      <c r="AX91" s="215"/>
      <c r="AY91" s="215"/>
      <c r="AZ91" s="215"/>
      <c r="BA91" s="215"/>
      <c r="BB91" s="215"/>
      <c r="BC91" s="216"/>
      <c r="BD91" s="34"/>
      <c r="BE91" s="34"/>
      <c r="BF91" s="83"/>
      <c r="BG91" s="84"/>
      <c r="BH91" s="84"/>
      <c r="BI91" s="84"/>
      <c r="BJ91" s="83"/>
      <c r="BK91" s="84"/>
      <c r="BL91" s="84"/>
      <c r="BM91" s="84"/>
      <c r="BN91" s="83"/>
      <c r="BO91" s="84"/>
      <c r="BP91" s="84"/>
      <c r="BQ91" s="87"/>
      <c r="BR91" s="37"/>
    </row>
    <row r="92" spans="3:70" ht="19.350000000000001" customHeight="1" x14ac:dyDescent="0.4">
      <c r="C92" s="32"/>
      <c r="D92" s="196" t="s">
        <v>26</v>
      </c>
      <c r="E92" s="190"/>
      <c r="F92" s="190"/>
      <c r="G92" s="190"/>
      <c r="H92" s="190"/>
      <c r="I92" s="190"/>
      <c r="J92" s="190"/>
      <c r="K92" s="190"/>
      <c r="L92" s="190"/>
      <c r="M92" s="191"/>
      <c r="N92" s="98" t="str">
        <f>IF([10]回答表!F17="水道事業",IF([10]回答表!AA45="●","●",""),"")</f>
        <v/>
      </c>
      <c r="O92" s="99"/>
      <c r="P92" s="99"/>
      <c r="Q92" s="100"/>
      <c r="R92" s="38"/>
      <c r="S92" s="38"/>
      <c r="T92" s="38"/>
      <c r="U92" s="238"/>
      <c r="V92" s="239"/>
      <c r="W92" s="239"/>
      <c r="X92" s="239"/>
      <c r="Y92" s="239"/>
      <c r="Z92" s="239"/>
      <c r="AA92" s="239"/>
      <c r="AB92" s="239"/>
      <c r="AC92" s="238"/>
      <c r="AD92" s="239"/>
      <c r="AE92" s="239"/>
      <c r="AF92" s="239"/>
      <c r="AG92" s="239"/>
      <c r="AH92" s="239"/>
      <c r="AI92" s="239"/>
      <c r="AJ92" s="240"/>
      <c r="AK92" s="49"/>
      <c r="AL92" s="49"/>
      <c r="AM92" s="214"/>
      <c r="AN92" s="215"/>
      <c r="AO92" s="215"/>
      <c r="AP92" s="215"/>
      <c r="AQ92" s="215"/>
      <c r="AR92" s="215"/>
      <c r="AS92" s="215"/>
      <c r="AT92" s="215"/>
      <c r="AU92" s="215"/>
      <c r="AV92" s="215"/>
      <c r="AW92" s="215"/>
      <c r="AX92" s="215"/>
      <c r="AY92" s="215"/>
      <c r="AZ92" s="215"/>
      <c r="BA92" s="215"/>
      <c r="BB92" s="215"/>
      <c r="BC92" s="216"/>
      <c r="BD92" s="53"/>
      <c r="BE92" s="53"/>
      <c r="BF92" s="83"/>
      <c r="BG92" s="84"/>
      <c r="BH92" s="84"/>
      <c r="BI92" s="84"/>
      <c r="BJ92" s="83"/>
      <c r="BK92" s="84"/>
      <c r="BL92" s="84"/>
      <c r="BM92" s="84"/>
      <c r="BN92" s="83"/>
      <c r="BO92" s="84"/>
      <c r="BP92" s="84"/>
      <c r="BQ92" s="87"/>
      <c r="BR92" s="37"/>
    </row>
    <row r="93" spans="3:70" ht="15.6" customHeight="1" x14ac:dyDescent="0.4">
      <c r="C93" s="32"/>
      <c r="D93" s="190"/>
      <c r="E93" s="190"/>
      <c r="F93" s="190"/>
      <c r="G93" s="190"/>
      <c r="H93" s="190"/>
      <c r="I93" s="190"/>
      <c r="J93" s="190"/>
      <c r="K93" s="190"/>
      <c r="L93" s="190"/>
      <c r="M93" s="191"/>
      <c r="N93" s="101"/>
      <c r="O93" s="102"/>
      <c r="P93" s="102"/>
      <c r="Q93" s="103"/>
      <c r="R93" s="38"/>
      <c r="S93" s="38"/>
      <c r="T93" s="38"/>
      <c r="U93" s="119" t="str">
        <f>IF([10]回答表!F17="水道事業",IF([10]回答表!X45="●",[10]回答表!J176,IF([10]回答表!AA45="●",[10]回答表!J241,"")),"")</f>
        <v/>
      </c>
      <c r="V93" s="120"/>
      <c r="W93" s="120"/>
      <c r="X93" s="120"/>
      <c r="Y93" s="120"/>
      <c r="Z93" s="120"/>
      <c r="AA93" s="120"/>
      <c r="AB93" s="121"/>
      <c r="AC93" s="119" t="str">
        <f>IF([10]回答表!F17="水道事業",IF([10]回答表!X45="●",[10]回答表!J180,IF([10]回答表!AA45="●",[10]回答表!J245,"")),"")</f>
        <v/>
      </c>
      <c r="AD93" s="120"/>
      <c r="AE93" s="120"/>
      <c r="AF93" s="120"/>
      <c r="AG93" s="120"/>
      <c r="AH93" s="120"/>
      <c r="AI93" s="120"/>
      <c r="AJ93" s="121"/>
      <c r="AK93" s="49"/>
      <c r="AL93" s="49"/>
      <c r="AM93" s="214"/>
      <c r="AN93" s="215"/>
      <c r="AO93" s="215"/>
      <c r="AP93" s="215"/>
      <c r="AQ93" s="215"/>
      <c r="AR93" s="215"/>
      <c r="AS93" s="215"/>
      <c r="AT93" s="215"/>
      <c r="AU93" s="215"/>
      <c r="AV93" s="215"/>
      <c r="AW93" s="215"/>
      <c r="AX93" s="215"/>
      <c r="AY93" s="215"/>
      <c r="AZ93" s="215"/>
      <c r="BA93" s="215"/>
      <c r="BB93" s="215"/>
      <c r="BC93" s="216"/>
      <c r="BD93" s="53"/>
      <c r="BE93" s="53"/>
      <c r="BF93" s="83" t="s">
        <v>23</v>
      </c>
      <c r="BG93" s="84"/>
      <c r="BH93" s="84"/>
      <c r="BI93" s="84"/>
      <c r="BJ93" s="83" t="s">
        <v>24</v>
      </c>
      <c r="BK93" s="84"/>
      <c r="BL93" s="84"/>
      <c r="BM93" s="84"/>
      <c r="BN93" s="83" t="s">
        <v>25</v>
      </c>
      <c r="BO93" s="84"/>
      <c r="BP93" s="84"/>
      <c r="BQ93" s="87"/>
      <c r="BR93" s="37"/>
    </row>
    <row r="94" spans="3:70" ht="15.6" customHeight="1" x14ac:dyDescent="0.4">
      <c r="C94" s="32"/>
      <c r="D94" s="190"/>
      <c r="E94" s="190"/>
      <c r="F94" s="190"/>
      <c r="G94" s="190"/>
      <c r="H94" s="190"/>
      <c r="I94" s="190"/>
      <c r="J94" s="190"/>
      <c r="K94" s="190"/>
      <c r="L94" s="190"/>
      <c r="M94" s="191"/>
      <c r="N94" s="101"/>
      <c r="O94" s="102"/>
      <c r="P94" s="102"/>
      <c r="Q94" s="103"/>
      <c r="R94" s="38"/>
      <c r="S94" s="38"/>
      <c r="T94" s="38"/>
      <c r="U94" s="122"/>
      <c r="V94" s="123"/>
      <c r="W94" s="123"/>
      <c r="X94" s="123"/>
      <c r="Y94" s="123"/>
      <c r="Z94" s="123"/>
      <c r="AA94" s="123"/>
      <c r="AB94" s="124"/>
      <c r="AC94" s="122"/>
      <c r="AD94" s="123"/>
      <c r="AE94" s="123"/>
      <c r="AF94" s="123"/>
      <c r="AG94" s="123"/>
      <c r="AH94" s="123"/>
      <c r="AI94" s="123"/>
      <c r="AJ94" s="124"/>
      <c r="AK94" s="49"/>
      <c r="AL94" s="49"/>
      <c r="AM94" s="214"/>
      <c r="AN94" s="215"/>
      <c r="AO94" s="215"/>
      <c r="AP94" s="215"/>
      <c r="AQ94" s="215"/>
      <c r="AR94" s="215"/>
      <c r="AS94" s="215"/>
      <c r="AT94" s="215"/>
      <c r="AU94" s="215"/>
      <c r="AV94" s="215"/>
      <c r="AW94" s="215"/>
      <c r="AX94" s="215"/>
      <c r="AY94" s="215"/>
      <c r="AZ94" s="215"/>
      <c r="BA94" s="215"/>
      <c r="BB94" s="215"/>
      <c r="BC94" s="216"/>
      <c r="BD94" s="53"/>
      <c r="BE94" s="53"/>
      <c r="BF94" s="83"/>
      <c r="BG94" s="84"/>
      <c r="BH94" s="84"/>
      <c r="BI94" s="84"/>
      <c r="BJ94" s="83"/>
      <c r="BK94" s="84"/>
      <c r="BL94" s="84"/>
      <c r="BM94" s="84"/>
      <c r="BN94" s="83"/>
      <c r="BO94" s="84"/>
      <c r="BP94" s="84"/>
      <c r="BQ94" s="87"/>
      <c r="BR94" s="37"/>
    </row>
    <row r="95" spans="3:70" ht="15.6" customHeight="1" x14ac:dyDescent="0.4">
      <c r="C95" s="32"/>
      <c r="D95" s="190"/>
      <c r="E95" s="190"/>
      <c r="F95" s="190"/>
      <c r="G95" s="190"/>
      <c r="H95" s="190"/>
      <c r="I95" s="190"/>
      <c r="J95" s="190"/>
      <c r="K95" s="190"/>
      <c r="L95" s="190"/>
      <c r="M95" s="191"/>
      <c r="N95" s="104"/>
      <c r="O95" s="105"/>
      <c r="P95" s="105"/>
      <c r="Q95" s="106"/>
      <c r="R95" s="38"/>
      <c r="S95" s="38"/>
      <c r="T95" s="38"/>
      <c r="U95" s="125"/>
      <c r="V95" s="126"/>
      <c r="W95" s="126"/>
      <c r="X95" s="126"/>
      <c r="Y95" s="126"/>
      <c r="Z95" s="126"/>
      <c r="AA95" s="126"/>
      <c r="AB95" s="127"/>
      <c r="AC95" s="125"/>
      <c r="AD95" s="126"/>
      <c r="AE95" s="126"/>
      <c r="AF95" s="126"/>
      <c r="AG95" s="126"/>
      <c r="AH95" s="126"/>
      <c r="AI95" s="126"/>
      <c r="AJ95" s="127"/>
      <c r="AK95" s="49"/>
      <c r="AL95" s="49"/>
      <c r="AM95" s="217"/>
      <c r="AN95" s="218"/>
      <c r="AO95" s="218"/>
      <c r="AP95" s="218"/>
      <c r="AQ95" s="218"/>
      <c r="AR95" s="218"/>
      <c r="AS95" s="218"/>
      <c r="AT95" s="218"/>
      <c r="AU95" s="218"/>
      <c r="AV95" s="218"/>
      <c r="AW95" s="218"/>
      <c r="AX95" s="218"/>
      <c r="AY95" s="218"/>
      <c r="AZ95" s="218"/>
      <c r="BA95" s="218"/>
      <c r="BB95" s="218"/>
      <c r="BC95" s="219"/>
      <c r="BD95" s="53"/>
      <c r="BE95" s="53"/>
      <c r="BF95" s="85"/>
      <c r="BG95" s="86"/>
      <c r="BH95" s="86"/>
      <c r="BI95" s="86"/>
      <c r="BJ95" s="85"/>
      <c r="BK95" s="86"/>
      <c r="BL95" s="86"/>
      <c r="BM95" s="86"/>
      <c r="BN95" s="85"/>
      <c r="BO95" s="86"/>
      <c r="BP95" s="86"/>
      <c r="BQ95" s="88"/>
      <c r="BR95" s="37"/>
    </row>
    <row r="96" spans="3:70" ht="15.6" customHeight="1" x14ac:dyDescent="0.5">
      <c r="C96" s="32"/>
      <c r="D96" s="50"/>
      <c r="E96" s="50"/>
      <c r="F96" s="50"/>
      <c r="G96" s="50"/>
      <c r="H96" s="50"/>
      <c r="I96" s="50"/>
      <c r="J96" s="50"/>
      <c r="K96" s="50"/>
      <c r="L96" s="50"/>
      <c r="M96" s="50"/>
      <c r="N96" s="19"/>
      <c r="O96" s="19"/>
      <c r="P96" s="19"/>
      <c r="Q96" s="19"/>
      <c r="R96" s="38"/>
      <c r="S96" s="38"/>
      <c r="T96" s="38"/>
      <c r="U96" s="38"/>
      <c r="V96" s="38"/>
      <c r="W96" s="38"/>
      <c r="X96" s="18"/>
      <c r="Y96" s="18"/>
      <c r="Z96" s="18"/>
      <c r="AA96" s="35"/>
      <c r="AB96" s="35"/>
      <c r="AC96" s="35"/>
      <c r="AD96" s="35"/>
      <c r="AE96" s="35"/>
      <c r="AF96" s="35"/>
      <c r="AG96" s="35"/>
      <c r="AH96" s="35"/>
      <c r="AI96" s="35"/>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37"/>
    </row>
    <row r="97" spans="1:71" ht="18.600000000000001" customHeight="1" x14ac:dyDescent="0.5">
      <c r="C97" s="32"/>
      <c r="D97" s="50"/>
      <c r="E97" s="50"/>
      <c r="F97" s="50"/>
      <c r="G97" s="50"/>
      <c r="H97" s="50"/>
      <c r="I97" s="50"/>
      <c r="J97" s="50"/>
      <c r="K97" s="50"/>
      <c r="L97" s="50"/>
      <c r="M97" s="50"/>
      <c r="N97" s="19"/>
      <c r="O97" s="19"/>
      <c r="P97" s="19"/>
      <c r="Q97" s="19"/>
      <c r="R97" s="38"/>
      <c r="S97" s="38"/>
      <c r="T97" s="38"/>
      <c r="U97" s="42" t="s">
        <v>31</v>
      </c>
      <c r="V97" s="38"/>
      <c r="W97" s="38"/>
      <c r="X97" s="38"/>
      <c r="Y97" s="38"/>
      <c r="Z97" s="38"/>
      <c r="AA97" s="35"/>
      <c r="AB97" s="43"/>
      <c r="AC97" s="35"/>
      <c r="AD97" s="35"/>
      <c r="AE97" s="35"/>
      <c r="AF97" s="35"/>
      <c r="AG97" s="35"/>
      <c r="AH97" s="35"/>
      <c r="AI97" s="35"/>
      <c r="AJ97" s="35"/>
      <c r="AK97" s="35"/>
      <c r="AL97" s="35"/>
      <c r="AM97" s="42" t="s">
        <v>32</v>
      </c>
      <c r="AN97" s="35"/>
      <c r="AO97" s="35"/>
      <c r="AP97" s="35"/>
      <c r="AQ97" s="35"/>
      <c r="AR97" s="35"/>
      <c r="AS97" s="35"/>
      <c r="AT97" s="35"/>
      <c r="AU97" s="35"/>
      <c r="AV97" s="35"/>
      <c r="AW97" s="35"/>
      <c r="AX97" s="35"/>
      <c r="AY97" s="34"/>
      <c r="AZ97" s="34"/>
      <c r="BA97" s="34"/>
      <c r="BB97" s="34"/>
      <c r="BC97" s="34"/>
      <c r="BD97" s="34"/>
      <c r="BE97" s="34"/>
      <c r="BF97" s="34"/>
      <c r="BG97" s="34"/>
      <c r="BH97" s="34"/>
      <c r="BI97" s="34"/>
      <c r="BJ97" s="34"/>
      <c r="BK97" s="34"/>
      <c r="BL97" s="34"/>
      <c r="BM97" s="34"/>
      <c r="BN97" s="34"/>
      <c r="BO97" s="34"/>
      <c r="BP97" s="34"/>
      <c r="BQ97" s="18"/>
      <c r="BR97" s="37"/>
    </row>
    <row r="98" spans="1:71" ht="15.6" customHeight="1" x14ac:dyDescent="0.4">
      <c r="C98" s="32"/>
      <c r="D98" s="190" t="s">
        <v>33</v>
      </c>
      <c r="E98" s="190"/>
      <c r="F98" s="190"/>
      <c r="G98" s="190"/>
      <c r="H98" s="190"/>
      <c r="I98" s="190"/>
      <c r="J98" s="190"/>
      <c r="K98" s="190"/>
      <c r="L98" s="190"/>
      <c r="M98" s="191"/>
      <c r="N98" s="98" t="str">
        <f>IF([10]回答表!F17="水道事業",IF([10]回答表!AD45="●","●",""),"")</f>
        <v/>
      </c>
      <c r="O98" s="99"/>
      <c r="P98" s="99"/>
      <c r="Q98" s="100"/>
      <c r="R98" s="38"/>
      <c r="S98" s="38"/>
      <c r="T98" s="38"/>
      <c r="U98" s="107" t="str">
        <f>IF([10]回答表!F17="水道事業",IF([10]回答表!AD45="●",[10]回答表!B289,""),"")</f>
        <v/>
      </c>
      <c r="V98" s="108"/>
      <c r="W98" s="108"/>
      <c r="X98" s="108"/>
      <c r="Y98" s="108"/>
      <c r="Z98" s="108"/>
      <c r="AA98" s="108"/>
      <c r="AB98" s="108"/>
      <c r="AC98" s="108"/>
      <c r="AD98" s="108"/>
      <c r="AE98" s="108"/>
      <c r="AF98" s="108"/>
      <c r="AG98" s="108"/>
      <c r="AH98" s="108"/>
      <c r="AI98" s="108"/>
      <c r="AJ98" s="109"/>
      <c r="AK98" s="55"/>
      <c r="AL98" s="55"/>
      <c r="AM98" s="107" t="str">
        <f>IF([10]回答表!F17="水道事業",IF([10]回答表!AD45="●",[10]回答表!B295,""),"")</f>
        <v/>
      </c>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9"/>
      <c r="BR98" s="37"/>
    </row>
    <row r="99" spans="1:71" ht="15.6" customHeight="1" x14ac:dyDescent="0.4">
      <c r="C99" s="32"/>
      <c r="D99" s="190"/>
      <c r="E99" s="190"/>
      <c r="F99" s="190"/>
      <c r="G99" s="190"/>
      <c r="H99" s="190"/>
      <c r="I99" s="190"/>
      <c r="J99" s="190"/>
      <c r="K99" s="190"/>
      <c r="L99" s="190"/>
      <c r="M99" s="191"/>
      <c r="N99" s="101"/>
      <c r="O99" s="102"/>
      <c r="P99" s="102"/>
      <c r="Q99" s="103"/>
      <c r="R99" s="38"/>
      <c r="S99" s="38"/>
      <c r="T99" s="38"/>
      <c r="U99" s="110"/>
      <c r="V99" s="111"/>
      <c r="W99" s="111"/>
      <c r="X99" s="111"/>
      <c r="Y99" s="111"/>
      <c r="Z99" s="111"/>
      <c r="AA99" s="111"/>
      <c r="AB99" s="111"/>
      <c r="AC99" s="111"/>
      <c r="AD99" s="111"/>
      <c r="AE99" s="111"/>
      <c r="AF99" s="111"/>
      <c r="AG99" s="111"/>
      <c r="AH99" s="111"/>
      <c r="AI99" s="111"/>
      <c r="AJ99" s="112"/>
      <c r="AK99" s="55"/>
      <c r="AL99" s="55"/>
      <c r="AM99" s="110"/>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2"/>
      <c r="BR99" s="37"/>
    </row>
    <row r="100" spans="1:71" ht="15.6" customHeight="1" x14ac:dyDescent="0.4">
      <c r="C100" s="32"/>
      <c r="D100" s="190"/>
      <c r="E100" s="190"/>
      <c r="F100" s="190"/>
      <c r="G100" s="190"/>
      <c r="H100" s="190"/>
      <c r="I100" s="190"/>
      <c r="J100" s="190"/>
      <c r="K100" s="190"/>
      <c r="L100" s="190"/>
      <c r="M100" s="191"/>
      <c r="N100" s="101"/>
      <c r="O100" s="102"/>
      <c r="P100" s="102"/>
      <c r="Q100" s="103"/>
      <c r="R100" s="38"/>
      <c r="S100" s="38"/>
      <c r="T100" s="38"/>
      <c r="U100" s="110"/>
      <c r="V100" s="111"/>
      <c r="W100" s="111"/>
      <c r="X100" s="111"/>
      <c r="Y100" s="111"/>
      <c r="Z100" s="111"/>
      <c r="AA100" s="111"/>
      <c r="AB100" s="111"/>
      <c r="AC100" s="111"/>
      <c r="AD100" s="111"/>
      <c r="AE100" s="111"/>
      <c r="AF100" s="111"/>
      <c r="AG100" s="111"/>
      <c r="AH100" s="111"/>
      <c r="AI100" s="111"/>
      <c r="AJ100" s="112"/>
      <c r="AK100" s="55"/>
      <c r="AL100" s="55"/>
      <c r="AM100" s="110"/>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2"/>
      <c r="BR100" s="37"/>
    </row>
    <row r="101" spans="1:71" ht="15.6" customHeight="1" x14ac:dyDescent="0.4">
      <c r="C101" s="32"/>
      <c r="D101" s="190"/>
      <c r="E101" s="190"/>
      <c r="F101" s="190"/>
      <c r="G101" s="190"/>
      <c r="H101" s="190"/>
      <c r="I101" s="190"/>
      <c r="J101" s="190"/>
      <c r="K101" s="190"/>
      <c r="L101" s="190"/>
      <c r="M101" s="191"/>
      <c r="N101" s="104"/>
      <c r="O101" s="105"/>
      <c r="P101" s="105"/>
      <c r="Q101" s="106"/>
      <c r="R101" s="38"/>
      <c r="S101" s="38"/>
      <c r="T101" s="38"/>
      <c r="U101" s="113"/>
      <c r="V101" s="114"/>
      <c r="W101" s="114"/>
      <c r="X101" s="114"/>
      <c r="Y101" s="114"/>
      <c r="Z101" s="114"/>
      <c r="AA101" s="114"/>
      <c r="AB101" s="114"/>
      <c r="AC101" s="114"/>
      <c r="AD101" s="114"/>
      <c r="AE101" s="114"/>
      <c r="AF101" s="114"/>
      <c r="AG101" s="114"/>
      <c r="AH101" s="114"/>
      <c r="AI101" s="114"/>
      <c r="AJ101" s="115"/>
      <c r="AK101" s="55"/>
      <c r="AL101" s="55"/>
      <c r="AM101" s="113"/>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5"/>
      <c r="BR101" s="37"/>
    </row>
    <row r="102" spans="1:71" ht="15.6" customHeight="1" x14ac:dyDescent="0.4">
      <c r="C102" s="56"/>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8"/>
    </row>
    <row r="103" spans="1:71" ht="15.6" customHeight="1" x14ac:dyDescent="0.4">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row>
    <row r="104" spans="1:71" ht="15.6" customHeight="1" x14ac:dyDescent="0.4">
      <c r="C104" s="26"/>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171"/>
      <c r="AS104" s="171"/>
      <c r="AT104" s="171"/>
      <c r="AU104" s="171"/>
      <c r="AV104" s="171"/>
      <c r="AW104" s="171"/>
      <c r="AX104" s="171"/>
      <c r="AY104" s="171"/>
      <c r="AZ104" s="171"/>
      <c r="BA104" s="171"/>
      <c r="BB104" s="171"/>
      <c r="BC104" s="28"/>
      <c r="BD104" s="29"/>
      <c r="BE104" s="29"/>
      <c r="BF104" s="29"/>
      <c r="BG104" s="29"/>
      <c r="BH104" s="29"/>
      <c r="BI104" s="29"/>
      <c r="BJ104" s="29"/>
      <c r="BK104" s="29"/>
      <c r="BL104" s="29"/>
      <c r="BM104" s="29"/>
      <c r="BN104" s="29"/>
      <c r="BO104" s="29"/>
      <c r="BP104" s="29"/>
      <c r="BQ104" s="29"/>
      <c r="BR104" s="30"/>
    </row>
    <row r="105" spans="1:71" ht="15.6" customHeight="1" x14ac:dyDescent="0.5">
      <c r="C105" s="32"/>
      <c r="D105" s="38"/>
      <c r="E105" s="38"/>
      <c r="F105" s="38"/>
      <c r="G105" s="38"/>
      <c r="H105" s="38"/>
      <c r="I105" s="38"/>
      <c r="J105" s="38"/>
      <c r="K105" s="38"/>
      <c r="L105" s="38"/>
      <c r="M105" s="38"/>
      <c r="N105" s="38"/>
      <c r="O105" s="38"/>
      <c r="P105" s="38"/>
      <c r="Q105" s="38"/>
      <c r="R105" s="38"/>
      <c r="S105" s="38"/>
      <c r="T105" s="38"/>
      <c r="U105" s="38"/>
      <c r="V105" s="38"/>
      <c r="W105" s="38"/>
      <c r="X105" s="18"/>
      <c r="Y105" s="18"/>
      <c r="Z105" s="18"/>
      <c r="AA105" s="34"/>
      <c r="AB105" s="39"/>
      <c r="AC105" s="39"/>
      <c r="AD105" s="39"/>
      <c r="AE105" s="39"/>
      <c r="AF105" s="39"/>
      <c r="AG105" s="39"/>
      <c r="AH105" s="39"/>
      <c r="AI105" s="39"/>
      <c r="AJ105" s="39"/>
      <c r="AK105" s="39"/>
      <c r="AL105" s="39"/>
      <c r="AM105" s="39"/>
      <c r="AN105" s="36"/>
      <c r="AO105" s="39"/>
      <c r="AP105" s="40"/>
      <c r="AQ105" s="40"/>
      <c r="AR105" s="192"/>
      <c r="AS105" s="192"/>
      <c r="AT105" s="192"/>
      <c r="AU105" s="192"/>
      <c r="AV105" s="192"/>
      <c r="AW105" s="192"/>
      <c r="AX105" s="192"/>
      <c r="AY105" s="192"/>
      <c r="AZ105" s="192"/>
      <c r="BA105" s="192"/>
      <c r="BB105" s="192"/>
      <c r="BC105" s="33"/>
      <c r="BD105" s="34"/>
      <c r="BE105" s="34"/>
      <c r="BF105" s="34"/>
      <c r="BG105" s="34"/>
      <c r="BH105" s="34"/>
      <c r="BI105" s="34"/>
      <c r="BJ105" s="34"/>
      <c r="BK105" s="34"/>
      <c r="BL105" s="34"/>
      <c r="BM105" s="34"/>
      <c r="BN105" s="35"/>
      <c r="BO105" s="35"/>
      <c r="BP105" s="35"/>
      <c r="BQ105" s="36"/>
      <c r="BR105" s="37"/>
    </row>
    <row r="106" spans="1:71" ht="15.6" customHeight="1" x14ac:dyDescent="0.5">
      <c r="C106" s="32"/>
      <c r="D106" s="144" t="s">
        <v>14</v>
      </c>
      <c r="E106" s="145"/>
      <c r="F106" s="145"/>
      <c r="G106" s="145"/>
      <c r="H106" s="145"/>
      <c r="I106" s="145"/>
      <c r="J106" s="145"/>
      <c r="K106" s="145"/>
      <c r="L106" s="145"/>
      <c r="M106" s="145"/>
      <c r="N106" s="145"/>
      <c r="O106" s="145"/>
      <c r="P106" s="145"/>
      <c r="Q106" s="146"/>
      <c r="R106" s="89" t="s">
        <v>44</v>
      </c>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c r="AY106" s="90"/>
      <c r="AZ106" s="90"/>
      <c r="BA106" s="90"/>
      <c r="BB106" s="91"/>
      <c r="BC106" s="33"/>
      <c r="BD106" s="34"/>
      <c r="BE106" s="34"/>
      <c r="BF106" s="34"/>
      <c r="BG106" s="34"/>
      <c r="BH106" s="34"/>
      <c r="BI106" s="34"/>
      <c r="BJ106" s="34"/>
      <c r="BK106" s="34"/>
      <c r="BL106" s="34"/>
      <c r="BM106" s="34"/>
      <c r="BN106" s="35"/>
      <c r="BO106" s="35"/>
      <c r="BP106" s="35"/>
      <c r="BQ106" s="36"/>
      <c r="BR106" s="37"/>
    </row>
    <row r="107" spans="1:71" ht="15.6" customHeight="1" x14ac:dyDescent="0.5">
      <c r="C107" s="32"/>
      <c r="D107" s="147"/>
      <c r="E107" s="148"/>
      <c r="F107" s="148"/>
      <c r="G107" s="148"/>
      <c r="H107" s="148"/>
      <c r="I107" s="148"/>
      <c r="J107" s="148"/>
      <c r="K107" s="148"/>
      <c r="L107" s="148"/>
      <c r="M107" s="148"/>
      <c r="N107" s="148"/>
      <c r="O107" s="148"/>
      <c r="P107" s="148"/>
      <c r="Q107" s="149"/>
      <c r="R107" s="95"/>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7"/>
      <c r="BC107" s="33"/>
      <c r="BD107" s="34"/>
      <c r="BE107" s="34"/>
      <c r="BF107" s="34"/>
      <c r="BG107" s="34"/>
      <c r="BH107" s="34"/>
      <c r="BI107" s="34"/>
      <c r="BJ107" s="34"/>
      <c r="BK107" s="34"/>
      <c r="BL107" s="34"/>
      <c r="BM107" s="34"/>
      <c r="BN107" s="35"/>
      <c r="BO107" s="35"/>
      <c r="BP107" s="35"/>
      <c r="BQ107" s="36"/>
      <c r="BR107" s="37"/>
    </row>
    <row r="108" spans="1:71" ht="15.6" customHeight="1" x14ac:dyDescent="0.5">
      <c r="C108" s="32"/>
      <c r="D108" s="38"/>
      <c r="E108" s="38"/>
      <c r="F108" s="38"/>
      <c r="G108" s="38"/>
      <c r="H108" s="38"/>
      <c r="I108" s="38"/>
      <c r="J108" s="38"/>
      <c r="K108" s="38"/>
      <c r="L108" s="38"/>
      <c r="M108" s="38"/>
      <c r="N108" s="38"/>
      <c r="O108" s="38"/>
      <c r="P108" s="38"/>
      <c r="Q108" s="38"/>
      <c r="R108" s="38"/>
      <c r="S108" s="38"/>
      <c r="T108" s="38"/>
      <c r="U108" s="38"/>
      <c r="V108" s="38"/>
      <c r="W108" s="38"/>
      <c r="X108" s="18"/>
      <c r="Y108" s="18"/>
      <c r="Z108" s="18"/>
      <c r="AA108" s="34"/>
      <c r="AB108" s="39"/>
      <c r="AC108" s="39"/>
      <c r="AD108" s="39"/>
      <c r="AE108" s="39"/>
      <c r="AF108" s="39"/>
      <c r="AG108" s="39"/>
      <c r="AH108" s="39"/>
      <c r="AI108" s="39"/>
      <c r="AJ108" s="39"/>
      <c r="AK108" s="39"/>
      <c r="AL108" s="39"/>
      <c r="AM108" s="39"/>
      <c r="AN108" s="36"/>
      <c r="AO108" s="39"/>
      <c r="AP108" s="40"/>
      <c r="AQ108" s="40"/>
      <c r="AR108" s="41"/>
      <c r="AS108" s="41"/>
      <c r="AT108" s="41"/>
      <c r="AU108" s="41"/>
      <c r="AV108" s="41"/>
      <c r="AW108" s="41"/>
      <c r="AX108" s="41"/>
      <c r="AY108" s="41"/>
      <c r="AZ108" s="41"/>
      <c r="BA108" s="41"/>
      <c r="BB108" s="41"/>
      <c r="BC108" s="33"/>
      <c r="BD108" s="34"/>
      <c r="BE108" s="34"/>
      <c r="BF108" s="34"/>
      <c r="BG108" s="34"/>
      <c r="BH108" s="34"/>
      <c r="BI108" s="34"/>
      <c r="BJ108" s="34"/>
      <c r="BK108" s="34"/>
      <c r="BL108" s="34"/>
      <c r="BM108" s="34"/>
      <c r="BN108" s="35"/>
      <c r="BO108" s="35"/>
      <c r="BP108" s="35"/>
      <c r="BQ108" s="36"/>
      <c r="BR108" s="37"/>
    </row>
    <row r="109" spans="1:71" ht="25.5" x14ac:dyDescent="0.5">
      <c r="C109" s="32"/>
      <c r="D109" s="38"/>
      <c r="E109" s="38"/>
      <c r="F109" s="38"/>
      <c r="G109" s="38"/>
      <c r="H109" s="38"/>
      <c r="I109" s="38"/>
      <c r="J109" s="38"/>
      <c r="K109" s="38"/>
      <c r="L109" s="38"/>
      <c r="M109" s="38"/>
      <c r="N109" s="38"/>
      <c r="O109" s="38"/>
      <c r="P109" s="38"/>
      <c r="Q109" s="38"/>
      <c r="R109" s="38"/>
      <c r="S109" s="38"/>
      <c r="T109" s="38"/>
      <c r="U109" s="42" t="s">
        <v>39</v>
      </c>
      <c r="V109" s="44"/>
      <c r="W109" s="43"/>
      <c r="X109" s="45"/>
      <c r="Y109" s="45"/>
      <c r="Z109" s="46"/>
      <c r="AA109" s="46"/>
      <c r="AB109" s="46"/>
      <c r="AC109" s="46"/>
      <c r="AD109" s="46"/>
      <c r="AE109" s="46"/>
      <c r="AF109" s="46"/>
      <c r="AG109" s="46"/>
      <c r="AH109" s="46"/>
      <c r="AI109" s="46"/>
      <c r="AJ109" s="46"/>
      <c r="AK109" s="43"/>
      <c r="AL109" s="43"/>
      <c r="AM109" s="42" t="s">
        <v>35</v>
      </c>
      <c r="AN109" s="38"/>
      <c r="AO109" s="38"/>
      <c r="AP109" s="38"/>
      <c r="AQ109" s="38"/>
      <c r="AR109" s="38"/>
      <c r="AS109" s="35"/>
      <c r="AT109" s="43"/>
      <c r="AU109" s="43"/>
      <c r="AV109" s="43"/>
      <c r="AW109" s="43"/>
      <c r="AX109" s="43"/>
      <c r="AY109" s="43"/>
      <c r="AZ109" s="43"/>
      <c r="BA109" s="43"/>
      <c r="BB109" s="43"/>
      <c r="BC109" s="47"/>
      <c r="BD109" s="35"/>
      <c r="BE109" s="35"/>
      <c r="BF109" s="48" t="s">
        <v>17</v>
      </c>
      <c r="BG109" s="59"/>
      <c r="BH109" s="59"/>
      <c r="BI109" s="59"/>
      <c r="BJ109" s="59"/>
      <c r="BK109" s="59"/>
      <c r="BL109" s="59"/>
      <c r="BM109" s="35"/>
      <c r="BN109" s="35"/>
      <c r="BO109" s="35"/>
      <c r="BP109" s="35"/>
      <c r="BQ109" s="36"/>
      <c r="BR109" s="37"/>
    </row>
    <row r="110" spans="1:71" ht="19.350000000000001" customHeight="1" x14ac:dyDescent="0.4">
      <c r="C110" s="32"/>
      <c r="D110" s="18"/>
      <c r="E110" s="18"/>
      <c r="F110" s="18"/>
      <c r="G110" s="18"/>
      <c r="H110" s="18"/>
      <c r="I110" s="18"/>
      <c r="J110" s="18"/>
      <c r="K110" s="18"/>
      <c r="L110" s="18"/>
      <c r="M110" s="18"/>
      <c r="N110" s="18"/>
      <c r="O110" s="18"/>
      <c r="P110" s="18"/>
      <c r="Q110" s="18"/>
      <c r="R110" s="38"/>
      <c r="S110" s="38"/>
      <c r="T110" s="38"/>
      <c r="U110" s="229" t="s">
        <v>45</v>
      </c>
      <c r="V110" s="230"/>
      <c r="W110" s="230"/>
      <c r="X110" s="230"/>
      <c r="Y110" s="230"/>
      <c r="Z110" s="230"/>
      <c r="AA110" s="230"/>
      <c r="AB110" s="230"/>
      <c r="AC110" s="230"/>
      <c r="AD110" s="230"/>
      <c r="AE110" s="230"/>
      <c r="AF110" s="230"/>
      <c r="AG110" s="230"/>
      <c r="AH110" s="230"/>
      <c r="AI110" s="230"/>
      <c r="AJ110" s="231"/>
      <c r="AK110" s="49"/>
      <c r="AL110" s="49"/>
      <c r="AM110" s="211" t="str">
        <f>IF([10]回答表!F17="簡易水道事業",IF([10]回答表!X45="●",[10]回答表!B158,IF([10]回答表!AA45="●",[10]回答表!B223,"")),"")</f>
        <v/>
      </c>
      <c r="AN110" s="212"/>
      <c r="AO110" s="212"/>
      <c r="AP110" s="212"/>
      <c r="AQ110" s="212"/>
      <c r="AR110" s="212"/>
      <c r="AS110" s="212"/>
      <c r="AT110" s="212"/>
      <c r="AU110" s="212"/>
      <c r="AV110" s="212"/>
      <c r="AW110" s="212"/>
      <c r="AX110" s="212"/>
      <c r="AY110" s="212"/>
      <c r="AZ110" s="212"/>
      <c r="BA110" s="212"/>
      <c r="BB110" s="213"/>
      <c r="BC110" s="39"/>
      <c r="BD110" s="34"/>
      <c r="BE110" s="34"/>
      <c r="BF110" s="116" t="str">
        <f>IF([10]回答表!F17="簡易水道事業",IF([10]回答表!X45="●",[10]回答表!B212,IF([10]回答表!AA45="●",[10]回答表!B278,"")),"")</f>
        <v/>
      </c>
      <c r="BG110" s="117"/>
      <c r="BH110" s="117"/>
      <c r="BI110" s="117"/>
      <c r="BJ110" s="116"/>
      <c r="BK110" s="117"/>
      <c r="BL110" s="117"/>
      <c r="BM110" s="117"/>
      <c r="BN110" s="116"/>
      <c r="BO110" s="117"/>
      <c r="BP110" s="117"/>
      <c r="BQ110" s="118"/>
      <c r="BR110" s="37"/>
    </row>
    <row r="111" spans="1:71" ht="19.350000000000001" customHeight="1" x14ac:dyDescent="0.4">
      <c r="C111" s="32"/>
      <c r="D111" s="18"/>
      <c r="E111" s="18"/>
      <c r="F111" s="18"/>
      <c r="G111" s="18"/>
      <c r="H111" s="18"/>
      <c r="I111" s="18"/>
      <c r="J111" s="18"/>
      <c r="K111" s="18"/>
      <c r="L111" s="18"/>
      <c r="M111" s="18"/>
      <c r="N111" s="18"/>
      <c r="O111" s="18"/>
      <c r="P111" s="18"/>
      <c r="Q111" s="18"/>
      <c r="R111" s="38"/>
      <c r="S111" s="38"/>
      <c r="T111" s="38"/>
      <c r="U111" s="232"/>
      <c r="V111" s="233"/>
      <c r="W111" s="233"/>
      <c r="X111" s="233"/>
      <c r="Y111" s="233"/>
      <c r="Z111" s="233"/>
      <c r="AA111" s="233"/>
      <c r="AB111" s="233"/>
      <c r="AC111" s="233"/>
      <c r="AD111" s="233"/>
      <c r="AE111" s="233"/>
      <c r="AF111" s="233"/>
      <c r="AG111" s="233"/>
      <c r="AH111" s="233"/>
      <c r="AI111" s="233"/>
      <c r="AJ111" s="234"/>
      <c r="AK111" s="49"/>
      <c r="AL111" s="49"/>
      <c r="AM111" s="214"/>
      <c r="AN111" s="215"/>
      <c r="AO111" s="215"/>
      <c r="AP111" s="215"/>
      <c r="AQ111" s="215"/>
      <c r="AR111" s="215"/>
      <c r="AS111" s="215"/>
      <c r="AT111" s="215"/>
      <c r="AU111" s="215"/>
      <c r="AV111" s="215"/>
      <c r="AW111" s="215"/>
      <c r="AX111" s="215"/>
      <c r="AY111" s="215"/>
      <c r="AZ111" s="215"/>
      <c r="BA111" s="215"/>
      <c r="BB111" s="216"/>
      <c r="BC111" s="39"/>
      <c r="BD111" s="34"/>
      <c r="BE111" s="34"/>
      <c r="BF111" s="83"/>
      <c r="BG111" s="84"/>
      <c r="BH111" s="84"/>
      <c r="BI111" s="84"/>
      <c r="BJ111" s="83"/>
      <c r="BK111" s="84"/>
      <c r="BL111" s="84"/>
      <c r="BM111" s="84"/>
      <c r="BN111" s="83"/>
      <c r="BO111" s="84"/>
      <c r="BP111" s="84"/>
      <c r="BQ111" s="87"/>
      <c r="BR111" s="37"/>
    </row>
    <row r="112" spans="1:71" ht="15.6" customHeight="1" x14ac:dyDescent="0.4">
      <c r="C112" s="32"/>
      <c r="D112" s="89" t="s">
        <v>18</v>
      </c>
      <c r="E112" s="90"/>
      <c r="F112" s="90"/>
      <c r="G112" s="90"/>
      <c r="H112" s="90"/>
      <c r="I112" s="90"/>
      <c r="J112" s="90"/>
      <c r="K112" s="90"/>
      <c r="L112" s="90"/>
      <c r="M112" s="91"/>
      <c r="N112" s="98" t="str">
        <f>IF([10]回答表!F17="簡易水道事業",IF([10]回答表!X45="●","●",""),"")</f>
        <v/>
      </c>
      <c r="O112" s="99"/>
      <c r="P112" s="99"/>
      <c r="Q112" s="100"/>
      <c r="R112" s="38"/>
      <c r="S112" s="38"/>
      <c r="T112" s="38"/>
      <c r="U112" s="119" t="str">
        <f>IF([10]回答表!F17="簡易水道事業",IF([10]回答表!X45="●",[10]回答表!Y185,IF([10]回答表!AA45="●",[10]回答表!Y251,"")),"")</f>
        <v/>
      </c>
      <c r="V112" s="120"/>
      <c r="W112" s="120"/>
      <c r="X112" s="120"/>
      <c r="Y112" s="120"/>
      <c r="Z112" s="120"/>
      <c r="AA112" s="120"/>
      <c r="AB112" s="120"/>
      <c r="AC112" s="120"/>
      <c r="AD112" s="120"/>
      <c r="AE112" s="120"/>
      <c r="AF112" s="120"/>
      <c r="AG112" s="120"/>
      <c r="AH112" s="120"/>
      <c r="AI112" s="120"/>
      <c r="AJ112" s="121"/>
      <c r="AK112" s="49"/>
      <c r="AL112" s="49"/>
      <c r="AM112" s="214"/>
      <c r="AN112" s="215"/>
      <c r="AO112" s="215"/>
      <c r="AP112" s="215"/>
      <c r="AQ112" s="215"/>
      <c r="AR112" s="215"/>
      <c r="AS112" s="215"/>
      <c r="AT112" s="215"/>
      <c r="AU112" s="215"/>
      <c r="AV112" s="215"/>
      <c r="AW112" s="215"/>
      <c r="AX112" s="215"/>
      <c r="AY112" s="215"/>
      <c r="AZ112" s="215"/>
      <c r="BA112" s="215"/>
      <c r="BB112" s="216"/>
      <c r="BC112" s="39"/>
      <c r="BD112" s="34"/>
      <c r="BE112" s="34"/>
      <c r="BF112" s="83"/>
      <c r="BG112" s="84"/>
      <c r="BH112" s="84"/>
      <c r="BI112" s="84"/>
      <c r="BJ112" s="83"/>
      <c r="BK112" s="84"/>
      <c r="BL112" s="84"/>
      <c r="BM112" s="84"/>
      <c r="BN112" s="83"/>
      <c r="BO112" s="84"/>
      <c r="BP112" s="84"/>
      <c r="BQ112" s="87"/>
      <c r="BR112" s="37"/>
    </row>
    <row r="113" spans="3:70" ht="15.6" customHeight="1" x14ac:dyDescent="0.4">
      <c r="C113" s="32"/>
      <c r="D113" s="92"/>
      <c r="E113" s="93"/>
      <c r="F113" s="93"/>
      <c r="G113" s="93"/>
      <c r="H113" s="93"/>
      <c r="I113" s="93"/>
      <c r="J113" s="93"/>
      <c r="K113" s="93"/>
      <c r="L113" s="93"/>
      <c r="M113" s="94"/>
      <c r="N113" s="101"/>
      <c r="O113" s="102"/>
      <c r="P113" s="102"/>
      <c r="Q113" s="103"/>
      <c r="R113" s="38"/>
      <c r="S113" s="38"/>
      <c r="T113" s="38"/>
      <c r="U113" s="122"/>
      <c r="V113" s="123"/>
      <c r="W113" s="123"/>
      <c r="X113" s="123"/>
      <c r="Y113" s="123"/>
      <c r="Z113" s="123"/>
      <c r="AA113" s="123"/>
      <c r="AB113" s="123"/>
      <c r="AC113" s="123"/>
      <c r="AD113" s="123"/>
      <c r="AE113" s="123"/>
      <c r="AF113" s="123"/>
      <c r="AG113" s="123"/>
      <c r="AH113" s="123"/>
      <c r="AI113" s="123"/>
      <c r="AJ113" s="124"/>
      <c r="AK113" s="49"/>
      <c r="AL113" s="49"/>
      <c r="AM113" s="214"/>
      <c r="AN113" s="215"/>
      <c r="AO113" s="215"/>
      <c r="AP113" s="215"/>
      <c r="AQ113" s="215"/>
      <c r="AR113" s="215"/>
      <c r="AS113" s="215"/>
      <c r="AT113" s="215"/>
      <c r="AU113" s="215"/>
      <c r="AV113" s="215"/>
      <c r="AW113" s="215"/>
      <c r="AX113" s="215"/>
      <c r="AY113" s="215"/>
      <c r="AZ113" s="215"/>
      <c r="BA113" s="215"/>
      <c r="BB113" s="216"/>
      <c r="BC113" s="39"/>
      <c r="BD113" s="34"/>
      <c r="BE113" s="34"/>
      <c r="BF113" s="83" t="str">
        <f>IF([10]回答表!F17="簡易水道事業",IF([10]回答表!X45="●",[10]回答表!E212,IF([10]回答表!AA45="●",[10]回答表!E278,"")),"")</f>
        <v/>
      </c>
      <c r="BG113" s="84"/>
      <c r="BH113" s="84"/>
      <c r="BI113" s="84"/>
      <c r="BJ113" s="83" t="str">
        <f>IF([10]回答表!F17="簡易水道事業",IF([10]回答表!X45="●",[10]回答表!E213,IF([10]回答表!AA45="●",[10]回答表!E279,"")),"")</f>
        <v/>
      </c>
      <c r="BK113" s="84"/>
      <c r="BL113" s="84"/>
      <c r="BM113" s="84"/>
      <c r="BN113" s="83" t="str">
        <f>IF([10]回答表!F17="簡易水道事業",IF([10]回答表!X45="●",[10]回答表!E214,IF([10]回答表!AA45="●",[10]回答表!E280,"")),"")</f>
        <v/>
      </c>
      <c r="BO113" s="84"/>
      <c r="BP113" s="84"/>
      <c r="BQ113" s="87"/>
      <c r="BR113" s="37"/>
    </row>
    <row r="114" spans="3:70" ht="15.6" customHeight="1" x14ac:dyDescent="0.4">
      <c r="C114" s="32"/>
      <c r="D114" s="92"/>
      <c r="E114" s="93"/>
      <c r="F114" s="93"/>
      <c r="G114" s="93"/>
      <c r="H114" s="93"/>
      <c r="I114" s="93"/>
      <c r="J114" s="93"/>
      <c r="K114" s="93"/>
      <c r="L114" s="93"/>
      <c r="M114" s="94"/>
      <c r="N114" s="101"/>
      <c r="O114" s="102"/>
      <c r="P114" s="102"/>
      <c r="Q114" s="103"/>
      <c r="R114" s="52"/>
      <c r="S114" s="52"/>
      <c r="T114" s="52"/>
      <c r="U114" s="125"/>
      <c r="V114" s="126"/>
      <c r="W114" s="126"/>
      <c r="X114" s="126"/>
      <c r="Y114" s="126"/>
      <c r="Z114" s="126"/>
      <c r="AA114" s="126"/>
      <c r="AB114" s="126"/>
      <c r="AC114" s="126"/>
      <c r="AD114" s="126"/>
      <c r="AE114" s="126"/>
      <c r="AF114" s="126"/>
      <c r="AG114" s="126"/>
      <c r="AH114" s="126"/>
      <c r="AI114" s="126"/>
      <c r="AJ114" s="127"/>
      <c r="AK114" s="49"/>
      <c r="AL114" s="49"/>
      <c r="AM114" s="214"/>
      <c r="AN114" s="215"/>
      <c r="AO114" s="215"/>
      <c r="AP114" s="215"/>
      <c r="AQ114" s="215"/>
      <c r="AR114" s="215"/>
      <c r="AS114" s="215"/>
      <c r="AT114" s="215"/>
      <c r="AU114" s="215"/>
      <c r="AV114" s="215"/>
      <c r="AW114" s="215"/>
      <c r="AX114" s="215"/>
      <c r="AY114" s="215"/>
      <c r="AZ114" s="215"/>
      <c r="BA114" s="215"/>
      <c r="BB114" s="216"/>
      <c r="BC114" s="39"/>
      <c r="BD114" s="39"/>
      <c r="BE114" s="39"/>
      <c r="BF114" s="83"/>
      <c r="BG114" s="84"/>
      <c r="BH114" s="84"/>
      <c r="BI114" s="84"/>
      <c r="BJ114" s="83"/>
      <c r="BK114" s="84"/>
      <c r="BL114" s="84"/>
      <c r="BM114" s="84"/>
      <c r="BN114" s="83"/>
      <c r="BO114" s="84"/>
      <c r="BP114" s="84"/>
      <c r="BQ114" s="87"/>
      <c r="BR114" s="37"/>
    </row>
    <row r="115" spans="3:70" ht="19.350000000000001" customHeight="1" x14ac:dyDescent="0.4">
      <c r="C115" s="32"/>
      <c r="D115" s="95"/>
      <c r="E115" s="96"/>
      <c r="F115" s="96"/>
      <c r="G115" s="96"/>
      <c r="H115" s="96"/>
      <c r="I115" s="96"/>
      <c r="J115" s="96"/>
      <c r="K115" s="96"/>
      <c r="L115" s="96"/>
      <c r="M115" s="97"/>
      <c r="N115" s="104"/>
      <c r="O115" s="105"/>
      <c r="P115" s="105"/>
      <c r="Q115" s="106"/>
      <c r="R115" s="52"/>
      <c r="S115" s="52"/>
      <c r="T115" s="52"/>
      <c r="U115" s="229" t="s">
        <v>46</v>
      </c>
      <c r="V115" s="230"/>
      <c r="W115" s="230"/>
      <c r="X115" s="230"/>
      <c r="Y115" s="230"/>
      <c r="Z115" s="230"/>
      <c r="AA115" s="230"/>
      <c r="AB115" s="230"/>
      <c r="AC115" s="230"/>
      <c r="AD115" s="230"/>
      <c r="AE115" s="230"/>
      <c r="AF115" s="230"/>
      <c r="AG115" s="230"/>
      <c r="AH115" s="230"/>
      <c r="AI115" s="230"/>
      <c r="AJ115" s="231"/>
      <c r="AK115" s="49"/>
      <c r="AL115" s="49"/>
      <c r="AM115" s="214"/>
      <c r="AN115" s="215"/>
      <c r="AO115" s="215"/>
      <c r="AP115" s="215"/>
      <c r="AQ115" s="215"/>
      <c r="AR115" s="215"/>
      <c r="AS115" s="215"/>
      <c r="AT115" s="215"/>
      <c r="AU115" s="215"/>
      <c r="AV115" s="215"/>
      <c r="AW115" s="215"/>
      <c r="AX115" s="215"/>
      <c r="AY115" s="215"/>
      <c r="AZ115" s="215"/>
      <c r="BA115" s="215"/>
      <c r="BB115" s="216"/>
      <c r="BC115" s="39"/>
      <c r="BD115" s="34"/>
      <c r="BE115" s="34"/>
      <c r="BF115" s="83"/>
      <c r="BG115" s="84"/>
      <c r="BH115" s="84"/>
      <c r="BI115" s="84"/>
      <c r="BJ115" s="83"/>
      <c r="BK115" s="84"/>
      <c r="BL115" s="84"/>
      <c r="BM115" s="84"/>
      <c r="BN115" s="83"/>
      <c r="BO115" s="84"/>
      <c r="BP115" s="84"/>
      <c r="BQ115" s="87"/>
      <c r="BR115" s="37"/>
    </row>
    <row r="116" spans="3:70" ht="19.350000000000001" customHeight="1" x14ac:dyDescent="0.4">
      <c r="C116" s="32"/>
      <c r="D116" s="38"/>
      <c r="E116" s="38"/>
      <c r="F116" s="38"/>
      <c r="G116" s="38"/>
      <c r="H116" s="38"/>
      <c r="I116" s="38"/>
      <c r="J116" s="38"/>
      <c r="K116" s="38"/>
      <c r="L116" s="38"/>
      <c r="M116" s="38"/>
      <c r="N116" s="38"/>
      <c r="O116" s="38"/>
      <c r="P116" s="38"/>
      <c r="Q116" s="38"/>
      <c r="R116" s="38"/>
      <c r="S116" s="38"/>
      <c r="T116" s="38"/>
      <c r="U116" s="232"/>
      <c r="V116" s="233"/>
      <c r="W116" s="233"/>
      <c r="X116" s="233"/>
      <c r="Y116" s="233"/>
      <c r="Z116" s="233"/>
      <c r="AA116" s="233"/>
      <c r="AB116" s="233"/>
      <c r="AC116" s="233"/>
      <c r="AD116" s="233"/>
      <c r="AE116" s="233"/>
      <c r="AF116" s="233"/>
      <c r="AG116" s="233"/>
      <c r="AH116" s="233"/>
      <c r="AI116" s="233"/>
      <c r="AJ116" s="234"/>
      <c r="AK116" s="49"/>
      <c r="AL116" s="49"/>
      <c r="AM116" s="214"/>
      <c r="AN116" s="215"/>
      <c r="AO116" s="215"/>
      <c r="AP116" s="215"/>
      <c r="AQ116" s="215"/>
      <c r="AR116" s="215"/>
      <c r="AS116" s="215"/>
      <c r="AT116" s="215"/>
      <c r="AU116" s="215"/>
      <c r="AV116" s="215"/>
      <c r="AW116" s="215"/>
      <c r="AX116" s="215"/>
      <c r="AY116" s="215"/>
      <c r="AZ116" s="215"/>
      <c r="BA116" s="215"/>
      <c r="BB116" s="216"/>
      <c r="BC116" s="39"/>
      <c r="BD116" s="53"/>
      <c r="BE116" s="53"/>
      <c r="BF116" s="83"/>
      <c r="BG116" s="84"/>
      <c r="BH116" s="84"/>
      <c r="BI116" s="84"/>
      <c r="BJ116" s="83"/>
      <c r="BK116" s="84"/>
      <c r="BL116" s="84"/>
      <c r="BM116" s="84"/>
      <c r="BN116" s="83"/>
      <c r="BO116" s="84"/>
      <c r="BP116" s="84"/>
      <c r="BQ116" s="87"/>
      <c r="BR116" s="37"/>
    </row>
    <row r="117" spans="3:70" ht="15.6" customHeight="1" x14ac:dyDescent="0.4">
      <c r="C117" s="32"/>
      <c r="D117" s="18"/>
      <c r="E117" s="18"/>
      <c r="F117" s="18"/>
      <c r="G117" s="18"/>
      <c r="H117" s="18"/>
      <c r="I117" s="18"/>
      <c r="J117" s="18"/>
      <c r="K117" s="18"/>
      <c r="L117" s="18"/>
      <c r="M117" s="18"/>
      <c r="N117" s="18"/>
      <c r="O117" s="18"/>
      <c r="P117" s="18"/>
      <c r="Q117" s="18"/>
      <c r="R117" s="38"/>
      <c r="S117" s="38"/>
      <c r="T117" s="38"/>
      <c r="U117" s="119" t="str">
        <f>IF([10]回答表!F17="簡易水道事業",IF([10]回答表!X45="●",[10]回答表!Y186,IF([10]回答表!AA45="●",[10]回答表!Y252,"")),"")</f>
        <v/>
      </c>
      <c r="V117" s="120"/>
      <c r="W117" s="120"/>
      <c r="X117" s="120"/>
      <c r="Y117" s="120"/>
      <c r="Z117" s="120"/>
      <c r="AA117" s="120"/>
      <c r="AB117" s="120"/>
      <c r="AC117" s="120"/>
      <c r="AD117" s="120"/>
      <c r="AE117" s="120"/>
      <c r="AF117" s="120"/>
      <c r="AG117" s="120"/>
      <c r="AH117" s="120"/>
      <c r="AI117" s="120"/>
      <c r="AJ117" s="121"/>
      <c r="AK117" s="49"/>
      <c r="AL117" s="49"/>
      <c r="AM117" s="214"/>
      <c r="AN117" s="215"/>
      <c r="AO117" s="215"/>
      <c r="AP117" s="215"/>
      <c r="AQ117" s="215"/>
      <c r="AR117" s="215"/>
      <c r="AS117" s="215"/>
      <c r="AT117" s="215"/>
      <c r="AU117" s="215"/>
      <c r="AV117" s="215"/>
      <c r="AW117" s="215"/>
      <c r="AX117" s="215"/>
      <c r="AY117" s="215"/>
      <c r="AZ117" s="215"/>
      <c r="BA117" s="215"/>
      <c r="BB117" s="216"/>
      <c r="BC117" s="39"/>
      <c r="BD117" s="53"/>
      <c r="BE117" s="53"/>
      <c r="BF117" s="83" t="s">
        <v>23</v>
      </c>
      <c r="BG117" s="84"/>
      <c r="BH117" s="84"/>
      <c r="BI117" s="84"/>
      <c r="BJ117" s="83" t="s">
        <v>24</v>
      </c>
      <c r="BK117" s="84"/>
      <c r="BL117" s="84"/>
      <c r="BM117" s="84"/>
      <c r="BN117" s="83" t="s">
        <v>25</v>
      </c>
      <c r="BO117" s="84"/>
      <c r="BP117" s="84"/>
      <c r="BQ117" s="87"/>
      <c r="BR117" s="37"/>
    </row>
    <row r="118" spans="3:70" ht="15.6" customHeight="1" x14ac:dyDescent="0.4">
      <c r="C118" s="32"/>
      <c r="D118" s="18"/>
      <c r="E118" s="18"/>
      <c r="F118" s="18"/>
      <c r="G118" s="18"/>
      <c r="H118" s="18"/>
      <c r="I118" s="18"/>
      <c r="J118" s="18"/>
      <c r="K118" s="18"/>
      <c r="L118" s="18"/>
      <c r="M118" s="18"/>
      <c r="N118" s="18"/>
      <c r="O118" s="18"/>
      <c r="P118" s="18"/>
      <c r="Q118" s="18"/>
      <c r="R118" s="38"/>
      <c r="S118" s="38"/>
      <c r="T118" s="38"/>
      <c r="U118" s="122"/>
      <c r="V118" s="123"/>
      <c r="W118" s="123"/>
      <c r="X118" s="123"/>
      <c r="Y118" s="123"/>
      <c r="Z118" s="123"/>
      <c r="AA118" s="123"/>
      <c r="AB118" s="123"/>
      <c r="AC118" s="123"/>
      <c r="AD118" s="123"/>
      <c r="AE118" s="123"/>
      <c r="AF118" s="123"/>
      <c r="AG118" s="123"/>
      <c r="AH118" s="123"/>
      <c r="AI118" s="123"/>
      <c r="AJ118" s="124"/>
      <c r="AK118" s="49"/>
      <c r="AL118" s="49"/>
      <c r="AM118" s="217"/>
      <c r="AN118" s="218"/>
      <c r="AO118" s="218"/>
      <c r="AP118" s="218"/>
      <c r="AQ118" s="218"/>
      <c r="AR118" s="218"/>
      <c r="AS118" s="218"/>
      <c r="AT118" s="218"/>
      <c r="AU118" s="218"/>
      <c r="AV118" s="218"/>
      <c r="AW118" s="218"/>
      <c r="AX118" s="218"/>
      <c r="AY118" s="218"/>
      <c r="AZ118" s="218"/>
      <c r="BA118" s="218"/>
      <c r="BB118" s="219"/>
      <c r="BC118" s="39"/>
      <c r="BD118" s="53"/>
      <c r="BE118" s="53"/>
      <c r="BF118" s="83"/>
      <c r="BG118" s="84"/>
      <c r="BH118" s="84"/>
      <c r="BI118" s="84"/>
      <c r="BJ118" s="83"/>
      <c r="BK118" s="84"/>
      <c r="BL118" s="84"/>
      <c r="BM118" s="84"/>
      <c r="BN118" s="83"/>
      <c r="BO118" s="84"/>
      <c r="BP118" s="84"/>
      <c r="BQ118" s="87"/>
      <c r="BR118" s="37"/>
    </row>
    <row r="119" spans="3:70" ht="15.6" customHeight="1" x14ac:dyDescent="0.4">
      <c r="C119" s="32"/>
      <c r="D119" s="134" t="s">
        <v>26</v>
      </c>
      <c r="E119" s="135"/>
      <c r="F119" s="135"/>
      <c r="G119" s="135"/>
      <c r="H119" s="135"/>
      <c r="I119" s="135"/>
      <c r="J119" s="135"/>
      <c r="K119" s="135"/>
      <c r="L119" s="135"/>
      <c r="M119" s="136"/>
      <c r="N119" s="98" t="str">
        <f>IF([10]回答表!F17="簡易水道事業",IF([10]回答表!AA45="●","●",""),"")</f>
        <v/>
      </c>
      <c r="O119" s="99"/>
      <c r="P119" s="99"/>
      <c r="Q119" s="100"/>
      <c r="R119" s="38"/>
      <c r="S119" s="38"/>
      <c r="T119" s="38"/>
      <c r="U119" s="125"/>
      <c r="V119" s="126"/>
      <c r="W119" s="126"/>
      <c r="X119" s="126"/>
      <c r="Y119" s="126"/>
      <c r="Z119" s="126"/>
      <c r="AA119" s="126"/>
      <c r="AB119" s="126"/>
      <c r="AC119" s="126"/>
      <c r="AD119" s="126"/>
      <c r="AE119" s="126"/>
      <c r="AF119" s="126"/>
      <c r="AG119" s="126"/>
      <c r="AH119" s="126"/>
      <c r="AI119" s="126"/>
      <c r="AJ119" s="127"/>
      <c r="AK119" s="49"/>
      <c r="AL119" s="49"/>
      <c r="AM119" s="18"/>
      <c r="AN119" s="18"/>
      <c r="AO119" s="18"/>
      <c r="AP119" s="18"/>
      <c r="AQ119" s="18"/>
      <c r="AR119" s="18"/>
      <c r="AS119" s="18"/>
      <c r="AT119" s="18"/>
      <c r="AU119" s="18"/>
      <c r="AV119" s="18"/>
      <c r="AW119" s="18"/>
      <c r="AX119" s="18"/>
      <c r="AY119" s="18"/>
      <c r="AZ119" s="18"/>
      <c r="BA119" s="18"/>
      <c r="BB119" s="18"/>
      <c r="BC119" s="39"/>
      <c r="BD119" s="53"/>
      <c r="BE119" s="53"/>
      <c r="BF119" s="85"/>
      <c r="BG119" s="86"/>
      <c r="BH119" s="86"/>
      <c r="BI119" s="86"/>
      <c r="BJ119" s="85"/>
      <c r="BK119" s="86"/>
      <c r="BL119" s="86"/>
      <c r="BM119" s="86"/>
      <c r="BN119" s="85"/>
      <c r="BO119" s="86"/>
      <c r="BP119" s="86"/>
      <c r="BQ119" s="88"/>
      <c r="BR119" s="37"/>
    </row>
    <row r="120" spans="3:70" ht="15.6" customHeight="1" x14ac:dyDescent="0.4">
      <c r="C120" s="32"/>
      <c r="D120" s="137"/>
      <c r="E120" s="138"/>
      <c r="F120" s="138"/>
      <c r="G120" s="138"/>
      <c r="H120" s="138"/>
      <c r="I120" s="138"/>
      <c r="J120" s="138"/>
      <c r="K120" s="138"/>
      <c r="L120" s="138"/>
      <c r="M120" s="139"/>
      <c r="N120" s="101"/>
      <c r="O120" s="102"/>
      <c r="P120" s="102"/>
      <c r="Q120" s="103"/>
      <c r="R120" s="38"/>
      <c r="S120" s="38"/>
      <c r="T120" s="38"/>
      <c r="U120" s="229" t="s">
        <v>47</v>
      </c>
      <c r="V120" s="230"/>
      <c r="W120" s="230"/>
      <c r="X120" s="230"/>
      <c r="Y120" s="230"/>
      <c r="Z120" s="230"/>
      <c r="AA120" s="230"/>
      <c r="AB120" s="230"/>
      <c r="AC120" s="230"/>
      <c r="AD120" s="230"/>
      <c r="AE120" s="230"/>
      <c r="AF120" s="230"/>
      <c r="AG120" s="230"/>
      <c r="AH120" s="230"/>
      <c r="AI120" s="230"/>
      <c r="AJ120" s="231"/>
      <c r="AK120" s="18"/>
      <c r="AL120" s="18"/>
      <c r="AM120" s="205" t="s">
        <v>48</v>
      </c>
      <c r="AN120" s="206"/>
      <c r="AO120" s="206"/>
      <c r="AP120" s="206"/>
      <c r="AQ120" s="206"/>
      <c r="AR120" s="209"/>
      <c r="AS120" s="205" t="s">
        <v>49</v>
      </c>
      <c r="AT120" s="206"/>
      <c r="AU120" s="206"/>
      <c r="AV120" s="206"/>
      <c r="AW120" s="206"/>
      <c r="AX120" s="209"/>
      <c r="AY120" s="152" t="s">
        <v>50</v>
      </c>
      <c r="AZ120" s="153"/>
      <c r="BA120" s="153"/>
      <c r="BB120" s="153"/>
      <c r="BC120" s="153"/>
      <c r="BD120" s="154"/>
      <c r="BE120" s="18"/>
      <c r="BF120" s="18"/>
      <c r="BG120" s="18"/>
      <c r="BH120" s="18"/>
      <c r="BI120" s="18"/>
      <c r="BJ120" s="18"/>
      <c r="BK120" s="18"/>
      <c r="BL120" s="18"/>
      <c r="BM120" s="18"/>
      <c r="BN120" s="18"/>
      <c r="BO120" s="18"/>
      <c r="BP120" s="18"/>
      <c r="BQ120" s="18"/>
      <c r="BR120" s="37"/>
    </row>
    <row r="121" spans="3:70" ht="15.6" customHeight="1" x14ac:dyDescent="0.4">
      <c r="C121" s="32"/>
      <c r="D121" s="137"/>
      <c r="E121" s="138"/>
      <c r="F121" s="138"/>
      <c r="G121" s="138"/>
      <c r="H121" s="138"/>
      <c r="I121" s="138"/>
      <c r="J121" s="138"/>
      <c r="K121" s="138"/>
      <c r="L121" s="138"/>
      <c r="M121" s="139"/>
      <c r="N121" s="101"/>
      <c r="O121" s="102"/>
      <c r="P121" s="102"/>
      <c r="Q121" s="103"/>
      <c r="R121" s="38"/>
      <c r="S121" s="38"/>
      <c r="T121" s="38"/>
      <c r="U121" s="232"/>
      <c r="V121" s="233"/>
      <c r="W121" s="233"/>
      <c r="X121" s="233"/>
      <c r="Y121" s="233"/>
      <c r="Z121" s="233"/>
      <c r="AA121" s="233"/>
      <c r="AB121" s="233"/>
      <c r="AC121" s="233"/>
      <c r="AD121" s="233"/>
      <c r="AE121" s="233"/>
      <c r="AF121" s="233"/>
      <c r="AG121" s="233"/>
      <c r="AH121" s="233"/>
      <c r="AI121" s="233"/>
      <c r="AJ121" s="234"/>
      <c r="AK121" s="18"/>
      <c r="AL121" s="18"/>
      <c r="AM121" s="235"/>
      <c r="AN121" s="236"/>
      <c r="AO121" s="236"/>
      <c r="AP121" s="236"/>
      <c r="AQ121" s="236"/>
      <c r="AR121" s="237"/>
      <c r="AS121" s="235"/>
      <c r="AT121" s="236"/>
      <c r="AU121" s="236"/>
      <c r="AV121" s="236"/>
      <c r="AW121" s="236"/>
      <c r="AX121" s="237"/>
      <c r="AY121" s="155"/>
      <c r="AZ121" s="156"/>
      <c r="BA121" s="156"/>
      <c r="BB121" s="156"/>
      <c r="BC121" s="156"/>
      <c r="BD121" s="157"/>
      <c r="BE121" s="18"/>
      <c r="BF121" s="18"/>
      <c r="BG121" s="18"/>
      <c r="BH121" s="18"/>
      <c r="BI121" s="18"/>
      <c r="BJ121" s="18"/>
      <c r="BK121" s="18"/>
      <c r="BL121" s="18"/>
      <c r="BM121" s="18"/>
      <c r="BN121" s="18"/>
      <c r="BO121" s="18"/>
      <c r="BP121" s="18"/>
      <c r="BQ121" s="18"/>
      <c r="BR121" s="37"/>
    </row>
    <row r="122" spans="3:70" ht="15.6" customHeight="1" x14ac:dyDescent="0.4">
      <c r="C122" s="32"/>
      <c r="D122" s="140"/>
      <c r="E122" s="141"/>
      <c r="F122" s="141"/>
      <c r="G122" s="141"/>
      <c r="H122" s="141"/>
      <c r="I122" s="141"/>
      <c r="J122" s="141"/>
      <c r="K122" s="141"/>
      <c r="L122" s="141"/>
      <c r="M122" s="142"/>
      <c r="N122" s="104"/>
      <c r="O122" s="105"/>
      <c r="P122" s="105"/>
      <c r="Q122" s="106"/>
      <c r="R122" s="38"/>
      <c r="S122" s="38"/>
      <c r="T122" s="38"/>
      <c r="U122" s="119" t="str">
        <f>IF([10]回答表!F17="簡易水道事業",IF([10]回答表!X45="●",[10]回答表!Y187,IF([10]回答表!AA45="●",[10]回答表!Y253,"")),"")</f>
        <v/>
      </c>
      <c r="V122" s="120"/>
      <c r="W122" s="120"/>
      <c r="X122" s="120"/>
      <c r="Y122" s="120"/>
      <c r="Z122" s="120"/>
      <c r="AA122" s="120"/>
      <c r="AB122" s="120"/>
      <c r="AC122" s="120"/>
      <c r="AD122" s="120"/>
      <c r="AE122" s="120"/>
      <c r="AF122" s="120"/>
      <c r="AG122" s="120"/>
      <c r="AH122" s="120"/>
      <c r="AI122" s="120"/>
      <c r="AJ122" s="121"/>
      <c r="AK122" s="18"/>
      <c r="AL122" s="18"/>
      <c r="AM122" s="228" t="str">
        <f>IF([10]回答表!F17="簡易水道事業",IF([10]回答表!X45="●",[10]回答表!Y189,IF([10]回答表!AA45="●",[10]回答表!Y255,"")),"")</f>
        <v/>
      </c>
      <c r="AN122" s="228"/>
      <c r="AO122" s="228"/>
      <c r="AP122" s="228"/>
      <c r="AQ122" s="228"/>
      <c r="AR122" s="228"/>
      <c r="AS122" s="228" t="str">
        <f>IF([10]回答表!F17="簡易水道事業",IF([10]回答表!X45="●",[10]回答表!Y190,IF([10]回答表!AA45="●",[10]回答表!Y256,"")),"")</f>
        <v/>
      </c>
      <c r="AT122" s="228"/>
      <c r="AU122" s="228"/>
      <c r="AV122" s="228"/>
      <c r="AW122" s="228"/>
      <c r="AX122" s="228"/>
      <c r="AY122" s="228" t="str">
        <f>IF([10]回答表!F17="簡易水道事業",IF([10]回答表!X45="●",[10]回答表!Y191,IF([10]回答表!AA45="●",[10]回答表!Y257,"")),"")</f>
        <v/>
      </c>
      <c r="AZ122" s="228"/>
      <c r="BA122" s="228"/>
      <c r="BB122" s="228"/>
      <c r="BC122" s="228"/>
      <c r="BD122" s="228"/>
      <c r="BE122" s="18"/>
      <c r="BF122" s="18"/>
      <c r="BG122" s="18"/>
      <c r="BH122" s="18"/>
      <c r="BI122" s="18"/>
      <c r="BJ122" s="18"/>
      <c r="BK122" s="18"/>
      <c r="BL122" s="18"/>
      <c r="BM122" s="18"/>
      <c r="BN122" s="18"/>
      <c r="BO122" s="18"/>
      <c r="BP122" s="18"/>
      <c r="BQ122" s="18"/>
      <c r="BR122" s="37"/>
    </row>
    <row r="123" spans="3:70" ht="15.6" customHeight="1" x14ac:dyDescent="0.4">
      <c r="C123" s="32"/>
      <c r="D123" s="18"/>
      <c r="E123" s="18"/>
      <c r="F123" s="18"/>
      <c r="G123" s="18"/>
      <c r="H123" s="18"/>
      <c r="I123" s="18"/>
      <c r="J123" s="18"/>
      <c r="K123" s="18"/>
      <c r="L123" s="18"/>
      <c r="M123" s="18"/>
      <c r="N123" s="18"/>
      <c r="O123" s="18"/>
      <c r="P123" s="18"/>
      <c r="Q123" s="18"/>
      <c r="R123" s="38"/>
      <c r="S123" s="38"/>
      <c r="T123" s="38"/>
      <c r="U123" s="122"/>
      <c r="V123" s="123"/>
      <c r="W123" s="123"/>
      <c r="X123" s="123"/>
      <c r="Y123" s="123"/>
      <c r="Z123" s="123"/>
      <c r="AA123" s="123"/>
      <c r="AB123" s="123"/>
      <c r="AC123" s="123"/>
      <c r="AD123" s="123"/>
      <c r="AE123" s="123"/>
      <c r="AF123" s="123"/>
      <c r="AG123" s="123"/>
      <c r="AH123" s="123"/>
      <c r="AI123" s="123"/>
      <c r="AJ123" s="124"/>
      <c r="AK123" s="18"/>
      <c r="AL123" s="18"/>
      <c r="AM123" s="228"/>
      <c r="AN123" s="228"/>
      <c r="AO123" s="228"/>
      <c r="AP123" s="228"/>
      <c r="AQ123" s="228"/>
      <c r="AR123" s="228"/>
      <c r="AS123" s="228"/>
      <c r="AT123" s="228"/>
      <c r="AU123" s="228"/>
      <c r="AV123" s="228"/>
      <c r="AW123" s="228"/>
      <c r="AX123" s="228"/>
      <c r="AY123" s="228"/>
      <c r="AZ123" s="228"/>
      <c r="BA123" s="228"/>
      <c r="BB123" s="228"/>
      <c r="BC123" s="228"/>
      <c r="BD123" s="228"/>
      <c r="BE123" s="18"/>
      <c r="BF123" s="18"/>
      <c r="BG123" s="18"/>
      <c r="BH123" s="18"/>
      <c r="BI123" s="18"/>
      <c r="BJ123" s="18"/>
      <c r="BK123" s="18"/>
      <c r="BL123" s="18"/>
      <c r="BM123" s="18"/>
      <c r="BN123" s="18"/>
      <c r="BO123" s="18"/>
      <c r="BP123" s="18"/>
      <c r="BQ123" s="18"/>
      <c r="BR123" s="37"/>
    </row>
    <row r="124" spans="3:70" ht="15.6" customHeight="1" x14ac:dyDescent="0.4">
      <c r="C124" s="32"/>
      <c r="D124" s="50"/>
      <c r="E124" s="50"/>
      <c r="F124" s="50"/>
      <c r="G124" s="50"/>
      <c r="H124" s="50"/>
      <c r="I124" s="50"/>
      <c r="J124" s="50"/>
      <c r="K124" s="50"/>
      <c r="L124" s="50"/>
      <c r="M124" s="50"/>
      <c r="N124" s="19"/>
      <c r="O124" s="19"/>
      <c r="P124" s="19"/>
      <c r="Q124" s="19"/>
      <c r="R124" s="38"/>
      <c r="S124" s="38"/>
      <c r="T124" s="60"/>
      <c r="U124" s="125"/>
      <c r="V124" s="126"/>
      <c r="W124" s="126"/>
      <c r="X124" s="126"/>
      <c r="Y124" s="126"/>
      <c r="Z124" s="126"/>
      <c r="AA124" s="126"/>
      <c r="AB124" s="126"/>
      <c r="AC124" s="126"/>
      <c r="AD124" s="126"/>
      <c r="AE124" s="126"/>
      <c r="AF124" s="126"/>
      <c r="AG124" s="126"/>
      <c r="AH124" s="126"/>
      <c r="AI124" s="126"/>
      <c r="AJ124" s="127"/>
      <c r="AK124" s="18"/>
      <c r="AL124" s="37"/>
      <c r="AM124" s="228"/>
      <c r="AN124" s="228"/>
      <c r="AO124" s="228"/>
      <c r="AP124" s="228"/>
      <c r="AQ124" s="228"/>
      <c r="AR124" s="228"/>
      <c r="AS124" s="228"/>
      <c r="AT124" s="228"/>
      <c r="AU124" s="228"/>
      <c r="AV124" s="228"/>
      <c r="AW124" s="228"/>
      <c r="AX124" s="228"/>
      <c r="AY124" s="228"/>
      <c r="AZ124" s="228"/>
      <c r="BA124" s="228"/>
      <c r="BB124" s="228"/>
      <c r="BC124" s="228"/>
      <c r="BD124" s="228"/>
      <c r="BE124" s="18"/>
      <c r="BF124" s="18"/>
      <c r="BG124" s="18"/>
      <c r="BH124" s="18"/>
      <c r="BI124" s="18"/>
      <c r="BJ124" s="18"/>
      <c r="BK124" s="18"/>
      <c r="BL124" s="18"/>
      <c r="BM124" s="18"/>
      <c r="BN124" s="18"/>
      <c r="BO124" s="18"/>
      <c r="BP124" s="18"/>
      <c r="BQ124" s="18"/>
      <c r="BR124" s="37"/>
    </row>
    <row r="125" spans="3:70" ht="15.6" customHeight="1" x14ac:dyDescent="0.4">
      <c r="C125" s="32"/>
      <c r="D125" s="18"/>
      <c r="E125" s="18"/>
      <c r="F125" s="18"/>
      <c r="G125" s="18"/>
      <c r="H125" s="18"/>
      <c r="I125" s="18"/>
      <c r="J125" s="18"/>
      <c r="K125" s="18"/>
      <c r="L125" s="18"/>
      <c r="M125" s="18"/>
      <c r="N125" s="18"/>
      <c r="O125" s="18"/>
      <c r="P125" s="18"/>
      <c r="Q125" s="18"/>
      <c r="R125" s="18"/>
      <c r="S125" s="18"/>
      <c r="T125" s="18"/>
      <c r="U125" s="27"/>
      <c r="V125" s="27"/>
      <c r="W125" s="27"/>
      <c r="X125" s="27"/>
      <c r="Y125" s="27"/>
      <c r="Z125" s="27"/>
      <c r="AA125" s="27"/>
      <c r="AB125" s="27"/>
      <c r="AC125" s="27"/>
      <c r="AD125" s="27"/>
      <c r="AE125" s="27"/>
      <c r="AF125" s="27"/>
      <c r="AG125" s="27"/>
      <c r="AH125" s="27"/>
      <c r="AI125" s="27"/>
      <c r="AJ125" s="27"/>
      <c r="AK125" s="18"/>
      <c r="AL125" s="18"/>
      <c r="AM125" s="18"/>
      <c r="AN125" s="18"/>
      <c r="AO125" s="18"/>
      <c r="AP125" s="18"/>
      <c r="AQ125" s="18"/>
      <c r="AR125" s="18"/>
      <c r="AS125" s="18"/>
      <c r="AT125" s="18"/>
      <c r="AU125" s="18"/>
      <c r="AV125" s="18"/>
      <c r="AW125" s="18"/>
      <c r="AX125" s="18"/>
      <c r="AY125" s="18"/>
      <c r="AZ125" s="18"/>
      <c r="BA125" s="18"/>
      <c r="BB125" s="18"/>
      <c r="BC125" s="33"/>
      <c r="BD125" s="39"/>
      <c r="BE125" s="39"/>
      <c r="BF125" s="39"/>
      <c r="BG125" s="39"/>
      <c r="BH125" s="39"/>
      <c r="BI125" s="39"/>
      <c r="BJ125" s="39"/>
      <c r="BK125" s="39"/>
      <c r="BL125" s="39"/>
      <c r="BM125" s="39"/>
      <c r="BN125" s="39"/>
      <c r="BO125" s="39"/>
      <c r="BP125" s="39"/>
      <c r="BQ125" s="39"/>
      <c r="BR125" s="37"/>
    </row>
    <row r="126" spans="3:70" ht="18.600000000000001" customHeight="1" x14ac:dyDescent="0.5">
      <c r="C126" s="32"/>
      <c r="D126" s="61"/>
      <c r="E126" s="50"/>
      <c r="F126" s="50"/>
      <c r="G126" s="50"/>
      <c r="H126" s="50"/>
      <c r="I126" s="50"/>
      <c r="J126" s="50"/>
      <c r="K126" s="50"/>
      <c r="L126" s="50"/>
      <c r="M126" s="50"/>
      <c r="N126" s="19"/>
      <c r="O126" s="19"/>
      <c r="P126" s="19"/>
      <c r="Q126" s="19"/>
      <c r="R126" s="38"/>
      <c r="S126" s="38"/>
      <c r="T126" s="38"/>
      <c r="U126" s="42" t="s">
        <v>31</v>
      </c>
      <c r="V126" s="38"/>
      <c r="W126" s="38"/>
      <c r="X126" s="38"/>
      <c r="Y126" s="38"/>
      <c r="Z126" s="38"/>
      <c r="AA126" s="35"/>
      <c r="AB126" s="43"/>
      <c r="AC126" s="35"/>
      <c r="AD126" s="35"/>
      <c r="AE126" s="35"/>
      <c r="AF126" s="35"/>
      <c r="AG126" s="35"/>
      <c r="AH126" s="35"/>
      <c r="AI126" s="35"/>
      <c r="AJ126" s="35"/>
      <c r="AK126" s="35"/>
      <c r="AL126" s="35"/>
      <c r="AM126" s="42" t="s">
        <v>32</v>
      </c>
      <c r="AN126" s="35"/>
      <c r="AO126" s="35"/>
      <c r="AP126" s="35"/>
      <c r="AQ126" s="35"/>
      <c r="AR126" s="35"/>
      <c r="AS126" s="35"/>
      <c r="AT126" s="35"/>
      <c r="AU126" s="35"/>
      <c r="AV126" s="35"/>
      <c r="AW126" s="35"/>
      <c r="AX126" s="35"/>
      <c r="AY126" s="34"/>
      <c r="AZ126" s="34"/>
      <c r="BA126" s="34"/>
      <c r="BB126" s="34"/>
      <c r="BC126" s="34"/>
      <c r="BD126" s="34"/>
      <c r="BE126" s="34"/>
      <c r="BF126" s="34"/>
      <c r="BG126" s="34"/>
      <c r="BH126" s="34"/>
      <c r="BI126" s="34"/>
      <c r="BJ126" s="34"/>
      <c r="BK126" s="34"/>
      <c r="BL126" s="34"/>
      <c r="BM126" s="34"/>
      <c r="BN126" s="34"/>
      <c r="BO126" s="34"/>
      <c r="BP126" s="34"/>
      <c r="BQ126" s="18"/>
      <c r="BR126" s="37"/>
    </row>
    <row r="127" spans="3:70" ht="15.6" customHeight="1" x14ac:dyDescent="0.4">
      <c r="C127" s="32"/>
      <c r="D127" s="190" t="s">
        <v>33</v>
      </c>
      <c r="E127" s="190"/>
      <c r="F127" s="190"/>
      <c r="G127" s="190"/>
      <c r="H127" s="190"/>
      <c r="I127" s="190"/>
      <c r="J127" s="190"/>
      <c r="K127" s="190"/>
      <c r="L127" s="190"/>
      <c r="M127" s="191"/>
      <c r="N127" s="98" t="str">
        <f>IF([10]回答表!F17="簡易水道事業",IF([10]回答表!AD45="●","●",""),"")</f>
        <v/>
      </c>
      <c r="O127" s="99"/>
      <c r="P127" s="99"/>
      <c r="Q127" s="100"/>
      <c r="R127" s="38"/>
      <c r="S127" s="38"/>
      <c r="T127" s="38"/>
      <c r="U127" s="107" t="str">
        <f>IF([10]回答表!F17="簡易水道事業",IF([10]回答表!AD45="●",[10]回答表!B289,""),"")</f>
        <v/>
      </c>
      <c r="V127" s="108"/>
      <c r="W127" s="108"/>
      <c r="X127" s="108"/>
      <c r="Y127" s="108"/>
      <c r="Z127" s="108"/>
      <c r="AA127" s="108"/>
      <c r="AB127" s="108"/>
      <c r="AC127" s="108"/>
      <c r="AD127" s="108"/>
      <c r="AE127" s="108"/>
      <c r="AF127" s="108"/>
      <c r="AG127" s="108"/>
      <c r="AH127" s="108"/>
      <c r="AI127" s="108"/>
      <c r="AJ127" s="109"/>
      <c r="AK127" s="55"/>
      <c r="AL127" s="55"/>
      <c r="AM127" s="107" t="str">
        <f>IF([10]回答表!F17="簡易水道事業",IF([10]回答表!AD45="●",[10]回答表!B295,""),"")</f>
        <v/>
      </c>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9"/>
      <c r="BR127" s="37"/>
    </row>
    <row r="128" spans="3:70" ht="15.6" customHeight="1" x14ac:dyDescent="0.4">
      <c r="C128" s="32"/>
      <c r="D128" s="190"/>
      <c r="E128" s="190"/>
      <c r="F128" s="190"/>
      <c r="G128" s="190"/>
      <c r="H128" s="190"/>
      <c r="I128" s="190"/>
      <c r="J128" s="190"/>
      <c r="K128" s="190"/>
      <c r="L128" s="190"/>
      <c r="M128" s="191"/>
      <c r="N128" s="101"/>
      <c r="O128" s="102"/>
      <c r="P128" s="102"/>
      <c r="Q128" s="103"/>
      <c r="R128" s="38"/>
      <c r="S128" s="38"/>
      <c r="T128" s="38"/>
      <c r="U128" s="110"/>
      <c r="V128" s="111"/>
      <c r="W128" s="111"/>
      <c r="X128" s="111"/>
      <c r="Y128" s="111"/>
      <c r="Z128" s="111"/>
      <c r="AA128" s="111"/>
      <c r="AB128" s="111"/>
      <c r="AC128" s="111"/>
      <c r="AD128" s="111"/>
      <c r="AE128" s="111"/>
      <c r="AF128" s="111"/>
      <c r="AG128" s="111"/>
      <c r="AH128" s="111"/>
      <c r="AI128" s="111"/>
      <c r="AJ128" s="112"/>
      <c r="AK128" s="55"/>
      <c r="AL128" s="55"/>
      <c r="AM128" s="110"/>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2"/>
      <c r="BR128" s="37"/>
    </row>
    <row r="129" spans="3:92" ht="15.6" customHeight="1" x14ac:dyDescent="0.4">
      <c r="C129" s="32"/>
      <c r="D129" s="190"/>
      <c r="E129" s="190"/>
      <c r="F129" s="190"/>
      <c r="G129" s="190"/>
      <c r="H129" s="190"/>
      <c r="I129" s="190"/>
      <c r="J129" s="190"/>
      <c r="K129" s="190"/>
      <c r="L129" s="190"/>
      <c r="M129" s="191"/>
      <c r="N129" s="101"/>
      <c r="O129" s="102"/>
      <c r="P129" s="102"/>
      <c r="Q129" s="103"/>
      <c r="R129" s="38"/>
      <c r="S129" s="38"/>
      <c r="T129" s="38"/>
      <c r="U129" s="110"/>
      <c r="V129" s="111"/>
      <c r="W129" s="111"/>
      <c r="X129" s="111"/>
      <c r="Y129" s="111"/>
      <c r="Z129" s="111"/>
      <c r="AA129" s="111"/>
      <c r="AB129" s="111"/>
      <c r="AC129" s="111"/>
      <c r="AD129" s="111"/>
      <c r="AE129" s="111"/>
      <c r="AF129" s="111"/>
      <c r="AG129" s="111"/>
      <c r="AH129" s="111"/>
      <c r="AI129" s="111"/>
      <c r="AJ129" s="112"/>
      <c r="AK129" s="55"/>
      <c r="AL129" s="55"/>
      <c r="AM129" s="110"/>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2"/>
      <c r="BR129" s="37"/>
    </row>
    <row r="130" spans="3:92" ht="15.6" customHeight="1" x14ac:dyDescent="0.4">
      <c r="C130" s="32"/>
      <c r="D130" s="190"/>
      <c r="E130" s="190"/>
      <c r="F130" s="190"/>
      <c r="G130" s="190"/>
      <c r="H130" s="190"/>
      <c r="I130" s="190"/>
      <c r="J130" s="190"/>
      <c r="K130" s="190"/>
      <c r="L130" s="190"/>
      <c r="M130" s="191"/>
      <c r="N130" s="104"/>
      <c r="O130" s="105"/>
      <c r="P130" s="105"/>
      <c r="Q130" s="106"/>
      <c r="R130" s="38"/>
      <c r="S130" s="38"/>
      <c r="T130" s="38"/>
      <c r="U130" s="113"/>
      <c r="V130" s="114"/>
      <c r="W130" s="114"/>
      <c r="X130" s="114"/>
      <c r="Y130" s="114"/>
      <c r="Z130" s="114"/>
      <c r="AA130" s="114"/>
      <c r="AB130" s="114"/>
      <c r="AC130" s="114"/>
      <c r="AD130" s="114"/>
      <c r="AE130" s="114"/>
      <c r="AF130" s="114"/>
      <c r="AG130" s="114"/>
      <c r="AH130" s="114"/>
      <c r="AI130" s="114"/>
      <c r="AJ130" s="115"/>
      <c r="AK130" s="55"/>
      <c r="AL130" s="55"/>
      <c r="AM130" s="113"/>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5"/>
      <c r="BR130" s="37"/>
    </row>
    <row r="131" spans="3:92" ht="15.6" customHeight="1" x14ac:dyDescent="0.4">
      <c r="C131" s="56"/>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c r="BG131" s="57"/>
      <c r="BH131" s="57"/>
      <c r="BI131" s="57"/>
      <c r="BJ131" s="57"/>
      <c r="BK131" s="57"/>
      <c r="BL131" s="57"/>
      <c r="BM131" s="57"/>
      <c r="BN131" s="57"/>
      <c r="BO131" s="57"/>
      <c r="BP131" s="57"/>
      <c r="BQ131" s="57"/>
      <c r="BR131" s="58"/>
    </row>
    <row r="132" spans="3:92" ht="15.6" customHeight="1" x14ac:dyDescent="0.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row>
    <row r="133" spans="3:92" ht="15.6" customHeight="1" x14ac:dyDescent="0.4">
      <c r="C133" s="26"/>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171"/>
      <c r="AS133" s="171"/>
      <c r="AT133" s="171"/>
      <c r="AU133" s="171"/>
      <c r="AV133" s="171"/>
      <c r="AW133" s="171"/>
      <c r="AX133" s="171"/>
      <c r="AY133" s="171"/>
      <c r="AZ133" s="171"/>
      <c r="BA133" s="171"/>
      <c r="BB133" s="171"/>
      <c r="BC133" s="28"/>
      <c r="BD133" s="29"/>
      <c r="BE133" s="29"/>
      <c r="BF133" s="29"/>
      <c r="BG133" s="29"/>
      <c r="BH133" s="29"/>
      <c r="BI133" s="29"/>
      <c r="BJ133" s="29"/>
      <c r="BK133" s="29"/>
      <c r="BL133" s="29"/>
      <c r="BM133" s="29"/>
      <c r="BN133" s="29"/>
      <c r="BO133" s="29"/>
      <c r="BP133" s="29"/>
      <c r="BQ133" s="29"/>
      <c r="BR133" s="30"/>
    </row>
    <row r="134" spans="3:92" ht="15.6" customHeight="1" x14ac:dyDescent="0.5">
      <c r="C134" s="32"/>
      <c r="D134" s="38"/>
      <c r="E134" s="38"/>
      <c r="F134" s="38"/>
      <c r="G134" s="38"/>
      <c r="H134" s="38"/>
      <c r="I134" s="38"/>
      <c r="J134" s="38"/>
      <c r="K134" s="38"/>
      <c r="L134" s="38"/>
      <c r="M134" s="38"/>
      <c r="N134" s="38"/>
      <c r="O134" s="38"/>
      <c r="P134" s="38"/>
      <c r="Q134" s="38"/>
      <c r="R134" s="38"/>
      <c r="S134" s="38"/>
      <c r="T134" s="38"/>
      <c r="U134" s="38"/>
      <c r="V134" s="38"/>
      <c r="W134" s="38"/>
      <c r="X134" s="18"/>
      <c r="Y134" s="18"/>
      <c r="Z134" s="18"/>
      <c r="AA134" s="34"/>
      <c r="AB134" s="39"/>
      <c r="AC134" s="39"/>
      <c r="AD134" s="39"/>
      <c r="AE134" s="39"/>
      <c r="AF134" s="39"/>
      <c r="AG134" s="39"/>
      <c r="AH134" s="39"/>
      <c r="AI134" s="39"/>
      <c r="AJ134" s="39"/>
      <c r="AK134" s="39"/>
      <c r="AL134" s="39"/>
      <c r="AM134" s="39"/>
      <c r="AN134" s="36"/>
      <c r="AO134" s="39"/>
      <c r="AP134" s="40"/>
      <c r="AQ134" s="40"/>
      <c r="AR134" s="192"/>
      <c r="AS134" s="192"/>
      <c r="AT134" s="192"/>
      <c r="AU134" s="192"/>
      <c r="AV134" s="192"/>
      <c r="AW134" s="192"/>
      <c r="AX134" s="192"/>
      <c r="AY134" s="192"/>
      <c r="AZ134" s="192"/>
      <c r="BA134" s="192"/>
      <c r="BB134" s="192"/>
      <c r="BC134" s="33"/>
      <c r="BD134" s="34"/>
      <c r="BE134" s="34"/>
      <c r="BF134" s="34"/>
      <c r="BG134" s="34"/>
      <c r="BH134" s="34"/>
      <c r="BI134" s="34"/>
      <c r="BJ134" s="34"/>
      <c r="BK134" s="34"/>
      <c r="BL134" s="34"/>
      <c r="BM134" s="34"/>
      <c r="BN134" s="35"/>
      <c r="BO134" s="35"/>
      <c r="BP134" s="35"/>
      <c r="BQ134" s="36"/>
      <c r="BR134" s="37"/>
    </row>
    <row r="135" spans="3:92" ht="15.6" customHeight="1" x14ac:dyDescent="0.5">
      <c r="C135" s="32"/>
      <c r="D135" s="144" t="s">
        <v>14</v>
      </c>
      <c r="E135" s="145"/>
      <c r="F135" s="145"/>
      <c r="G135" s="145"/>
      <c r="H135" s="145"/>
      <c r="I135" s="145"/>
      <c r="J135" s="145"/>
      <c r="K135" s="145"/>
      <c r="L135" s="145"/>
      <c r="M135" s="145"/>
      <c r="N135" s="145"/>
      <c r="O135" s="145"/>
      <c r="P135" s="145"/>
      <c r="Q135" s="146"/>
      <c r="R135" s="89" t="s">
        <v>51</v>
      </c>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1"/>
      <c r="BC135" s="33"/>
      <c r="BD135" s="34"/>
      <c r="BE135" s="34"/>
      <c r="BF135" s="34"/>
      <c r="BG135" s="34"/>
      <c r="BH135" s="34"/>
      <c r="BI135" s="34"/>
      <c r="BJ135" s="34"/>
      <c r="BK135" s="34"/>
      <c r="BL135" s="34"/>
      <c r="BM135" s="34"/>
      <c r="BN135" s="35"/>
      <c r="BO135" s="35"/>
      <c r="BP135" s="35"/>
      <c r="BQ135" s="36"/>
      <c r="BR135" s="37"/>
    </row>
    <row r="136" spans="3:92" ht="15.6" customHeight="1" x14ac:dyDescent="0.5">
      <c r="C136" s="32"/>
      <c r="D136" s="147"/>
      <c r="E136" s="148"/>
      <c r="F136" s="148"/>
      <c r="G136" s="148"/>
      <c r="H136" s="148"/>
      <c r="I136" s="148"/>
      <c r="J136" s="148"/>
      <c r="K136" s="148"/>
      <c r="L136" s="148"/>
      <c r="M136" s="148"/>
      <c r="N136" s="148"/>
      <c r="O136" s="148"/>
      <c r="P136" s="148"/>
      <c r="Q136" s="149"/>
      <c r="R136" s="95"/>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7"/>
      <c r="BC136" s="33"/>
      <c r="BD136" s="34"/>
      <c r="BE136" s="34"/>
      <c r="BF136" s="34"/>
      <c r="BG136" s="34"/>
      <c r="BH136" s="34"/>
      <c r="BI136" s="34"/>
      <c r="BJ136" s="34"/>
      <c r="BK136" s="34"/>
      <c r="BL136" s="34"/>
      <c r="BM136" s="34"/>
      <c r="BN136" s="35"/>
      <c r="BO136" s="35"/>
      <c r="BP136" s="35"/>
      <c r="BQ136" s="36"/>
      <c r="BR136" s="37"/>
    </row>
    <row r="137" spans="3:92" ht="15.6" customHeight="1" x14ac:dyDescent="0.5">
      <c r="C137" s="32"/>
      <c r="D137" s="38"/>
      <c r="E137" s="38"/>
      <c r="F137" s="38"/>
      <c r="G137" s="38"/>
      <c r="H137" s="38"/>
      <c r="I137" s="38"/>
      <c r="J137" s="38"/>
      <c r="K137" s="38"/>
      <c r="L137" s="38"/>
      <c r="M137" s="38"/>
      <c r="N137" s="38"/>
      <c r="O137" s="38"/>
      <c r="P137" s="38"/>
      <c r="Q137" s="38"/>
      <c r="R137" s="38"/>
      <c r="S137" s="38"/>
      <c r="T137" s="38"/>
      <c r="U137" s="38"/>
      <c r="V137" s="38"/>
      <c r="W137" s="38"/>
      <c r="X137" s="18"/>
      <c r="Y137" s="18"/>
      <c r="Z137" s="18"/>
      <c r="AA137" s="34"/>
      <c r="AB137" s="39"/>
      <c r="AC137" s="39"/>
      <c r="AD137" s="39"/>
      <c r="AE137" s="39"/>
      <c r="AF137" s="39"/>
      <c r="AG137" s="39"/>
      <c r="AH137" s="39"/>
      <c r="AI137" s="39"/>
      <c r="AJ137" s="39"/>
      <c r="AK137" s="39"/>
      <c r="AL137" s="39"/>
      <c r="AM137" s="39"/>
      <c r="AN137" s="36"/>
      <c r="AO137" s="39"/>
      <c r="AP137" s="40"/>
      <c r="AQ137" s="40"/>
      <c r="AR137" s="41"/>
      <c r="AS137" s="41"/>
      <c r="AT137" s="41"/>
      <c r="AU137" s="41"/>
      <c r="AV137" s="41"/>
      <c r="AW137" s="41"/>
      <c r="AX137" s="41"/>
      <c r="AY137" s="41"/>
      <c r="AZ137" s="41"/>
      <c r="BA137" s="41"/>
      <c r="BB137" s="41"/>
      <c r="BC137" s="33"/>
      <c r="BD137" s="34"/>
      <c r="BE137" s="34"/>
      <c r="BF137" s="34"/>
      <c r="BG137" s="34"/>
      <c r="BH137" s="34"/>
      <c r="BI137" s="34"/>
      <c r="BJ137" s="34"/>
      <c r="BK137" s="34"/>
      <c r="BL137" s="34"/>
      <c r="BM137" s="34"/>
      <c r="BN137" s="35"/>
      <c r="BO137" s="35"/>
      <c r="BP137" s="35"/>
      <c r="BQ137" s="36"/>
      <c r="BR137" s="37"/>
    </row>
    <row r="138" spans="3:92" ht="25.5" x14ac:dyDescent="0.5">
      <c r="C138" s="32"/>
      <c r="D138" s="38"/>
      <c r="E138" s="38"/>
      <c r="F138" s="38"/>
      <c r="G138" s="38"/>
      <c r="H138" s="38"/>
      <c r="I138" s="38"/>
      <c r="J138" s="38"/>
      <c r="K138" s="38"/>
      <c r="L138" s="38"/>
      <c r="M138" s="38"/>
      <c r="N138" s="38"/>
      <c r="O138" s="38"/>
      <c r="P138" s="38"/>
      <c r="Q138" s="38"/>
      <c r="R138" s="38"/>
      <c r="S138" s="38"/>
      <c r="T138" s="38"/>
      <c r="U138" s="42" t="s">
        <v>39</v>
      </c>
      <c r="V138" s="44"/>
      <c r="W138" s="43"/>
      <c r="X138" s="45"/>
      <c r="Y138" s="45"/>
      <c r="Z138" s="46"/>
      <c r="AA138" s="46"/>
      <c r="AB138" s="46"/>
      <c r="AC138" s="47"/>
      <c r="AD138" s="47"/>
      <c r="AE138" s="47"/>
      <c r="AF138" s="47"/>
      <c r="AG138" s="47"/>
      <c r="AH138" s="47"/>
      <c r="AI138" s="47"/>
      <c r="AJ138" s="47"/>
      <c r="AK138" s="43"/>
      <c r="AL138" s="43"/>
      <c r="AM138" s="42" t="s">
        <v>35</v>
      </c>
      <c r="AN138" s="38"/>
      <c r="AO138" s="38"/>
      <c r="AP138" s="38"/>
      <c r="AQ138" s="38"/>
      <c r="AR138" s="38"/>
      <c r="AS138" s="35"/>
      <c r="AT138" s="43"/>
      <c r="AU138" s="43"/>
      <c r="AV138" s="43"/>
      <c r="AW138" s="43"/>
      <c r="AX138" s="43"/>
      <c r="AY138" s="43"/>
      <c r="AZ138" s="43"/>
      <c r="BA138" s="43"/>
      <c r="BB138" s="43"/>
      <c r="BC138" s="47"/>
      <c r="BD138" s="35"/>
      <c r="BE138" s="35"/>
      <c r="BF138" s="48" t="s">
        <v>17</v>
      </c>
      <c r="BG138" s="59"/>
      <c r="BH138" s="59"/>
      <c r="BI138" s="59"/>
      <c r="BJ138" s="59"/>
      <c r="BK138" s="59"/>
      <c r="BL138" s="59"/>
      <c r="BM138" s="35"/>
      <c r="BN138" s="35"/>
      <c r="BO138" s="35"/>
      <c r="BP138" s="35"/>
      <c r="BQ138" s="36"/>
      <c r="BR138" s="37"/>
    </row>
    <row r="139" spans="3:92" ht="19.350000000000001" customHeight="1" x14ac:dyDescent="0.4">
      <c r="C139" s="32"/>
      <c r="D139" s="190" t="s">
        <v>18</v>
      </c>
      <c r="E139" s="190"/>
      <c r="F139" s="190"/>
      <c r="G139" s="190"/>
      <c r="H139" s="190"/>
      <c r="I139" s="190"/>
      <c r="J139" s="190"/>
      <c r="K139" s="190"/>
      <c r="L139" s="190"/>
      <c r="M139" s="190"/>
      <c r="N139" s="98" t="str">
        <f>IF([10]回答表!F17="下水道事業",IF([10]回答表!X45="●","●",""),"")</f>
        <v/>
      </c>
      <c r="O139" s="99"/>
      <c r="P139" s="99"/>
      <c r="Q139" s="100"/>
      <c r="R139" s="38"/>
      <c r="S139" s="38"/>
      <c r="T139" s="38"/>
      <c r="U139" s="220" t="s">
        <v>52</v>
      </c>
      <c r="V139" s="221"/>
      <c r="W139" s="221"/>
      <c r="X139" s="221"/>
      <c r="Y139" s="221"/>
      <c r="Z139" s="221"/>
      <c r="AA139" s="221"/>
      <c r="AB139" s="221"/>
      <c r="AC139" s="32"/>
      <c r="AD139" s="18"/>
      <c r="AE139" s="18"/>
      <c r="AF139" s="18"/>
      <c r="AG139" s="18"/>
      <c r="AH139" s="18"/>
      <c r="AI139" s="18"/>
      <c r="AJ139" s="18"/>
      <c r="AK139" s="49"/>
      <c r="AL139" s="18"/>
      <c r="AM139" s="211" t="str">
        <f>IF([10]回答表!F17="下水道事業",IF([10]回答表!X45="●",[10]回答表!B158,IF([10]回答表!AA45="●",[10]回答表!B223,"")),"")</f>
        <v/>
      </c>
      <c r="AN139" s="212"/>
      <c r="AO139" s="212"/>
      <c r="AP139" s="212"/>
      <c r="AQ139" s="212"/>
      <c r="AR139" s="212"/>
      <c r="AS139" s="212"/>
      <c r="AT139" s="212"/>
      <c r="AU139" s="212"/>
      <c r="AV139" s="212"/>
      <c r="AW139" s="212"/>
      <c r="AX139" s="212"/>
      <c r="AY139" s="212"/>
      <c r="AZ139" s="212"/>
      <c r="BA139" s="212"/>
      <c r="BB139" s="212"/>
      <c r="BC139" s="213"/>
      <c r="BD139" s="34"/>
      <c r="BE139" s="34"/>
      <c r="BF139" s="116" t="str">
        <f>IF([10]回答表!F17="下水道事業",IF([10]回答表!X45="●",[10]回答表!B212,IF([10]回答表!AA45="●",[10]回答表!B278,"")),"")</f>
        <v/>
      </c>
      <c r="BG139" s="117"/>
      <c r="BH139" s="117"/>
      <c r="BI139" s="117"/>
      <c r="BJ139" s="116"/>
      <c r="BK139" s="117"/>
      <c r="BL139" s="117"/>
      <c r="BM139" s="117"/>
      <c r="BN139" s="116"/>
      <c r="BO139" s="117"/>
      <c r="BP139" s="117"/>
      <c r="BQ139" s="118"/>
      <c r="BR139" s="37"/>
    </row>
    <row r="140" spans="3:92" ht="19.350000000000001" customHeight="1" x14ac:dyDescent="0.4">
      <c r="C140" s="32"/>
      <c r="D140" s="190"/>
      <c r="E140" s="190"/>
      <c r="F140" s="190"/>
      <c r="G140" s="190"/>
      <c r="H140" s="190"/>
      <c r="I140" s="190"/>
      <c r="J140" s="190"/>
      <c r="K140" s="190"/>
      <c r="L140" s="190"/>
      <c r="M140" s="190"/>
      <c r="N140" s="101"/>
      <c r="O140" s="102"/>
      <c r="P140" s="102"/>
      <c r="Q140" s="103"/>
      <c r="R140" s="38"/>
      <c r="S140" s="38"/>
      <c r="T140" s="38"/>
      <c r="U140" s="222"/>
      <c r="V140" s="223"/>
      <c r="W140" s="223"/>
      <c r="X140" s="223"/>
      <c r="Y140" s="223"/>
      <c r="Z140" s="223"/>
      <c r="AA140" s="223"/>
      <c r="AB140" s="223"/>
      <c r="AC140" s="32"/>
      <c r="AD140" s="18"/>
      <c r="AE140" s="18"/>
      <c r="AF140" s="18"/>
      <c r="AG140" s="18"/>
      <c r="AH140" s="18"/>
      <c r="AI140" s="18"/>
      <c r="AJ140" s="18"/>
      <c r="AK140" s="49"/>
      <c r="AL140" s="18"/>
      <c r="AM140" s="214"/>
      <c r="AN140" s="215"/>
      <c r="AO140" s="215"/>
      <c r="AP140" s="215"/>
      <c r="AQ140" s="215"/>
      <c r="AR140" s="215"/>
      <c r="AS140" s="215"/>
      <c r="AT140" s="215"/>
      <c r="AU140" s="215"/>
      <c r="AV140" s="215"/>
      <c r="AW140" s="215"/>
      <c r="AX140" s="215"/>
      <c r="AY140" s="215"/>
      <c r="AZ140" s="215"/>
      <c r="BA140" s="215"/>
      <c r="BB140" s="215"/>
      <c r="BC140" s="216"/>
      <c r="BD140" s="34"/>
      <c r="BE140" s="34"/>
      <c r="BF140" s="83"/>
      <c r="BG140" s="84"/>
      <c r="BH140" s="84"/>
      <c r="BI140" s="84"/>
      <c r="BJ140" s="83"/>
      <c r="BK140" s="84"/>
      <c r="BL140" s="84"/>
      <c r="BM140" s="84"/>
      <c r="BN140" s="83"/>
      <c r="BO140" s="84"/>
      <c r="BP140" s="84"/>
      <c r="BQ140" s="87"/>
      <c r="BR140" s="37"/>
    </row>
    <row r="141" spans="3:92" ht="15.6" customHeight="1" x14ac:dyDescent="0.4">
      <c r="C141" s="32"/>
      <c r="D141" s="190"/>
      <c r="E141" s="190"/>
      <c r="F141" s="190"/>
      <c r="G141" s="190"/>
      <c r="H141" s="190"/>
      <c r="I141" s="190"/>
      <c r="J141" s="190"/>
      <c r="K141" s="190"/>
      <c r="L141" s="190"/>
      <c r="M141" s="190"/>
      <c r="N141" s="101"/>
      <c r="O141" s="102"/>
      <c r="P141" s="102"/>
      <c r="Q141" s="103"/>
      <c r="R141" s="38"/>
      <c r="S141" s="38"/>
      <c r="T141" s="38"/>
      <c r="U141" s="119" t="str">
        <f>IF([10]回答表!F17="下水道事業",IF([10]回答表!X45="●",[10]回答表!Y193,IF([10]回答表!AA45="●",[10]回答表!Y259,"")),"")</f>
        <v/>
      </c>
      <c r="V141" s="120"/>
      <c r="W141" s="120"/>
      <c r="X141" s="120"/>
      <c r="Y141" s="120"/>
      <c r="Z141" s="120"/>
      <c r="AA141" s="120"/>
      <c r="AB141" s="121"/>
      <c r="AC141" s="18"/>
      <c r="AD141" s="18"/>
      <c r="AE141" s="18"/>
      <c r="AF141" s="18"/>
      <c r="AG141" s="18"/>
      <c r="AH141" s="18"/>
      <c r="AI141" s="18"/>
      <c r="AJ141" s="18"/>
      <c r="AK141" s="49"/>
      <c r="AL141" s="18"/>
      <c r="AM141" s="214"/>
      <c r="AN141" s="215"/>
      <c r="AO141" s="215"/>
      <c r="AP141" s="215"/>
      <c r="AQ141" s="215"/>
      <c r="AR141" s="215"/>
      <c r="AS141" s="215"/>
      <c r="AT141" s="215"/>
      <c r="AU141" s="215"/>
      <c r="AV141" s="215"/>
      <c r="AW141" s="215"/>
      <c r="AX141" s="215"/>
      <c r="AY141" s="215"/>
      <c r="AZ141" s="215"/>
      <c r="BA141" s="215"/>
      <c r="BB141" s="215"/>
      <c r="BC141" s="216"/>
      <c r="BD141" s="34"/>
      <c r="BE141" s="34"/>
      <c r="BF141" s="83"/>
      <c r="BG141" s="84"/>
      <c r="BH141" s="84"/>
      <c r="BI141" s="84"/>
      <c r="BJ141" s="83"/>
      <c r="BK141" s="84"/>
      <c r="BL141" s="84"/>
      <c r="BM141" s="84"/>
      <c r="BN141" s="83"/>
      <c r="BO141" s="84"/>
      <c r="BP141" s="84"/>
      <c r="BQ141" s="87"/>
      <c r="BR141" s="37"/>
    </row>
    <row r="142" spans="3:92" ht="15.6" customHeight="1" x14ac:dyDescent="0.5">
      <c r="C142" s="32"/>
      <c r="D142" s="190"/>
      <c r="E142" s="190"/>
      <c r="F142" s="190"/>
      <c r="G142" s="190"/>
      <c r="H142" s="190"/>
      <c r="I142" s="190"/>
      <c r="J142" s="190"/>
      <c r="K142" s="190"/>
      <c r="L142" s="190"/>
      <c r="M142" s="190"/>
      <c r="N142" s="104"/>
      <c r="O142" s="105"/>
      <c r="P142" s="105"/>
      <c r="Q142" s="106"/>
      <c r="R142" s="38"/>
      <c r="S142" s="38"/>
      <c r="T142" s="38"/>
      <c r="U142" s="122"/>
      <c r="V142" s="123"/>
      <c r="W142" s="123"/>
      <c r="X142" s="123"/>
      <c r="Y142" s="123"/>
      <c r="Z142" s="123"/>
      <c r="AA142" s="123"/>
      <c r="AB142" s="124"/>
      <c r="AC142" s="34"/>
      <c r="AD142" s="34"/>
      <c r="AE142" s="34"/>
      <c r="AF142" s="34"/>
      <c r="AG142" s="34"/>
      <c r="AH142" s="34"/>
      <c r="AI142" s="34"/>
      <c r="AJ142" s="35"/>
      <c r="AK142" s="49"/>
      <c r="AL142" s="18"/>
      <c r="AM142" s="214"/>
      <c r="AN142" s="215"/>
      <c r="AO142" s="215"/>
      <c r="AP142" s="215"/>
      <c r="AQ142" s="215"/>
      <c r="AR142" s="215"/>
      <c r="AS142" s="215"/>
      <c r="AT142" s="215"/>
      <c r="AU142" s="215"/>
      <c r="AV142" s="215"/>
      <c r="AW142" s="215"/>
      <c r="AX142" s="215"/>
      <c r="AY142" s="215"/>
      <c r="AZ142" s="215"/>
      <c r="BA142" s="215"/>
      <c r="BB142" s="215"/>
      <c r="BC142" s="216"/>
      <c r="BD142" s="34"/>
      <c r="BE142" s="34"/>
      <c r="BF142" s="83" t="str">
        <f>IF([10]回答表!F17="下水道事業",IF([10]回答表!X45="●",[10]回答表!E212,IF([10]回答表!AA45="●",[10]回答表!E278,"")),"")</f>
        <v/>
      </c>
      <c r="BG142" s="84"/>
      <c r="BH142" s="84"/>
      <c r="BI142" s="84"/>
      <c r="BJ142" s="83" t="str">
        <f>IF([10]回答表!F17="下水道事業",IF([10]回答表!X45="●",[10]回答表!E213,IF([10]回答表!AA45="●",[10]回答表!E279,"")),"")</f>
        <v/>
      </c>
      <c r="BK142" s="84"/>
      <c r="BL142" s="84"/>
      <c r="BM142" s="84"/>
      <c r="BN142" s="83" t="str">
        <f>IF([10]回答表!F17="下水道事業",IF([10]回答表!X45="●",[10]回答表!E214,IF([10]回答表!AA45="●",[10]回答表!E280,"")),"")</f>
        <v/>
      </c>
      <c r="BO142" s="84"/>
      <c r="BP142" s="84"/>
      <c r="BQ142" s="87"/>
      <c r="BR142" s="37"/>
      <c r="BX142" s="211" t="str">
        <f>IF([10]回答表!AQ20="下水道事業",IF([10]回答表!BI48="○",[10]回答表!AM161,IF([10]回答表!BL48="○",[10]回答表!AM226,"")),"")</f>
        <v/>
      </c>
      <c r="BY142" s="212"/>
      <c r="BZ142" s="212"/>
      <c r="CA142" s="212"/>
      <c r="CB142" s="212"/>
      <c r="CC142" s="212"/>
      <c r="CD142" s="212"/>
      <c r="CE142" s="212"/>
      <c r="CF142" s="212"/>
      <c r="CG142" s="212"/>
      <c r="CH142" s="212"/>
      <c r="CI142" s="212"/>
      <c r="CJ142" s="212"/>
      <c r="CK142" s="212"/>
      <c r="CL142" s="212"/>
      <c r="CM142" s="212"/>
      <c r="CN142" s="213"/>
    </row>
    <row r="143" spans="3:92" ht="15.6" customHeight="1" x14ac:dyDescent="0.5">
      <c r="C143" s="32"/>
      <c r="D143" s="50"/>
      <c r="E143" s="50"/>
      <c r="F143" s="50"/>
      <c r="G143" s="50"/>
      <c r="H143" s="50"/>
      <c r="I143" s="50"/>
      <c r="J143" s="50"/>
      <c r="K143" s="50"/>
      <c r="L143" s="50"/>
      <c r="M143" s="50"/>
      <c r="N143" s="51"/>
      <c r="O143" s="51"/>
      <c r="P143" s="51"/>
      <c r="Q143" s="51"/>
      <c r="R143" s="52"/>
      <c r="S143" s="52"/>
      <c r="T143" s="52"/>
      <c r="U143" s="125"/>
      <c r="V143" s="126"/>
      <c r="W143" s="126"/>
      <c r="X143" s="126"/>
      <c r="Y143" s="126"/>
      <c r="Z143" s="126"/>
      <c r="AA143" s="126"/>
      <c r="AB143" s="127"/>
      <c r="AC143" s="34"/>
      <c r="AD143" s="34"/>
      <c r="AE143" s="34"/>
      <c r="AF143" s="34"/>
      <c r="AG143" s="34"/>
      <c r="AH143" s="34"/>
      <c r="AI143" s="34"/>
      <c r="AJ143" s="35"/>
      <c r="AK143" s="49"/>
      <c r="AL143" s="34"/>
      <c r="AM143" s="214"/>
      <c r="AN143" s="215"/>
      <c r="AO143" s="215"/>
      <c r="AP143" s="215"/>
      <c r="AQ143" s="215"/>
      <c r="AR143" s="215"/>
      <c r="AS143" s="215"/>
      <c r="AT143" s="215"/>
      <c r="AU143" s="215"/>
      <c r="AV143" s="215"/>
      <c r="AW143" s="215"/>
      <c r="AX143" s="215"/>
      <c r="AY143" s="215"/>
      <c r="AZ143" s="215"/>
      <c r="BA143" s="215"/>
      <c r="BB143" s="215"/>
      <c r="BC143" s="216"/>
      <c r="BD143" s="39"/>
      <c r="BE143" s="39"/>
      <c r="BF143" s="83"/>
      <c r="BG143" s="84"/>
      <c r="BH143" s="84"/>
      <c r="BI143" s="84"/>
      <c r="BJ143" s="83"/>
      <c r="BK143" s="84"/>
      <c r="BL143" s="84"/>
      <c r="BM143" s="84"/>
      <c r="BN143" s="83"/>
      <c r="BO143" s="84"/>
      <c r="BP143" s="84"/>
      <c r="BQ143" s="87"/>
      <c r="BR143" s="37"/>
      <c r="BX143" s="214"/>
      <c r="BY143" s="215"/>
      <c r="BZ143" s="215"/>
      <c r="CA143" s="215"/>
      <c r="CB143" s="215"/>
      <c r="CC143" s="215"/>
      <c r="CD143" s="215"/>
      <c r="CE143" s="215"/>
      <c r="CF143" s="215"/>
      <c r="CG143" s="215"/>
      <c r="CH143" s="215"/>
      <c r="CI143" s="215"/>
      <c r="CJ143" s="215"/>
      <c r="CK143" s="215"/>
      <c r="CL143" s="215"/>
      <c r="CM143" s="215"/>
      <c r="CN143" s="216"/>
    </row>
    <row r="144" spans="3:92" ht="18" customHeight="1" x14ac:dyDescent="0.4">
      <c r="C144" s="32"/>
      <c r="D144" s="18"/>
      <c r="E144" s="18"/>
      <c r="F144" s="18"/>
      <c r="G144" s="18"/>
      <c r="H144" s="18"/>
      <c r="I144" s="18"/>
      <c r="J144" s="18"/>
      <c r="K144" s="18"/>
      <c r="L144" s="18"/>
      <c r="M144" s="18"/>
      <c r="N144" s="18"/>
      <c r="O144" s="18"/>
      <c r="P144" s="34"/>
      <c r="Q144" s="34"/>
      <c r="R144" s="38"/>
      <c r="S144" s="38"/>
      <c r="T144" s="38"/>
      <c r="U144" s="18"/>
      <c r="V144" s="18"/>
      <c r="W144" s="18"/>
      <c r="X144" s="18"/>
      <c r="Y144" s="18"/>
      <c r="Z144" s="18"/>
      <c r="AA144" s="18"/>
      <c r="AB144" s="18"/>
      <c r="AC144" s="18"/>
      <c r="AD144" s="33"/>
      <c r="AE144" s="34"/>
      <c r="AF144" s="34"/>
      <c r="AG144" s="34"/>
      <c r="AH144" s="34"/>
      <c r="AI144" s="34"/>
      <c r="AJ144" s="34"/>
      <c r="AK144" s="34"/>
      <c r="AL144" s="34"/>
      <c r="AM144" s="214"/>
      <c r="AN144" s="215"/>
      <c r="AO144" s="215"/>
      <c r="AP144" s="215"/>
      <c r="AQ144" s="215"/>
      <c r="AR144" s="215"/>
      <c r="AS144" s="215"/>
      <c r="AT144" s="215"/>
      <c r="AU144" s="215"/>
      <c r="AV144" s="215"/>
      <c r="AW144" s="215"/>
      <c r="AX144" s="215"/>
      <c r="AY144" s="215"/>
      <c r="AZ144" s="215"/>
      <c r="BA144" s="215"/>
      <c r="BB144" s="215"/>
      <c r="BC144" s="216"/>
      <c r="BD144" s="18"/>
      <c r="BE144" s="18"/>
      <c r="BF144" s="83"/>
      <c r="BG144" s="84"/>
      <c r="BH144" s="84"/>
      <c r="BI144" s="84"/>
      <c r="BJ144" s="83"/>
      <c r="BK144" s="84"/>
      <c r="BL144" s="84"/>
      <c r="BM144" s="84"/>
      <c r="BN144" s="83"/>
      <c r="BO144" s="84"/>
      <c r="BP144" s="84"/>
      <c r="BQ144" s="87"/>
      <c r="BR144" s="37"/>
      <c r="BS144" s="24"/>
      <c r="BT144" s="18"/>
      <c r="BU144" s="18"/>
      <c r="BV144" s="18"/>
      <c r="BW144" s="18"/>
      <c r="BX144" s="214"/>
      <c r="BY144" s="215"/>
      <c r="BZ144" s="215"/>
      <c r="CA144" s="215"/>
      <c r="CB144" s="215"/>
      <c r="CC144" s="215"/>
      <c r="CD144" s="215"/>
      <c r="CE144" s="215"/>
      <c r="CF144" s="215"/>
      <c r="CG144" s="215"/>
      <c r="CH144" s="215"/>
      <c r="CI144" s="215"/>
      <c r="CJ144" s="215"/>
      <c r="CK144" s="215"/>
      <c r="CL144" s="215"/>
      <c r="CM144" s="215"/>
      <c r="CN144" s="216"/>
    </row>
    <row r="145" spans="3:92" ht="19.350000000000001" customHeight="1" x14ac:dyDescent="0.4">
      <c r="C145" s="32"/>
      <c r="D145" s="50"/>
      <c r="E145" s="50"/>
      <c r="F145" s="50"/>
      <c r="G145" s="50"/>
      <c r="H145" s="50"/>
      <c r="I145" s="50"/>
      <c r="J145" s="50"/>
      <c r="K145" s="50"/>
      <c r="L145" s="50"/>
      <c r="M145" s="50"/>
      <c r="N145" s="51"/>
      <c r="O145" s="51"/>
      <c r="P145" s="51"/>
      <c r="Q145" s="51"/>
      <c r="R145" s="52"/>
      <c r="S145" s="52"/>
      <c r="T145" s="52"/>
      <c r="U145" s="220" t="s">
        <v>53</v>
      </c>
      <c r="V145" s="221"/>
      <c r="W145" s="221"/>
      <c r="X145" s="221"/>
      <c r="Y145" s="221"/>
      <c r="Z145" s="221"/>
      <c r="AA145" s="221"/>
      <c r="AB145" s="221"/>
      <c r="AC145" s="220" t="s">
        <v>54</v>
      </c>
      <c r="AD145" s="221"/>
      <c r="AE145" s="221"/>
      <c r="AF145" s="221"/>
      <c r="AG145" s="221"/>
      <c r="AH145" s="221"/>
      <c r="AI145" s="221"/>
      <c r="AJ145" s="224"/>
      <c r="AK145" s="49"/>
      <c r="AL145" s="34"/>
      <c r="AM145" s="214"/>
      <c r="AN145" s="215"/>
      <c r="AO145" s="215"/>
      <c r="AP145" s="215"/>
      <c r="AQ145" s="215"/>
      <c r="AR145" s="215"/>
      <c r="AS145" s="215"/>
      <c r="AT145" s="215"/>
      <c r="AU145" s="215"/>
      <c r="AV145" s="215"/>
      <c r="AW145" s="215"/>
      <c r="AX145" s="215"/>
      <c r="AY145" s="215"/>
      <c r="AZ145" s="215"/>
      <c r="BA145" s="215"/>
      <c r="BB145" s="215"/>
      <c r="BC145" s="216"/>
      <c r="BD145" s="34"/>
      <c r="BE145" s="34"/>
      <c r="BF145" s="83"/>
      <c r="BG145" s="84"/>
      <c r="BH145" s="84"/>
      <c r="BI145" s="84"/>
      <c r="BJ145" s="83"/>
      <c r="BK145" s="84"/>
      <c r="BL145" s="84"/>
      <c r="BM145" s="84"/>
      <c r="BN145" s="83"/>
      <c r="BO145" s="84"/>
      <c r="BP145" s="84"/>
      <c r="BQ145" s="87"/>
      <c r="BR145" s="37"/>
      <c r="BX145" s="214"/>
      <c r="BY145" s="215"/>
      <c r="BZ145" s="215"/>
      <c r="CA145" s="215"/>
      <c r="CB145" s="215"/>
      <c r="CC145" s="215"/>
      <c r="CD145" s="215"/>
      <c r="CE145" s="215"/>
      <c r="CF145" s="215"/>
      <c r="CG145" s="215"/>
      <c r="CH145" s="215"/>
      <c r="CI145" s="215"/>
      <c r="CJ145" s="215"/>
      <c r="CK145" s="215"/>
      <c r="CL145" s="215"/>
      <c r="CM145" s="215"/>
      <c r="CN145" s="216"/>
    </row>
    <row r="146" spans="3:92" ht="19.350000000000001" customHeight="1" x14ac:dyDescent="0.4">
      <c r="C146" s="32"/>
      <c r="D146" s="18"/>
      <c r="E146" s="18"/>
      <c r="F146" s="18"/>
      <c r="G146" s="18"/>
      <c r="H146" s="18"/>
      <c r="I146" s="18"/>
      <c r="J146" s="18"/>
      <c r="K146" s="18"/>
      <c r="L146" s="18"/>
      <c r="M146" s="18"/>
      <c r="N146" s="18"/>
      <c r="O146" s="18"/>
      <c r="P146" s="34"/>
      <c r="Q146" s="34"/>
      <c r="R146" s="34"/>
      <c r="S146" s="38"/>
      <c r="T146" s="38"/>
      <c r="U146" s="222"/>
      <c r="V146" s="223"/>
      <c r="W146" s="223"/>
      <c r="X146" s="223"/>
      <c r="Y146" s="223"/>
      <c r="Z146" s="223"/>
      <c r="AA146" s="223"/>
      <c r="AB146" s="223"/>
      <c r="AC146" s="225"/>
      <c r="AD146" s="226"/>
      <c r="AE146" s="226"/>
      <c r="AF146" s="226"/>
      <c r="AG146" s="226"/>
      <c r="AH146" s="226"/>
      <c r="AI146" s="226"/>
      <c r="AJ146" s="227"/>
      <c r="AK146" s="49"/>
      <c r="AL146" s="34"/>
      <c r="AM146" s="214"/>
      <c r="AN146" s="215"/>
      <c r="AO146" s="215"/>
      <c r="AP146" s="215"/>
      <c r="AQ146" s="215"/>
      <c r="AR146" s="215"/>
      <c r="AS146" s="215"/>
      <c r="AT146" s="215"/>
      <c r="AU146" s="215"/>
      <c r="AV146" s="215"/>
      <c r="AW146" s="215"/>
      <c r="AX146" s="215"/>
      <c r="AY146" s="215"/>
      <c r="AZ146" s="215"/>
      <c r="BA146" s="215"/>
      <c r="BB146" s="215"/>
      <c r="BC146" s="216"/>
      <c r="BD146" s="53"/>
      <c r="BE146" s="53"/>
      <c r="BF146" s="83"/>
      <c r="BG146" s="84"/>
      <c r="BH146" s="84"/>
      <c r="BI146" s="84"/>
      <c r="BJ146" s="83"/>
      <c r="BK146" s="84"/>
      <c r="BL146" s="84"/>
      <c r="BM146" s="84"/>
      <c r="BN146" s="83"/>
      <c r="BO146" s="84"/>
      <c r="BP146" s="84"/>
      <c r="BQ146" s="87"/>
      <c r="BR146" s="37"/>
      <c r="BX146" s="214"/>
      <c r="BY146" s="215"/>
      <c r="BZ146" s="215"/>
      <c r="CA146" s="215"/>
      <c r="CB146" s="215"/>
      <c r="CC146" s="215"/>
      <c r="CD146" s="215"/>
      <c r="CE146" s="215"/>
      <c r="CF146" s="215"/>
      <c r="CG146" s="215"/>
      <c r="CH146" s="215"/>
      <c r="CI146" s="215"/>
      <c r="CJ146" s="215"/>
      <c r="CK146" s="215"/>
      <c r="CL146" s="215"/>
      <c r="CM146" s="215"/>
      <c r="CN146" s="216"/>
    </row>
    <row r="147" spans="3:92" ht="15.6" customHeight="1" x14ac:dyDescent="0.4">
      <c r="C147" s="32"/>
      <c r="D147" s="18"/>
      <c r="E147" s="18"/>
      <c r="F147" s="18"/>
      <c r="G147" s="18"/>
      <c r="H147" s="18"/>
      <c r="I147" s="18"/>
      <c r="J147" s="18"/>
      <c r="K147" s="18"/>
      <c r="L147" s="18"/>
      <c r="M147" s="18"/>
      <c r="N147" s="18"/>
      <c r="O147" s="18"/>
      <c r="P147" s="34"/>
      <c r="Q147" s="34"/>
      <c r="R147" s="34"/>
      <c r="S147" s="38"/>
      <c r="T147" s="38"/>
      <c r="U147" s="119" t="str">
        <f>IF([10]回答表!F17="下水道事業",IF([10]回答表!X45="●",[10]回答表!Y195,IF([10]回答表!AA45="●",[10]回答表!Y261,"")),"")</f>
        <v/>
      </c>
      <c r="V147" s="120"/>
      <c r="W147" s="120"/>
      <c r="X147" s="120"/>
      <c r="Y147" s="120"/>
      <c r="Z147" s="120"/>
      <c r="AA147" s="120"/>
      <c r="AB147" s="121"/>
      <c r="AC147" s="119" t="str">
        <f>IF([10]回答表!F17="下水道事業",IF([10]回答表!X45="●",[10]回答表!Y196,IF([10]回答表!AA45="●",[10]回答表!Y262,"")),"")</f>
        <v/>
      </c>
      <c r="AD147" s="120"/>
      <c r="AE147" s="120"/>
      <c r="AF147" s="120"/>
      <c r="AG147" s="120"/>
      <c r="AH147" s="120"/>
      <c r="AI147" s="120"/>
      <c r="AJ147" s="121"/>
      <c r="AK147" s="49"/>
      <c r="AL147" s="34"/>
      <c r="AM147" s="214"/>
      <c r="AN147" s="215"/>
      <c r="AO147" s="215"/>
      <c r="AP147" s="215"/>
      <c r="AQ147" s="215"/>
      <c r="AR147" s="215"/>
      <c r="AS147" s="215"/>
      <c r="AT147" s="215"/>
      <c r="AU147" s="215"/>
      <c r="AV147" s="215"/>
      <c r="AW147" s="215"/>
      <c r="AX147" s="215"/>
      <c r="AY147" s="215"/>
      <c r="AZ147" s="215"/>
      <c r="BA147" s="215"/>
      <c r="BB147" s="215"/>
      <c r="BC147" s="216"/>
      <c r="BD147" s="53"/>
      <c r="BE147" s="53"/>
      <c r="BF147" s="83" t="s">
        <v>23</v>
      </c>
      <c r="BG147" s="84"/>
      <c r="BH147" s="84"/>
      <c r="BI147" s="84"/>
      <c r="BJ147" s="83" t="s">
        <v>24</v>
      </c>
      <c r="BK147" s="84"/>
      <c r="BL147" s="84"/>
      <c r="BM147" s="84"/>
      <c r="BN147" s="83" t="s">
        <v>25</v>
      </c>
      <c r="BO147" s="84"/>
      <c r="BP147" s="84"/>
      <c r="BQ147" s="87"/>
      <c r="BR147" s="37"/>
      <c r="BX147" s="214"/>
      <c r="BY147" s="215"/>
      <c r="BZ147" s="215"/>
      <c r="CA147" s="215"/>
      <c r="CB147" s="215"/>
      <c r="CC147" s="215"/>
      <c r="CD147" s="215"/>
      <c r="CE147" s="215"/>
      <c r="CF147" s="215"/>
      <c r="CG147" s="215"/>
      <c r="CH147" s="215"/>
      <c r="CI147" s="215"/>
      <c r="CJ147" s="215"/>
      <c r="CK147" s="215"/>
      <c r="CL147" s="215"/>
      <c r="CM147" s="215"/>
      <c r="CN147" s="216"/>
    </row>
    <row r="148" spans="3:92" ht="15.6" customHeight="1" x14ac:dyDescent="0.4">
      <c r="C148" s="32"/>
      <c r="D148" s="18"/>
      <c r="E148" s="18"/>
      <c r="F148" s="18"/>
      <c r="G148" s="18"/>
      <c r="H148" s="18"/>
      <c r="I148" s="18"/>
      <c r="J148" s="18"/>
      <c r="K148" s="18"/>
      <c r="L148" s="18"/>
      <c r="M148" s="18"/>
      <c r="N148" s="18"/>
      <c r="O148" s="18"/>
      <c r="P148" s="34"/>
      <c r="Q148" s="34"/>
      <c r="R148" s="34"/>
      <c r="S148" s="38"/>
      <c r="T148" s="38"/>
      <c r="U148" s="122"/>
      <c r="V148" s="123"/>
      <c r="W148" s="123"/>
      <c r="X148" s="123"/>
      <c r="Y148" s="123"/>
      <c r="Z148" s="123"/>
      <c r="AA148" s="123"/>
      <c r="AB148" s="124"/>
      <c r="AC148" s="122"/>
      <c r="AD148" s="123"/>
      <c r="AE148" s="123"/>
      <c r="AF148" s="123"/>
      <c r="AG148" s="123"/>
      <c r="AH148" s="123"/>
      <c r="AI148" s="123"/>
      <c r="AJ148" s="124"/>
      <c r="AK148" s="49"/>
      <c r="AL148" s="34"/>
      <c r="AM148" s="217"/>
      <c r="AN148" s="218"/>
      <c r="AO148" s="218"/>
      <c r="AP148" s="218"/>
      <c r="AQ148" s="218"/>
      <c r="AR148" s="218"/>
      <c r="AS148" s="218"/>
      <c r="AT148" s="218"/>
      <c r="AU148" s="218"/>
      <c r="AV148" s="218"/>
      <c r="AW148" s="218"/>
      <c r="AX148" s="218"/>
      <c r="AY148" s="218"/>
      <c r="AZ148" s="218"/>
      <c r="BA148" s="218"/>
      <c r="BB148" s="218"/>
      <c r="BC148" s="219"/>
      <c r="BD148" s="53"/>
      <c r="BE148" s="53"/>
      <c r="BF148" s="83"/>
      <c r="BG148" s="84"/>
      <c r="BH148" s="84"/>
      <c r="BI148" s="84"/>
      <c r="BJ148" s="83"/>
      <c r="BK148" s="84"/>
      <c r="BL148" s="84"/>
      <c r="BM148" s="84"/>
      <c r="BN148" s="83"/>
      <c r="BO148" s="84"/>
      <c r="BP148" s="84"/>
      <c r="BQ148" s="87"/>
      <c r="BR148" s="37"/>
      <c r="BX148" s="214"/>
      <c r="BY148" s="215"/>
      <c r="BZ148" s="215"/>
      <c r="CA148" s="215"/>
      <c r="CB148" s="215"/>
      <c r="CC148" s="215"/>
      <c r="CD148" s="215"/>
      <c r="CE148" s="215"/>
      <c r="CF148" s="215"/>
      <c r="CG148" s="215"/>
      <c r="CH148" s="215"/>
      <c r="CI148" s="215"/>
      <c r="CJ148" s="215"/>
      <c r="CK148" s="215"/>
      <c r="CL148" s="215"/>
      <c r="CM148" s="215"/>
      <c r="CN148" s="216"/>
    </row>
    <row r="149" spans="3:92" ht="15.6" customHeight="1" x14ac:dyDescent="0.4">
      <c r="C149" s="32"/>
      <c r="D149" s="18"/>
      <c r="E149" s="18"/>
      <c r="F149" s="18"/>
      <c r="G149" s="18"/>
      <c r="H149" s="18"/>
      <c r="I149" s="18"/>
      <c r="J149" s="18"/>
      <c r="K149" s="18"/>
      <c r="L149" s="18"/>
      <c r="M149" s="18"/>
      <c r="N149" s="18"/>
      <c r="O149" s="18"/>
      <c r="P149" s="34"/>
      <c r="Q149" s="34"/>
      <c r="R149" s="34"/>
      <c r="S149" s="38"/>
      <c r="T149" s="38"/>
      <c r="U149" s="125"/>
      <c r="V149" s="126"/>
      <c r="W149" s="126"/>
      <c r="X149" s="126"/>
      <c r="Y149" s="126"/>
      <c r="Z149" s="126"/>
      <c r="AA149" s="126"/>
      <c r="AB149" s="127"/>
      <c r="AC149" s="125"/>
      <c r="AD149" s="126"/>
      <c r="AE149" s="126"/>
      <c r="AF149" s="126"/>
      <c r="AG149" s="126"/>
      <c r="AH149" s="126"/>
      <c r="AI149" s="126"/>
      <c r="AJ149" s="127"/>
      <c r="AK149" s="49"/>
      <c r="AL149" s="34"/>
      <c r="AM149" s="18"/>
      <c r="AN149" s="18"/>
      <c r="AO149" s="18"/>
      <c r="AP149" s="18"/>
      <c r="AQ149" s="18"/>
      <c r="AR149" s="18"/>
      <c r="AS149" s="18"/>
      <c r="AT149" s="18"/>
      <c r="AU149" s="18"/>
      <c r="AV149" s="18"/>
      <c r="AW149" s="18"/>
      <c r="AX149" s="18"/>
      <c r="AY149" s="18"/>
      <c r="AZ149" s="18"/>
      <c r="BA149" s="18"/>
      <c r="BB149" s="18"/>
      <c r="BC149" s="39"/>
      <c r="BD149" s="53"/>
      <c r="BE149" s="53"/>
      <c r="BF149" s="85"/>
      <c r="BG149" s="86"/>
      <c r="BH149" s="86"/>
      <c r="BI149" s="86"/>
      <c r="BJ149" s="85"/>
      <c r="BK149" s="86"/>
      <c r="BL149" s="86"/>
      <c r="BM149" s="86"/>
      <c r="BN149" s="85"/>
      <c r="BO149" s="86"/>
      <c r="BP149" s="86"/>
      <c r="BQ149" s="88"/>
      <c r="BR149" s="37"/>
      <c r="BX149" s="214"/>
      <c r="BY149" s="215"/>
      <c r="BZ149" s="215"/>
      <c r="CA149" s="215"/>
      <c r="CB149" s="215"/>
      <c r="CC149" s="215"/>
      <c r="CD149" s="215"/>
      <c r="CE149" s="215"/>
      <c r="CF149" s="215"/>
      <c r="CG149" s="215"/>
      <c r="CH149" s="215"/>
      <c r="CI149" s="215"/>
      <c r="CJ149" s="215"/>
      <c r="CK149" s="215"/>
      <c r="CL149" s="215"/>
      <c r="CM149" s="215"/>
      <c r="CN149" s="216"/>
    </row>
    <row r="150" spans="3:92" ht="18" customHeight="1" x14ac:dyDescent="0.5">
      <c r="C150" s="32"/>
      <c r="D150" s="18"/>
      <c r="E150" s="18"/>
      <c r="F150" s="18"/>
      <c r="G150" s="18"/>
      <c r="H150" s="18"/>
      <c r="I150" s="18"/>
      <c r="J150" s="18"/>
      <c r="K150" s="18"/>
      <c r="L150" s="18"/>
      <c r="M150" s="18"/>
      <c r="N150" s="18"/>
      <c r="O150" s="18"/>
      <c r="P150" s="34"/>
      <c r="Q150" s="34"/>
      <c r="R150" s="38"/>
      <c r="S150" s="38"/>
      <c r="T150" s="38"/>
      <c r="U150" s="18"/>
      <c r="V150" s="18"/>
      <c r="W150" s="18"/>
      <c r="X150" s="18"/>
      <c r="Y150" s="18"/>
      <c r="Z150" s="18"/>
      <c r="AA150" s="18"/>
      <c r="AB150" s="18"/>
      <c r="AC150" s="18"/>
      <c r="AD150" s="33"/>
      <c r="AE150" s="34"/>
      <c r="AF150" s="34"/>
      <c r="AG150" s="34"/>
      <c r="AH150" s="34"/>
      <c r="AI150" s="34"/>
      <c r="AJ150" s="34"/>
      <c r="AK150" s="34"/>
      <c r="AL150" s="34"/>
      <c r="AM150" s="34"/>
      <c r="AN150" s="35"/>
      <c r="AO150" s="35"/>
      <c r="AP150" s="35"/>
      <c r="AQ150" s="36"/>
      <c r="AR150" s="18"/>
      <c r="AS150" s="57"/>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37"/>
      <c r="BS150" s="24"/>
      <c r="BT150" s="18"/>
      <c r="BU150" s="18"/>
      <c r="BV150" s="18"/>
      <c r="BW150" s="18"/>
      <c r="BX150" s="214"/>
      <c r="BY150" s="215"/>
      <c r="BZ150" s="215"/>
      <c r="CA150" s="215"/>
      <c r="CB150" s="215"/>
      <c r="CC150" s="215"/>
      <c r="CD150" s="215"/>
      <c r="CE150" s="215"/>
      <c r="CF150" s="215"/>
      <c r="CG150" s="215"/>
      <c r="CH150" s="215"/>
      <c r="CI150" s="215"/>
      <c r="CJ150" s="215"/>
      <c r="CK150" s="215"/>
      <c r="CL150" s="215"/>
      <c r="CM150" s="215"/>
      <c r="CN150" s="216"/>
    </row>
    <row r="151" spans="3:92" ht="18.95" customHeight="1" x14ac:dyDescent="0.4">
      <c r="C151" s="32"/>
      <c r="D151" s="50"/>
      <c r="E151" s="50"/>
      <c r="F151" s="50"/>
      <c r="G151" s="50"/>
      <c r="H151" s="50"/>
      <c r="I151" s="50"/>
      <c r="J151" s="50"/>
      <c r="K151" s="50"/>
      <c r="L151" s="50"/>
      <c r="M151" s="50"/>
      <c r="N151" s="51"/>
      <c r="O151" s="51"/>
      <c r="P151" s="51"/>
      <c r="Q151" s="51"/>
      <c r="R151" s="38"/>
      <c r="S151" s="38"/>
      <c r="T151" s="38"/>
      <c r="U151" s="205" t="s">
        <v>55</v>
      </c>
      <c r="V151" s="206"/>
      <c r="W151" s="206"/>
      <c r="X151" s="206"/>
      <c r="Y151" s="206"/>
      <c r="Z151" s="206"/>
      <c r="AA151" s="206"/>
      <c r="AB151" s="206"/>
      <c r="AC151" s="205" t="s">
        <v>56</v>
      </c>
      <c r="AD151" s="206"/>
      <c r="AE151" s="206"/>
      <c r="AF151" s="206"/>
      <c r="AG151" s="206"/>
      <c r="AH151" s="206"/>
      <c r="AI151" s="206"/>
      <c r="AJ151" s="209"/>
      <c r="AK151" s="205" t="s">
        <v>57</v>
      </c>
      <c r="AL151" s="206"/>
      <c r="AM151" s="206"/>
      <c r="AN151" s="206"/>
      <c r="AO151" s="206"/>
      <c r="AP151" s="206"/>
      <c r="AQ151" s="206"/>
      <c r="AR151" s="206"/>
      <c r="AS151" s="205" t="s">
        <v>58</v>
      </c>
      <c r="AT151" s="206"/>
      <c r="AU151" s="206"/>
      <c r="AV151" s="206"/>
      <c r="AW151" s="206"/>
      <c r="AX151" s="206"/>
      <c r="AY151" s="206"/>
      <c r="AZ151" s="209"/>
      <c r="BA151" s="205" t="s">
        <v>59</v>
      </c>
      <c r="BB151" s="206"/>
      <c r="BC151" s="206"/>
      <c r="BD151" s="206"/>
      <c r="BE151" s="206"/>
      <c r="BF151" s="206"/>
      <c r="BG151" s="206"/>
      <c r="BH151" s="209"/>
      <c r="BI151" s="18"/>
      <c r="BJ151" s="18"/>
      <c r="BK151" s="18"/>
      <c r="BL151" s="18"/>
      <c r="BM151" s="18"/>
      <c r="BN151" s="18"/>
      <c r="BO151" s="18"/>
      <c r="BP151" s="18"/>
      <c r="BQ151" s="18"/>
      <c r="BR151" s="37"/>
      <c r="BS151" s="24"/>
      <c r="BT151" s="18"/>
      <c r="BU151" s="18"/>
      <c r="BV151" s="18"/>
      <c r="BW151" s="18"/>
      <c r="BX151" s="217"/>
      <c r="BY151" s="218"/>
      <c r="BZ151" s="218"/>
      <c r="CA151" s="218"/>
      <c r="CB151" s="218"/>
      <c r="CC151" s="218"/>
      <c r="CD151" s="218"/>
      <c r="CE151" s="218"/>
      <c r="CF151" s="218"/>
      <c r="CG151" s="218"/>
      <c r="CH151" s="218"/>
      <c r="CI151" s="218"/>
      <c r="CJ151" s="218"/>
      <c r="CK151" s="218"/>
      <c r="CL151" s="218"/>
      <c r="CM151" s="218"/>
      <c r="CN151" s="219"/>
    </row>
    <row r="152" spans="3:92" ht="15.6" customHeight="1" x14ac:dyDescent="0.4">
      <c r="C152" s="32"/>
      <c r="D152" s="18"/>
      <c r="E152" s="18"/>
      <c r="F152" s="18"/>
      <c r="G152" s="18"/>
      <c r="H152" s="18"/>
      <c r="I152" s="18"/>
      <c r="J152" s="18"/>
      <c r="K152" s="18"/>
      <c r="L152" s="18"/>
      <c r="M152" s="18"/>
      <c r="N152" s="18"/>
      <c r="O152" s="18"/>
      <c r="P152" s="34"/>
      <c r="Q152" s="34"/>
      <c r="R152" s="38"/>
      <c r="S152" s="38"/>
      <c r="T152" s="38"/>
      <c r="U152" s="207"/>
      <c r="V152" s="208"/>
      <c r="W152" s="208"/>
      <c r="X152" s="208"/>
      <c r="Y152" s="208"/>
      <c r="Z152" s="208"/>
      <c r="AA152" s="208"/>
      <c r="AB152" s="208"/>
      <c r="AC152" s="207"/>
      <c r="AD152" s="208"/>
      <c r="AE152" s="208"/>
      <c r="AF152" s="208"/>
      <c r="AG152" s="208"/>
      <c r="AH152" s="208"/>
      <c r="AI152" s="208"/>
      <c r="AJ152" s="210"/>
      <c r="AK152" s="207"/>
      <c r="AL152" s="208"/>
      <c r="AM152" s="208"/>
      <c r="AN152" s="208"/>
      <c r="AO152" s="208"/>
      <c r="AP152" s="208"/>
      <c r="AQ152" s="208"/>
      <c r="AR152" s="208"/>
      <c r="AS152" s="207"/>
      <c r="AT152" s="208"/>
      <c r="AU152" s="208"/>
      <c r="AV152" s="208"/>
      <c r="AW152" s="208"/>
      <c r="AX152" s="208"/>
      <c r="AY152" s="208"/>
      <c r="AZ152" s="210"/>
      <c r="BA152" s="207"/>
      <c r="BB152" s="208"/>
      <c r="BC152" s="208"/>
      <c r="BD152" s="208"/>
      <c r="BE152" s="208"/>
      <c r="BF152" s="208"/>
      <c r="BG152" s="208"/>
      <c r="BH152" s="210"/>
      <c r="BI152" s="18"/>
      <c r="BJ152" s="18"/>
      <c r="BK152" s="18"/>
      <c r="BL152" s="18"/>
      <c r="BM152" s="18"/>
      <c r="BN152" s="18"/>
      <c r="BO152" s="18"/>
      <c r="BP152" s="18"/>
      <c r="BQ152" s="18"/>
      <c r="BR152" s="37"/>
      <c r="BS152" s="24"/>
      <c r="BT152" s="18"/>
      <c r="BU152" s="18"/>
      <c r="BV152" s="18"/>
      <c r="BW152" s="18"/>
      <c r="BX152" s="18"/>
      <c r="BY152" s="18"/>
      <c r="BZ152" s="18"/>
      <c r="CA152" s="18"/>
      <c r="CB152" s="18"/>
      <c r="CC152" s="18"/>
      <c r="CD152" s="18"/>
      <c r="CE152" s="18"/>
      <c r="CF152" s="18"/>
      <c r="CG152" s="18"/>
      <c r="CH152" s="37"/>
    </row>
    <row r="153" spans="3:92" ht="15.6" customHeight="1" x14ac:dyDescent="0.4">
      <c r="C153" s="32"/>
      <c r="D153" s="18"/>
      <c r="E153" s="18"/>
      <c r="F153" s="18"/>
      <c r="G153" s="18"/>
      <c r="H153" s="18"/>
      <c r="I153" s="18"/>
      <c r="J153" s="18"/>
      <c r="K153" s="18"/>
      <c r="L153" s="18"/>
      <c r="M153" s="18"/>
      <c r="N153" s="18"/>
      <c r="O153" s="18"/>
      <c r="P153" s="34"/>
      <c r="Q153" s="34"/>
      <c r="R153" s="38"/>
      <c r="S153" s="38"/>
      <c r="T153" s="38"/>
      <c r="U153" s="119" t="str">
        <f>IF([10]回答表!F17="下水道事業",IF([10]回答表!X45="●",[10]回答表!Y198,IF([10]回答表!AA45="●",[10]回答表!Y264,"")),"")</f>
        <v/>
      </c>
      <c r="V153" s="120"/>
      <c r="W153" s="120"/>
      <c r="X153" s="120"/>
      <c r="Y153" s="120"/>
      <c r="Z153" s="120"/>
      <c r="AA153" s="120"/>
      <c r="AB153" s="121"/>
      <c r="AC153" s="119" t="str">
        <f>IF([10]回答表!F17="下水道事業",IF([10]回答表!X45="●",[10]回答表!Y199,IF([10]回答表!AA45="●",[10]回答表!Y265,"")),"")</f>
        <v/>
      </c>
      <c r="AD153" s="120"/>
      <c r="AE153" s="120"/>
      <c r="AF153" s="120"/>
      <c r="AG153" s="120"/>
      <c r="AH153" s="120"/>
      <c r="AI153" s="120"/>
      <c r="AJ153" s="121"/>
      <c r="AK153" s="119" t="str">
        <f>IF([10]回答表!F17="下水道事業",IF([10]回答表!X45="●",[10]回答表!Y200,IF([10]回答表!AA45="●",[10]回答表!Y266,"")),"")</f>
        <v/>
      </c>
      <c r="AL153" s="120"/>
      <c r="AM153" s="120"/>
      <c r="AN153" s="120"/>
      <c r="AO153" s="120"/>
      <c r="AP153" s="120"/>
      <c r="AQ153" s="120"/>
      <c r="AR153" s="121"/>
      <c r="AS153" s="119" t="str">
        <f>IF([10]回答表!F17="下水道事業",IF([10]回答表!X45="●",[10]回答表!Y201,IF([10]回答表!AA45="●",[10]回答表!Y267,"")),"")</f>
        <v/>
      </c>
      <c r="AT153" s="120"/>
      <c r="AU153" s="120"/>
      <c r="AV153" s="120"/>
      <c r="AW153" s="120"/>
      <c r="AX153" s="120"/>
      <c r="AY153" s="120"/>
      <c r="AZ153" s="121"/>
      <c r="BA153" s="119" t="str">
        <f>IF([10]回答表!F17="下水道事業",IF([10]回答表!X45="●",[10]回答表!Y202,IF([10]回答表!AA45="●",[10]回答表!Y268,"")),"")</f>
        <v/>
      </c>
      <c r="BB153" s="120"/>
      <c r="BC153" s="120"/>
      <c r="BD153" s="120"/>
      <c r="BE153" s="120"/>
      <c r="BF153" s="120"/>
      <c r="BG153" s="120"/>
      <c r="BH153" s="121"/>
      <c r="BI153" s="18"/>
      <c r="BJ153" s="18"/>
      <c r="BK153" s="18"/>
      <c r="BL153" s="18"/>
      <c r="BM153" s="18"/>
      <c r="BN153" s="18"/>
      <c r="BO153" s="18"/>
      <c r="BP153" s="18"/>
      <c r="BQ153" s="18"/>
      <c r="BR153" s="37"/>
      <c r="BS153" s="24"/>
      <c r="BT153" s="18"/>
      <c r="BU153" s="18"/>
      <c r="BV153" s="18"/>
      <c r="BW153" s="18"/>
      <c r="BX153" s="18"/>
      <c r="BY153" s="18"/>
      <c r="BZ153" s="18"/>
      <c r="CA153" s="18"/>
      <c r="CB153" s="18"/>
      <c r="CC153" s="18"/>
      <c r="CD153" s="18"/>
      <c r="CE153" s="18"/>
      <c r="CF153" s="18"/>
      <c r="CG153" s="18"/>
      <c r="CH153" s="37"/>
    </row>
    <row r="154" spans="3:92" ht="15.6" customHeight="1" x14ac:dyDescent="0.4">
      <c r="C154" s="32"/>
      <c r="D154" s="18"/>
      <c r="E154" s="18"/>
      <c r="F154" s="18"/>
      <c r="G154" s="18"/>
      <c r="H154" s="18"/>
      <c r="I154" s="18"/>
      <c r="J154" s="18"/>
      <c r="K154" s="18"/>
      <c r="L154" s="18"/>
      <c r="M154" s="18"/>
      <c r="N154" s="18"/>
      <c r="O154" s="18"/>
      <c r="P154" s="34"/>
      <c r="Q154" s="34"/>
      <c r="R154" s="38"/>
      <c r="S154" s="38"/>
      <c r="T154" s="38"/>
      <c r="U154" s="122"/>
      <c r="V154" s="123"/>
      <c r="W154" s="123"/>
      <c r="X154" s="123"/>
      <c r="Y154" s="123"/>
      <c r="Z154" s="123"/>
      <c r="AA154" s="123"/>
      <c r="AB154" s="124"/>
      <c r="AC154" s="122"/>
      <c r="AD154" s="123"/>
      <c r="AE154" s="123"/>
      <c r="AF154" s="123"/>
      <c r="AG154" s="123"/>
      <c r="AH154" s="123"/>
      <c r="AI154" s="123"/>
      <c r="AJ154" s="124"/>
      <c r="AK154" s="122"/>
      <c r="AL154" s="123"/>
      <c r="AM154" s="123"/>
      <c r="AN154" s="123"/>
      <c r="AO154" s="123"/>
      <c r="AP154" s="123"/>
      <c r="AQ154" s="123"/>
      <c r="AR154" s="124"/>
      <c r="AS154" s="122"/>
      <c r="AT154" s="123"/>
      <c r="AU154" s="123"/>
      <c r="AV154" s="123"/>
      <c r="AW154" s="123"/>
      <c r="AX154" s="123"/>
      <c r="AY154" s="123"/>
      <c r="AZ154" s="124"/>
      <c r="BA154" s="122"/>
      <c r="BB154" s="123"/>
      <c r="BC154" s="123"/>
      <c r="BD154" s="123"/>
      <c r="BE154" s="123"/>
      <c r="BF154" s="123"/>
      <c r="BG154" s="123"/>
      <c r="BH154" s="124"/>
      <c r="BI154" s="18"/>
      <c r="BJ154" s="18"/>
      <c r="BK154" s="18"/>
      <c r="BL154" s="18"/>
      <c r="BM154" s="18"/>
      <c r="BN154" s="18"/>
      <c r="BO154" s="18"/>
      <c r="BP154" s="18"/>
      <c r="BQ154" s="18"/>
      <c r="BR154" s="37"/>
      <c r="BS154" s="24"/>
      <c r="BT154" s="18"/>
      <c r="BU154" s="18"/>
      <c r="BV154" s="18"/>
      <c r="BW154" s="18"/>
      <c r="BX154" s="18"/>
      <c r="BY154" s="18"/>
      <c r="BZ154" s="18"/>
      <c r="CA154" s="18"/>
      <c r="CB154" s="18"/>
      <c r="CC154" s="18"/>
      <c r="CD154" s="18"/>
      <c r="CE154" s="18"/>
      <c r="CF154" s="18"/>
      <c r="CG154" s="18"/>
      <c r="CH154" s="37"/>
    </row>
    <row r="155" spans="3:92" ht="15.6" customHeight="1" x14ac:dyDescent="0.4">
      <c r="C155" s="32"/>
      <c r="D155" s="18"/>
      <c r="E155" s="18"/>
      <c r="F155" s="18"/>
      <c r="G155" s="18"/>
      <c r="H155" s="18"/>
      <c r="I155" s="18"/>
      <c r="J155" s="18"/>
      <c r="K155" s="18"/>
      <c r="L155" s="18"/>
      <c r="M155" s="18"/>
      <c r="N155" s="18"/>
      <c r="O155" s="18"/>
      <c r="P155" s="34"/>
      <c r="Q155" s="34"/>
      <c r="R155" s="38"/>
      <c r="S155" s="38"/>
      <c r="T155" s="38"/>
      <c r="U155" s="125"/>
      <c r="V155" s="126"/>
      <c r="W155" s="126"/>
      <c r="X155" s="126"/>
      <c r="Y155" s="126"/>
      <c r="Z155" s="126"/>
      <c r="AA155" s="126"/>
      <c r="AB155" s="127"/>
      <c r="AC155" s="125"/>
      <c r="AD155" s="126"/>
      <c r="AE155" s="126"/>
      <c r="AF155" s="126"/>
      <c r="AG155" s="126"/>
      <c r="AH155" s="126"/>
      <c r="AI155" s="126"/>
      <c r="AJ155" s="127"/>
      <c r="AK155" s="125"/>
      <c r="AL155" s="126"/>
      <c r="AM155" s="126"/>
      <c r="AN155" s="126"/>
      <c r="AO155" s="126"/>
      <c r="AP155" s="126"/>
      <c r="AQ155" s="126"/>
      <c r="AR155" s="127"/>
      <c r="AS155" s="125"/>
      <c r="AT155" s="126"/>
      <c r="AU155" s="126"/>
      <c r="AV155" s="126"/>
      <c r="AW155" s="126"/>
      <c r="AX155" s="126"/>
      <c r="AY155" s="126"/>
      <c r="AZ155" s="127"/>
      <c r="BA155" s="125"/>
      <c r="BB155" s="126"/>
      <c r="BC155" s="126"/>
      <c r="BD155" s="126"/>
      <c r="BE155" s="126"/>
      <c r="BF155" s="126"/>
      <c r="BG155" s="126"/>
      <c r="BH155" s="127"/>
      <c r="BI155" s="18"/>
      <c r="BJ155" s="18"/>
      <c r="BK155" s="18"/>
      <c r="BL155" s="18"/>
      <c r="BM155" s="18"/>
      <c r="BN155" s="18"/>
      <c r="BO155" s="18"/>
      <c r="BP155" s="18"/>
      <c r="BQ155" s="18"/>
      <c r="BR155" s="37"/>
      <c r="BS155" s="24"/>
      <c r="BT155" s="18"/>
      <c r="BU155" s="18"/>
      <c r="BV155" s="18"/>
      <c r="BW155" s="18"/>
      <c r="BX155" s="18"/>
      <c r="BY155" s="18"/>
      <c r="BZ155" s="18"/>
      <c r="CA155" s="18"/>
      <c r="CB155" s="18"/>
      <c r="CC155" s="18"/>
      <c r="CD155" s="18"/>
      <c r="CE155" s="18"/>
      <c r="CF155" s="18"/>
      <c r="CG155" s="18"/>
      <c r="CH155" s="37"/>
    </row>
    <row r="156" spans="3:92" ht="29.45" customHeight="1" x14ac:dyDescent="0.5">
      <c r="C156" s="32"/>
      <c r="D156" s="18"/>
      <c r="E156" s="18"/>
      <c r="F156" s="18"/>
      <c r="G156" s="18"/>
      <c r="H156" s="18"/>
      <c r="I156" s="18"/>
      <c r="J156" s="18"/>
      <c r="K156" s="18"/>
      <c r="L156" s="18"/>
      <c r="M156" s="18"/>
      <c r="N156" s="18"/>
      <c r="O156" s="18"/>
      <c r="P156" s="34"/>
      <c r="Q156" s="34"/>
      <c r="R156" s="38"/>
      <c r="S156" s="38"/>
      <c r="T156" s="38"/>
      <c r="U156" s="18"/>
      <c r="V156" s="18"/>
      <c r="W156" s="18"/>
      <c r="X156" s="18"/>
      <c r="Y156" s="18"/>
      <c r="Z156" s="18"/>
      <c r="AA156" s="18"/>
      <c r="AB156" s="18"/>
      <c r="AC156" s="18"/>
      <c r="AD156" s="33"/>
      <c r="AE156" s="34"/>
      <c r="AF156" s="34"/>
      <c r="AG156" s="34"/>
      <c r="AH156" s="34"/>
      <c r="AI156" s="34"/>
      <c r="AJ156" s="34"/>
      <c r="AK156" s="34"/>
      <c r="AL156" s="34"/>
      <c r="AM156" s="34"/>
      <c r="AN156" s="35"/>
      <c r="AO156" s="35"/>
      <c r="AP156" s="35"/>
      <c r="AQ156" s="36"/>
      <c r="AR156" s="18"/>
      <c r="AS156" s="27"/>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37"/>
      <c r="BS156" s="24"/>
      <c r="BT156" s="18"/>
      <c r="BU156" s="18"/>
      <c r="BV156" s="18"/>
      <c r="BW156" s="18"/>
      <c r="BX156" s="18"/>
      <c r="BY156" s="18"/>
      <c r="BZ156" s="18"/>
      <c r="CA156" s="18"/>
      <c r="CB156" s="18"/>
      <c r="CC156" s="18"/>
      <c r="CD156" s="18"/>
      <c r="CE156" s="18"/>
      <c r="CF156" s="18"/>
      <c r="CG156" s="18"/>
      <c r="CH156" s="18"/>
    </row>
    <row r="157" spans="3:92" ht="15.6" customHeight="1" x14ac:dyDescent="0.5">
      <c r="C157" s="32"/>
      <c r="D157" s="34"/>
      <c r="E157" s="34"/>
      <c r="F157" s="34"/>
      <c r="G157" s="34"/>
      <c r="H157" s="34"/>
      <c r="I157" s="34"/>
      <c r="J157" s="34"/>
      <c r="K157" s="34"/>
      <c r="L157" s="35"/>
      <c r="M157" s="35"/>
      <c r="N157" s="35"/>
      <c r="O157" s="36"/>
      <c r="P157" s="19"/>
      <c r="Q157" s="19"/>
      <c r="R157" s="38"/>
      <c r="S157" s="38"/>
      <c r="T157" s="38"/>
      <c r="U157" s="197" t="s">
        <v>60</v>
      </c>
      <c r="V157" s="198"/>
      <c r="W157" s="198"/>
      <c r="X157" s="198"/>
      <c r="Y157" s="198"/>
      <c r="Z157" s="198"/>
      <c r="AA157" s="198"/>
      <c r="AB157" s="198"/>
      <c r="AC157" s="197" t="s">
        <v>61</v>
      </c>
      <c r="AD157" s="198"/>
      <c r="AE157" s="198"/>
      <c r="AF157" s="198"/>
      <c r="AG157" s="198"/>
      <c r="AH157" s="198"/>
      <c r="AI157" s="198"/>
      <c r="AJ157" s="198"/>
      <c r="AK157" s="197" t="s">
        <v>62</v>
      </c>
      <c r="AL157" s="198"/>
      <c r="AM157" s="198"/>
      <c r="AN157" s="198"/>
      <c r="AO157" s="198"/>
      <c r="AP157" s="198"/>
      <c r="AQ157" s="198"/>
      <c r="AR157" s="201"/>
      <c r="AS157" s="18"/>
      <c r="AT157" s="18"/>
      <c r="AU157" s="18"/>
      <c r="AV157" s="18"/>
      <c r="AW157" s="18"/>
      <c r="AX157" s="18"/>
      <c r="AY157" s="18"/>
      <c r="AZ157" s="18"/>
      <c r="BA157" s="18"/>
      <c r="BB157" s="18"/>
      <c r="BC157" s="33"/>
      <c r="BD157" s="34"/>
      <c r="BE157" s="34"/>
      <c r="BF157" s="34"/>
      <c r="BG157" s="34"/>
      <c r="BH157" s="34"/>
      <c r="BI157" s="34"/>
      <c r="BJ157" s="34"/>
      <c r="BK157" s="34"/>
      <c r="BL157" s="34"/>
      <c r="BM157" s="34"/>
      <c r="BN157" s="35"/>
      <c r="BO157" s="35"/>
      <c r="BP157" s="35"/>
      <c r="BQ157" s="36"/>
      <c r="BR157" s="37"/>
    </row>
    <row r="158" spans="3:92" ht="15.6" customHeight="1" x14ac:dyDescent="0.5">
      <c r="C158" s="32"/>
      <c r="D158" s="196" t="s">
        <v>26</v>
      </c>
      <c r="E158" s="190"/>
      <c r="F158" s="190"/>
      <c r="G158" s="190"/>
      <c r="H158" s="190"/>
      <c r="I158" s="190"/>
      <c r="J158" s="190"/>
      <c r="K158" s="190"/>
      <c r="L158" s="190"/>
      <c r="M158" s="191"/>
      <c r="N158" s="98" t="str">
        <f>IF([10]回答表!F17="下水道事業",IF([10]回答表!AA45="●","●",""),"")</f>
        <v/>
      </c>
      <c r="O158" s="99"/>
      <c r="P158" s="99"/>
      <c r="Q158" s="100"/>
      <c r="R158" s="38"/>
      <c r="S158" s="38"/>
      <c r="T158" s="38"/>
      <c r="U158" s="199"/>
      <c r="V158" s="200"/>
      <c r="W158" s="200"/>
      <c r="X158" s="200"/>
      <c r="Y158" s="200"/>
      <c r="Z158" s="200"/>
      <c r="AA158" s="200"/>
      <c r="AB158" s="200"/>
      <c r="AC158" s="199"/>
      <c r="AD158" s="200"/>
      <c r="AE158" s="200"/>
      <c r="AF158" s="200"/>
      <c r="AG158" s="200"/>
      <c r="AH158" s="200"/>
      <c r="AI158" s="200"/>
      <c r="AJ158" s="200"/>
      <c r="AK158" s="202"/>
      <c r="AL158" s="203"/>
      <c r="AM158" s="203"/>
      <c r="AN158" s="203"/>
      <c r="AO158" s="203"/>
      <c r="AP158" s="203"/>
      <c r="AQ158" s="203"/>
      <c r="AR158" s="204"/>
      <c r="AS158" s="18"/>
      <c r="AT158" s="18"/>
      <c r="AU158" s="18"/>
      <c r="AV158" s="18"/>
      <c r="AW158" s="18"/>
      <c r="AX158" s="18"/>
      <c r="AY158" s="18"/>
      <c r="AZ158" s="18"/>
      <c r="BA158" s="18"/>
      <c r="BB158" s="18"/>
      <c r="BC158" s="33"/>
      <c r="BD158" s="34"/>
      <c r="BE158" s="34"/>
      <c r="BF158" s="34"/>
      <c r="BG158" s="34"/>
      <c r="BH158" s="34"/>
      <c r="BI158" s="34"/>
      <c r="BJ158" s="34"/>
      <c r="BK158" s="34"/>
      <c r="BL158" s="34"/>
      <c r="BM158" s="34"/>
      <c r="BN158" s="35"/>
      <c r="BO158" s="35"/>
      <c r="BP158" s="35"/>
      <c r="BQ158" s="36"/>
      <c r="BR158" s="37"/>
    </row>
    <row r="159" spans="3:92" ht="15.6" customHeight="1" x14ac:dyDescent="0.5">
      <c r="C159" s="32"/>
      <c r="D159" s="190"/>
      <c r="E159" s="190"/>
      <c r="F159" s="190"/>
      <c r="G159" s="190"/>
      <c r="H159" s="190"/>
      <c r="I159" s="190"/>
      <c r="J159" s="190"/>
      <c r="K159" s="190"/>
      <c r="L159" s="190"/>
      <c r="M159" s="191"/>
      <c r="N159" s="101"/>
      <c r="O159" s="102"/>
      <c r="P159" s="102"/>
      <c r="Q159" s="103"/>
      <c r="R159" s="38"/>
      <c r="S159" s="38"/>
      <c r="T159" s="38"/>
      <c r="U159" s="119" t="str">
        <f>IF([10]回答表!F17="下水道事業",IF([10]回答表!X45="●",[10]回答表!Y207,IF([10]回答表!AA45="●",[10]回答表!Y273,"")),"")</f>
        <v/>
      </c>
      <c r="V159" s="120"/>
      <c r="W159" s="120"/>
      <c r="X159" s="120"/>
      <c r="Y159" s="120"/>
      <c r="Z159" s="120"/>
      <c r="AA159" s="120"/>
      <c r="AB159" s="121"/>
      <c r="AC159" s="119" t="str">
        <f>IF([10]回答表!F17="下水道事業",IF([10]回答表!X45="●",[10]回答表!Y208,IF([10]回答表!AA45="●",[10]回答表!Y274,"")),"")</f>
        <v/>
      </c>
      <c r="AD159" s="120"/>
      <c r="AE159" s="120"/>
      <c r="AF159" s="120"/>
      <c r="AG159" s="120"/>
      <c r="AH159" s="120"/>
      <c r="AI159" s="120"/>
      <c r="AJ159" s="121"/>
      <c r="AK159" s="119" t="str">
        <f>IF([10]回答表!F17="下水道事業",IF([10]回答表!X45="●",[10]回答表!Y209,IF([10]回答表!AA45="●",[10]回答表!Y275,"")),"")</f>
        <v/>
      </c>
      <c r="AL159" s="120"/>
      <c r="AM159" s="120"/>
      <c r="AN159" s="120"/>
      <c r="AO159" s="120"/>
      <c r="AP159" s="120"/>
      <c r="AQ159" s="120"/>
      <c r="AR159" s="121"/>
      <c r="AS159" s="18"/>
      <c r="AT159" s="18"/>
      <c r="AU159" s="18"/>
      <c r="AV159" s="18"/>
      <c r="AW159" s="18"/>
      <c r="AX159" s="18"/>
      <c r="AY159" s="18"/>
      <c r="AZ159" s="18"/>
      <c r="BA159" s="18"/>
      <c r="BB159" s="18"/>
      <c r="BC159" s="33"/>
      <c r="BD159" s="34"/>
      <c r="BE159" s="34"/>
      <c r="BF159" s="34"/>
      <c r="BG159" s="34"/>
      <c r="BH159" s="34"/>
      <c r="BI159" s="34"/>
      <c r="BJ159" s="34"/>
      <c r="BK159" s="34"/>
      <c r="BL159" s="34"/>
      <c r="BM159" s="34"/>
      <c r="BN159" s="35"/>
      <c r="BO159" s="35"/>
      <c r="BP159" s="35"/>
      <c r="BQ159" s="36"/>
      <c r="BR159" s="37"/>
    </row>
    <row r="160" spans="3:92" ht="15.6" customHeight="1" x14ac:dyDescent="0.5">
      <c r="C160" s="32"/>
      <c r="D160" s="190"/>
      <c r="E160" s="190"/>
      <c r="F160" s="190"/>
      <c r="G160" s="190"/>
      <c r="H160" s="190"/>
      <c r="I160" s="190"/>
      <c r="J160" s="190"/>
      <c r="K160" s="190"/>
      <c r="L160" s="190"/>
      <c r="M160" s="191"/>
      <c r="N160" s="101"/>
      <c r="O160" s="102"/>
      <c r="P160" s="102"/>
      <c r="Q160" s="103"/>
      <c r="R160" s="38"/>
      <c r="S160" s="38"/>
      <c r="T160" s="38"/>
      <c r="U160" s="122"/>
      <c r="V160" s="123"/>
      <c r="W160" s="123"/>
      <c r="X160" s="123"/>
      <c r="Y160" s="123"/>
      <c r="Z160" s="123"/>
      <c r="AA160" s="123"/>
      <c r="AB160" s="124"/>
      <c r="AC160" s="122"/>
      <c r="AD160" s="123"/>
      <c r="AE160" s="123"/>
      <c r="AF160" s="123"/>
      <c r="AG160" s="123"/>
      <c r="AH160" s="123"/>
      <c r="AI160" s="123"/>
      <c r="AJ160" s="124"/>
      <c r="AK160" s="122"/>
      <c r="AL160" s="123"/>
      <c r="AM160" s="123"/>
      <c r="AN160" s="123"/>
      <c r="AO160" s="123"/>
      <c r="AP160" s="123"/>
      <c r="AQ160" s="123"/>
      <c r="AR160" s="124"/>
      <c r="AS160" s="18"/>
      <c r="AT160" s="18"/>
      <c r="AU160" s="18"/>
      <c r="AV160" s="18"/>
      <c r="AW160" s="18"/>
      <c r="AX160" s="18"/>
      <c r="AY160" s="18"/>
      <c r="AZ160" s="18"/>
      <c r="BA160" s="18"/>
      <c r="BB160" s="18"/>
      <c r="BC160" s="33"/>
      <c r="BD160" s="34"/>
      <c r="BE160" s="34"/>
      <c r="BF160" s="34"/>
      <c r="BG160" s="34"/>
      <c r="BH160" s="34"/>
      <c r="BI160" s="34"/>
      <c r="BJ160" s="34"/>
      <c r="BK160" s="34"/>
      <c r="BL160" s="34"/>
      <c r="BM160" s="34"/>
      <c r="BN160" s="35"/>
      <c r="BO160" s="35"/>
      <c r="BP160" s="35"/>
      <c r="BQ160" s="36"/>
      <c r="BR160" s="37"/>
    </row>
    <row r="161" spans="3:70" ht="15.6" customHeight="1" x14ac:dyDescent="0.5">
      <c r="C161" s="32"/>
      <c r="D161" s="190"/>
      <c r="E161" s="190"/>
      <c r="F161" s="190"/>
      <c r="G161" s="190"/>
      <c r="H161" s="190"/>
      <c r="I161" s="190"/>
      <c r="J161" s="190"/>
      <c r="K161" s="190"/>
      <c r="L161" s="190"/>
      <c r="M161" s="191"/>
      <c r="N161" s="104"/>
      <c r="O161" s="105"/>
      <c r="P161" s="105"/>
      <c r="Q161" s="106"/>
      <c r="R161" s="38"/>
      <c r="S161" s="38"/>
      <c r="T161" s="38"/>
      <c r="U161" s="125"/>
      <c r="V161" s="126"/>
      <c r="W161" s="126"/>
      <c r="X161" s="126"/>
      <c r="Y161" s="126"/>
      <c r="Z161" s="126"/>
      <c r="AA161" s="126"/>
      <c r="AB161" s="127"/>
      <c r="AC161" s="125"/>
      <c r="AD161" s="126"/>
      <c r="AE161" s="126"/>
      <c r="AF161" s="126"/>
      <c r="AG161" s="126"/>
      <c r="AH161" s="126"/>
      <c r="AI161" s="126"/>
      <c r="AJ161" s="127"/>
      <c r="AK161" s="125"/>
      <c r="AL161" s="126"/>
      <c r="AM161" s="126"/>
      <c r="AN161" s="126"/>
      <c r="AO161" s="126"/>
      <c r="AP161" s="126"/>
      <c r="AQ161" s="126"/>
      <c r="AR161" s="127"/>
      <c r="AS161" s="18"/>
      <c r="AT161" s="18"/>
      <c r="AU161" s="18"/>
      <c r="AV161" s="18"/>
      <c r="AW161" s="18"/>
      <c r="AX161" s="18"/>
      <c r="AY161" s="18"/>
      <c r="AZ161" s="18"/>
      <c r="BA161" s="18"/>
      <c r="BB161" s="18"/>
      <c r="BC161" s="33"/>
      <c r="BD161" s="34"/>
      <c r="BE161" s="34"/>
      <c r="BF161" s="34"/>
      <c r="BG161" s="34"/>
      <c r="BH161" s="34"/>
      <c r="BI161" s="34"/>
      <c r="BJ161" s="34"/>
      <c r="BK161" s="34"/>
      <c r="BL161" s="34"/>
      <c r="BM161" s="34"/>
      <c r="BN161" s="35"/>
      <c r="BO161" s="35"/>
      <c r="BP161" s="35"/>
      <c r="BQ161" s="36"/>
      <c r="BR161" s="37"/>
    </row>
    <row r="162" spans="3:70" ht="15.6" customHeight="1" x14ac:dyDescent="0.5">
      <c r="C162" s="32"/>
      <c r="D162" s="38"/>
      <c r="E162" s="38"/>
      <c r="F162" s="38"/>
      <c r="G162" s="38"/>
      <c r="H162" s="38"/>
      <c r="I162" s="38"/>
      <c r="J162" s="38"/>
      <c r="K162" s="38"/>
      <c r="L162" s="38"/>
      <c r="M162" s="38"/>
      <c r="N162" s="38"/>
      <c r="O162" s="38"/>
      <c r="P162" s="38"/>
      <c r="Q162" s="38"/>
      <c r="R162" s="38"/>
      <c r="S162" s="38"/>
      <c r="T162" s="38"/>
      <c r="U162" s="18"/>
      <c r="V162" s="18"/>
      <c r="W162" s="18"/>
      <c r="X162" s="18"/>
      <c r="Y162" s="18"/>
      <c r="Z162" s="33"/>
      <c r="AA162" s="34"/>
      <c r="AB162" s="34"/>
      <c r="AC162" s="34"/>
      <c r="AD162" s="34"/>
      <c r="AE162" s="34"/>
      <c r="AF162" s="34"/>
      <c r="AG162" s="34"/>
      <c r="AH162" s="34"/>
      <c r="AI162" s="34"/>
      <c r="AJ162" s="40"/>
      <c r="AK162" s="18"/>
      <c r="AL162" s="39"/>
      <c r="AM162" s="39"/>
      <c r="AN162" s="36"/>
      <c r="AO162" s="39"/>
      <c r="AP162" s="40"/>
      <c r="AQ162" s="40"/>
      <c r="AR162" s="18"/>
      <c r="AS162" s="18"/>
      <c r="AT162" s="18"/>
      <c r="AU162" s="18"/>
      <c r="AV162" s="18"/>
      <c r="AW162" s="18"/>
      <c r="AX162" s="18"/>
      <c r="AY162" s="18"/>
      <c r="AZ162" s="18"/>
      <c r="BA162" s="18"/>
      <c r="BB162" s="18"/>
      <c r="BC162" s="33"/>
      <c r="BD162" s="34"/>
      <c r="BE162" s="34"/>
      <c r="BF162" s="34"/>
      <c r="BG162" s="34"/>
      <c r="BH162" s="34"/>
      <c r="BI162" s="34"/>
      <c r="BJ162" s="34"/>
      <c r="BK162" s="34"/>
      <c r="BL162" s="34"/>
      <c r="BM162" s="34"/>
      <c r="BN162" s="35"/>
      <c r="BO162" s="35"/>
      <c r="BP162" s="35"/>
      <c r="BQ162" s="36"/>
      <c r="BR162" s="37"/>
    </row>
    <row r="163" spans="3:70" ht="33.6" customHeight="1" x14ac:dyDescent="0.5">
      <c r="C163" s="32"/>
      <c r="D163" s="50"/>
      <c r="E163" s="50"/>
      <c r="F163" s="50"/>
      <c r="G163" s="50"/>
      <c r="H163" s="50"/>
      <c r="I163" s="50"/>
      <c r="J163" s="50"/>
      <c r="K163" s="50"/>
      <c r="L163" s="50"/>
      <c r="M163" s="50"/>
      <c r="N163" s="19"/>
      <c r="O163" s="19"/>
      <c r="P163" s="19"/>
      <c r="Q163" s="19"/>
      <c r="R163" s="38"/>
      <c r="S163" s="38"/>
      <c r="T163" s="38"/>
      <c r="U163" s="42" t="s">
        <v>31</v>
      </c>
      <c r="V163" s="38"/>
      <c r="W163" s="38"/>
      <c r="X163" s="38"/>
      <c r="Y163" s="38"/>
      <c r="Z163" s="38"/>
      <c r="AA163" s="35"/>
      <c r="AB163" s="43"/>
      <c r="AC163" s="35"/>
      <c r="AD163" s="35"/>
      <c r="AE163" s="35"/>
      <c r="AF163" s="35"/>
      <c r="AG163" s="35"/>
      <c r="AH163" s="35"/>
      <c r="AI163" s="35"/>
      <c r="AJ163" s="35"/>
      <c r="AK163" s="35"/>
      <c r="AL163" s="35"/>
      <c r="AM163" s="42" t="s">
        <v>32</v>
      </c>
      <c r="AN163" s="35"/>
      <c r="AO163" s="35"/>
      <c r="AP163" s="35"/>
      <c r="AQ163" s="35"/>
      <c r="AR163" s="35"/>
      <c r="AS163" s="35"/>
      <c r="AT163" s="35"/>
      <c r="AU163" s="35"/>
      <c r="AV163" s="35"/>
      <c r="AW163" s="35"/>
      <c r="AX163" s="35"/>
      <c r="AY163" s="34"/>
      <c r="AZ163" s="34"/>
      <c r="BA163" s="34"/>
      <c r="BB163" s="34"/>
      <c r="BC163" s="34"/>
      <c r="BD163" s="34"/>
      <c r="BE163" s="34"/>
      <c r="BF163" s="34"/>
      <c r="BG163" s="34"/>
      <c r="BH163" s="34"/>
      <c r="BI163" s="34"/>
      <c r="BJ163" s="34"/>
      <c r="BK163" s="34"/>
      <c r="BL163" s="34"/>
      <c r="BM163" s="34"/>
      <c r="BN163" s="34"/>
      <c r="BO163" s="34"/>
      <c r="BP163" s="34"/>
      <c r="BQ163" s="18"/>
      <c r="BR163" s="37"/>
    </row>
    <row r="164" spans="3:70" ht="15.6" customHeight="1" x14ac:dyDescent="0.4">
      <c r="C164" s="32"/>
      <c r="D164" s="190" t="s">
        <v>33</v>
      </c>
      <c r="E164" s="190"/>
      <c r="F164" s="190"/>
      <c r="G164" s="190"/>
      <c r="H164" s="190"/>
      <c r="I164" s="190"/>
      <c r="J164" s="190"/>
      <c r="K164" s="190"/>
      <c r="L164" s="190"/>
      <c r="M164" s="191"/>
      <c r="N164" s="98" t="str">
        <f>IF([10]回答表!F17="下水道事業",IF([10]回答表!AD45="●","●",""),"")</f>
        <v/>
      </c>
      <c r="O164" s="99"/>
      <c r="P164" s="99"/>
      <c r="Q164" s="100"/>
      <c r="R164" s="38"/>
      <c r="S164" s="38"/>
      <c r="T164" s="38"/>
      <c r="U164" s="107" t="str">
        <f>IF([10]回答表!F17="下水道事業",IF([10]回答表!AD45="●",[10]回答表!B289,""),"")</f>
        <v/>
      </c>
      <c r="V164" s="108"/>
      <c r="W164" s="108"/>
      <c r="X164" s="108"/>
      <c r="Y164" s="108"/>
      <c r="Z164" s="108"/>
      <c r="AA164" s="108"/>
      <c r="AB164" s="108"/>
      <c r="AC164" s="108"/>
      <c r="AD164" s="108"/>
      <c r="AE164" s="108"/>
      <c r="AF164" s="108"/>
      <c r="AG164" s="108"/>
      <c r="AH164" s="108"/>
      <c r="AI164" s="108"/>
      <c r="AJ164" s="109"/>
      <c r="AK164" s="55"/>
      <c r="AL164" s="55"/>
      <c r="AM164" s="107" t="str">
        <f>IF([10]回答表!F17="下水道事業",IF([10]回答表!AD45="●",[10]回答表!B295,""),"")</f>
        <v/>
      </c>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9"/>
      <c r="BR164" s="37"/>
    </row>
    <row r="165" spans="3:70" ht="15.6" customHeight="1" x14ac:dyDescent="0.4">
      <c r="C165" s="32"/>
      <c r="D165" s="190"/>
      <c r="E165" s="190"/>
      <c r="F165" s="190"/>
      <c r="G165" s="190"/>
      <c r="H165" s="190"/>
      <c r="I165" s="190"/>
      <c r="J165" s="190"/>
      <c r="K165" s="190"/>
      <c r="L165" s="190"/>
      <c r="M165" s="191"/>
      <c r="N165" s="101"/>
      <c r="O165" s="102"/>
      <c r="P165" s="102"/>
      <c r="Q165" s="103"/>
      <c r="R165" s="38"/>
      <c r="S165" s="38"/>
      <c r="T165" s="38"/>
      <c r="U165" s="110"/>
      <c r="V165" s="111"/>
      <c r="W165" s="111"/>
      <c r="X165" s="111"/>
      <c r="Y165" s="111"/>
      <c r="Z165" s="111"/>
      <c r="AA165" s="111"/>
      <c r="AB165" s="111"/>
      <c r="AC165" s="111"/>
      <c r="AD165" s="111"/>
      <c r="AE165" s="111"/>
      <c r="AF165" s="111"/>
      <c r="AG165" s="111"/>
      <c r="AH165" s="111"/>
      <c r="AI165" s="111"/>
      <c r="AJ165" s="112"/>
      <c r="AK165" s="55"/>
      <c r="AL165" s="55"/>
      <c r="AM165" s="110"/>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2"/>
      <c r="BR165" s="37"/>
    </row>
    <row r="166" spans="3:70" ht="15.6" customHeight="1" x14ac:dyDescent="0.4">
      <c r="C166" s="32"/>
      <c r="D166" s="190"/>
      <c r="E166" s="190"/>
      <c r="F166" s="190"/>
      <c r="G166" s="190"/>
      <c r="H166" s="190"/>
      <c r="I166" s="190"/>
      <c r="J166" s="190"/>
      <c r="K166" s="190"/>
      <c r="L166" s="190"/>
      <c r="M166" s="191"/>
      <c r="N166" s="101"/>
      <c r="O166" s="102"/>
      <c r="P166" s="102"/>
      <c r="Q166" s="103"/>
      <c r="R166" s="38"/>
      <c r="S166" s="38"/>
      <c r="T166" s="38"/>
      <c r="U166" s="110"/>
      <c r="V166" s="111"/>
      <c r="W166" s="111"/>
      <c r="X166" s="111"/>
      <c r="Y166" s="111"/>
      <c r="Z166" s="111"/>
      <c r="AA166" s="111"/>
      <c r="AB166" s="111"/>
      <c r="AC166" s="111"/>
      <c r="AD166" s="111"/>
      <c r="AE166" s="111"/>
      <c r="AF166" s="111"/>
      <c r="AG166" s="111"/>
      <c r="AH166" s="111"/>
      <c r="AI166" s="111"/>
      <c r="AJ166" s="112"/>
      <c r="AK166" s="55"/>
      <c r="AL166" s="55"/>
      <c r="AM166" s="110"/>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2"/>
      <c r="BR166" s="37"/>
    </row>
    <row r="167" spans="3:70" ht="15.6" customHeight="1" x14ac:dyDescent="0.4">
      <c r="C167" s="32"/>
      <c r="D167" s="190"/>
      <c r="E167" s="190"/>
      <c r="F167" s="190"/>
      <c r="G167" s="190"/>
      <c r="H167" s="190"/>
      <c r="I167" s="190"/>
      <c r="J167" s="190"/>
      <c r="K167" s="190"/>
      <c r="L167" s="190"/>
      <c r="M167" s="191"/>
      <c r="N167" s="104"/>
      <c r="O167" s="105"/>
      <c r="P167" s="105"/>
      <c r="Q167" s="106"/>
      <c r="R167" s="38"/>
      <c r="S167" s="38"/>
      <c r="T167" s="38"/>
      <c r="U167" s="113"/>
      <c r="V167" s="114"/>
      <c r="W167" s="114"/>
      <c r="X167" s="114"/>
      <c r="Y167" s="114"/>
      <c r="Z167" s="114"/>
      <c r="AA167" s="114"/>
      <c r="AB167" s="114"/>
      <c r="AC167" s="114"/>
      <c r="AD167" s="114"/>
      <c r="AE167" s="114"/>
      <c r="AF167" s="114"/>
      <c r="AG167" s="114"/>
      <c r="AH167" s="114"/>
      <c r="AI167" s="114"/>
      <c r="AJ167" s="115"/>
      <c r="AK167" s="55"/>
      <c r="AL167" s="55"/>
      <c r="AM167" s="113"/>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5"/>
      <c r="BR167" s="37"/>
    </row>
    <row r="168" spans="3:70" ht="15.6" customHeight="1" x14ac:dyDescent="0.4">
      <c r="C168" s="56"/>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8"/>
    </row>
    <row r="169" spans="3:70" ht="15.6" customHeight="1" x14ac:dyDescent="0.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row>
    <row r="170" spans="3:70" ht="15.6" customHeight="1" x14ac:dyDescent="0.4">
      <c r="C170" s="26"/>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171"/>
      <c r="AS170" s="171"/>
      <c r="AT170" s="171"/>
      <c r="AU170" s="171"/>
      <c r="AV170" s="171"/>
      <c r="AW170" s="171"/>
      <c r="AX170" s="171"/>
      <c r="AY170" s="171"/>
      <c r="AZ170" s="171"/>
      <c r="BA170" s="171"/>
      <c r="BB170" s="171"/>
      <c r="BC170" s="28"/>
      <c r="BD170" s="29"/>
      <c r="BE170" s="29"/>
      <c r="BF170" s="29"/>
      <c r="BG170" s="29"/>
      <c r="BH170" s="29"/>
      <c r="BI170" s="29"/>
      <c r="BJ170" s="29"/>
      <c r="BK170" s="29"/>
      <c r="BL170" s="29"/>
      <c r="BM170" s="29"/>
      <c r="BN170" s="29"/>
      <c r="BO170" s="29"/>
      <c r="BP170" s="29"/>
      <c r="BQ170" s="29"/>
      <c r="BR170" s="30"/>
    </row>
    <row r="171" spans="3:70" ht="15.6" customHeight="1" x14ac:dyDescent="0.5">
      <c r="C171" s="32"/>
      <c r="D171" s="38"/>
      <c r="E171" s="38"/>
      <c r="F171" s="38"/>
      <c r="G171" s="38"/>
      <c r="H171" s="38"/>
      <c r="I171" s="38"/>
      <c r="J171" s="38"/>
      <c r="K171" s="38"/>
      <c r="L171" s="38"/>
      <c r="M171" s="38"/>
      <c r="N171" s="38"/>
      <c r="O171" s="38"/>
      <c r="P171" s="38"/>
      <c r="Q171" s="38"/>
      <c r="R171" s="38"/>
      <c r="S171" s="38"/>
      <c r="T171" s="38"/>
      <c r="U171" s="38"/>
      <c r="V171" s="38"/>
      <c r="W171" s="38"/>
      <c r="X171" s="18"/>
      <c r="Y171" s="18"/>
      <c r="Z171" s="18"/>
      <c r="AA171" s="34"/>
      <c r="AB171" s="39"/>
      <c r="AC171" s="39"/>
      <c r="AD171" s="39"/>
      <c r="AE171" s="39"/>
      <c r="AF171" s="39"/>
      <c r="AG171" s="39"/>
      <c r="AH171" s="39"/>
      <c r="AI171" s="39"/>
      <c r="AJ171" s="39"/>
      <c r="AK171" s="39"/>
      <c r="AL171" s="39"/>
      <c r="AM171" s="39"/>
      <c r="AN171" s="36"/>
      <c r="AO171" s="39"/>
      <c r="AP171" s="40"/>
      <c r="AQ171" s="40"/>
      <c r="AR171" s="192"/>
      <c r="AS171" s="192"/>
      <c r="AT171" s="192"/>
      <c r="AU171" s="192"/>
      <c r="AV171" s="192"/>
      <c r="AW171" s="192"/>
      <c r="AX171" s="192"/>
      <c r="AY171" s="192"/>
      <c r="AZ171" s="192"/>
      <c r="BA171" s="192"/>
      <c r="BB171" s="192"/>
      <c r="BC171" s="33"/>
      <c r="BD171" s="34"/>
      <c r="BE171" s="34"/>
      <c r="BF171" s="34"/>
      <c r="BG171" s="34"/>
      <c r="BH171" s="34"/>
      <c r="BI171" s="34"/>
      <c r="BJ171" s="34"/>
      <c r="BK171" s="34"/>
      <c r="BL171" s="34"/>
      <c r="BM171" s="34"/>
      <c r="BN171" s="35"/>
      <c r="BO171" s="35"/>
      <c r="BP171" s="35"/>
      <c r="BQ171" s="36"/>
      <c r="BR171" s="37"/>
    </row>
    <row r="172" spans="3:70" ht="15.6" customHeight="1" x14ac:dyDescent="0.5">
      <c r="C172" s="32"/>
      <c r="D172" s="144" t="s">
        <v>14</v>
      </c>
      <c r="E172" s="145"/>
      <c r="F172" s="145"/>
      <c r="G172" s="145"/>
      <c r="H172" s="145"/>
      <c r="I172" s="145"/>
      <c r="J172" s="145"/>
      <c r="K172" s="145"/>
      <c r="L172" s="145"/>
      <c r="M172" s="145"/>
      <c r="N172" s="145"/>
      <c r="O172" s="145"/>
      <c r="P172" s="145"/>
      <c r="Q172" s="146"/>
      <c r="R172" s="89" t="s">
        <v>63</v>
      </c>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1"/>
      <c r="BC172" s="33"/>
      <c r="BD172" s="34"/>
      <c r="BE172" s="34"/>
      <c r="BF172" s="34"/>
      <c r="BG172" s="34"/>
      <c r="BH172" s="34"/>
      <c r="BI172" s="34"/>
      <c r="BJ172" s="34"/>
      <c r="BK172" s="34"/>
      <c r="BL172" s="34"/>
      <c r="BM172" s="34"/>
      <c r="BN172" s="35"/>
      <c r="BO172" s="35"/>
      <c r="BP172" s="35"/>
      <c r="BQ172" s="36"/>
      <c r="BR172" s="37"/>
    </row>
    <row r="173" spans="3:70" ht="15.6" customHeight="1" x14ac:dyDescent="0.5">
      <c r="C173" s="32"/>
      <c r="D173" s="147"/>
      <c r="E173" s="148"/>
      <c r="F173" s="148"/>
      <c r="G173" s="148"/>
      <c r="H173" s="148"/>
      <c r="I173" s="148"/>
      <c r="J173" s="148"/>
      <c r="K173" s="148"/>
      <c r="L173" s="148"/>
      <c r="M173" s="148"/>
      <c r="N173" s="148"/>
      <c r="O173" s="148"/>
      <c r="P173" s="148"/>
      <c r="Q173" s="149"/>
      <c r="R173" s="95"/>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7"/>
      <c r="BC173" s="33"/>
      <c r="BD173" s="34"/>
      <c r="BE173" s="34"/>
      <c r="BF173" s="34"/>
      <c r="BG173" s="34"/>
      <c r="BH173" s="34"/>
      <c r="BI173" s="34"/>
      <c r="BJ173" s="34"/>
      <c r="BK173" s="34"/>
      <c r="BL173" s="34"/>
      <c r="BM173" s="34"/>
      <c r="BN173" s="35"/>
      <c r="BO173" s="35"/>
      <c r="BP173" s="35"/>
      <c r="BQ173" s="36"/>
      <c r="BR173" s="37"/>
    </row>
    <row r="174" spans="3:70" ht="15.6" customHeight="1" x14ac:dyDescent="0.5">
      <c r="C174" s="32"/>
      <c r="D174" s="38"/>
      <c r="E174" s="38"/>
      <c r="F174" s="38"/>
      <c r="G174" s="38"/>
      <c r="H174" s="38"/>
      <c r="I174" s="38"/>
      <c r="J174" s="38"/>
      <c r="K174" s="38"/>
      <c r="L174" s="38"/>
      <c r="M174" s="38"/>
      <c r="N174" s="38"/>
      <c r="O174" s="38"/>
      <c r="P174" s="38"/>
      <c r="Q174" s="38"/>
      <c r="R174" s="38"/>
      <c r="S174" s="38"/>
      <c r="T174" s="38"/>
      <c r="U174" s="38"/>
      <c r="V174" s="38"/>
      <c r="W174" s="38"/>
      <c r="X174" s="18"/>
      <c r="Y174" s="18"/>
      <c r="Z174" s="18"/>
      <c r="AA174" s="34"/>
      <c r="AB174" s="39"/>
      <c r="AC174" s="39"/>
      <c r="AD174" s="39"/>
      <c r="AE174" s="39"/>
      <c r="AF174" s="39"/>
      <c r="AG174" s="39"/>
      <c r="AH174" s="39"/>
      <c r="AI174" s="39"/>
      <c r="AJ174" s="39"/>
      <c r="AK174" s="39"/>
      <c r="AL174" s="39"/>
      <c r="AM174" s="39"/>
      <c r="AN174" s="36"/>
      <c r="AO174" s="39"/>
      <c r="AP174" s="40"/>
      <c r="AQ174" s="40"/>
      <c r="AR174" s="41"/>
      <c r="AS174" s="41"/>
      <c r="AT174" s="41"/>
      <c r="AU174" s="41"/>
      <c r="AV174" s="41"/>
      <c r="AW174" s="41"/>
      <c r="AX174" s="41"/>
      <c r="AY174" s="41"/>
      <c r="AZ174" s="41"/>
      <c r="BA174" s="41"/>
      <c r="BB174" s="41"/>
      <c r="BC174" s="33"/>
      <c r="BD174" s="34"/>
      <c r="BE174" s="34"/>
      <c r="BF174" s="34"/>
      <c r="BG174" s="34"/>
      <c r="BH174" s="34"/>
      <c r="BI174" s="34"/>
      <c r="BJ174" s="34"/>
      <c r="BK174" s="34"/>
      <c r="BL174" s="34"/>
      <c r="BM174" s="34"/>
      <c r="BN174" s="35"/>
      <c r="BO174" s="35"/>
      <c r="BP174" s="35"/>
      <c r="BQ174" s="36"/>
      <c r="BR174" s="37"/>
    </row>
    <row r="175" spans="3:70" ht="25.5" x14ac:dyDescent="0.5">
      <c r="C175" s="32"/>
      <c r="D175" s="38"/>
      <c r="E175" s="38"/>
      <c r="F175" s="38"/>
      <c r="G175" s="38"/>
      <c r="H175" s="38"/>
      <c r="I175" s="38"/>
      <c r="J175" s="38"/>
      <c r="K175" s="38"/>
      <c r="L175" s="38"/>
      <c r="M175" s="38"/>
      <c r="N175" s="38"/>
      <c r="O175" s="38"/>
      <c r="P175" s="38"/>
      <c r="Q175" s="38"/>
      <c r="R175" s="38"/>
      <c r="S175" s="38"/>
      <c r="T175" s="38"/>
      <c r="U175" s="42" t="s">
        <v>35</v>
      </c>
      <c r="V175" s="38"/>
      <c r="W175" s="38"/>
      <c r="X175" s="38"/>
      <c r="Y175" s="38"/>
      <c r="Z175" s="38"/>
      <c r="AA175" s="35"/>
      <c r="AB175" s="43"/>
      <c r="AC175" s="43"/>
      <c r="AD175" s="43"/>
      <c r="AE175" s="43"/>
      <c r="AF175" s="43"/>
      <c r="AG175" s="43"/>
      <c r="AH175" s="43"/>
      <c r="AI175" s="43"/>
      <c r="AJ175" s="43"/>
      <c r="AK175" s="43"/>
      <c r="AL175" s="43"/>
      <c r="AM175" s="48" t="s">
        <v>17</v>
      </c>
      <c r="AN175" s="59"/>
      <c r="AO175" s="59"/>
      <c r="AP175" s="59"/>
      <c r="AQ175" s="59"/>
      <c r="AR175" s="59"/>
      <c r="AS175" s="59"/>
      <c r="AT175" s="35"/>
      <c r="AU175" s="35"/>
      <c r="AV175" s="35"/>
      <c r="AW175" s="35"/>
      <c r="AX175" s="36"/>
      <c r="AY175" s="47"/>
      <c r="AZ175" s="47"/>
      <c r="BA175" s="47"/>
      <c r="BB175" s="47"/>
      <c r="BC175" s="47"/>
      <c r="BD175" s="35"/>
      <c r="BE175" s="35"/>
      <c r="BF175" s="48"/>
      <c r="BG175" s="35"/>
      <c r="BH175" s="35"/>
      <c r="BI175" s="35"/>
      <c r="BJ175" s="35"/>
      <c r="BK175" s="35"/>
      <c r="BL175" s="35"/>
      <c r="BM175" s="35"/>
      <c r="BN175" s="35"/>
      <c r="BO175" s="35"/>
      <c r="BP175" s="35"/>
      <c r="BQ175" s="36"/>
      <c r="BR175" s="37"/>
    </row>
    <row r="176" spans="3:70" ht="19.350000000000001" customHeight="1" x14ac:dyDescent="0.5">
      <c r="C176" s="32"/>
      <c r="D176" s="190" t="s">
        <v>18</v>
      </c>
      <c r="E176" s="190"/>
      <c r="F176" s="190"/>
      <c r="G176" s="190"/>
      <c r="H176" s="190"/>
      <c r="I176" s="190"/>
      <c r="J176" s="190"/>
      <c r="K176" s="190"/>
      <c r="L176" s="190"/>
      <c r="M176" s="190"/>
      <c r="N176" s="98" t="str">
        <f>IF([10]回答表!BD17="●",IF([10]回答表!X45="●","●",""),"")</f>
        <v/>
      </c>
      <c r="O176" s="99"/>
      <c r="P176" s="99"/>
      <c r="Q176" s="100"/>
      <c r="R176" s="38"/>
      <c r="S176" s="38"/>
      <c r="T176" s="38"/>
      <c r="U176" s="107" t="str">
        <f>IF([10]回答表!BD17="●",IF([10]回答表!X45="●",[10]回答表!B158,IF([10]回答表!AA45="●",[10]回答表!B223,"")),"")</f>
        <v/>
      </c>
      <c r="V176" s="108"/>
      <c r="W176" s="108"/>
      <c r="X176" s="108"/>
      <c r="Y176" s="108"/>
      <c r="Z176" s="108"/>
      <c r="AA176" s="108"/>
      <c r="AB176" s="108"/>
      <c r="AC176" s="108"/>
      <c r="AD176" s="108"/>
      <c r="AE176" s="108"/>
      <c r="AF176" s="108"/>
      <c r="AG176" s="108"/>
      <c r="AH176" s="108"/>
      <c r="AI176" s="108"/>
      <c r="AJ176" s="109"/>
      <c r="AK176" s="49"/>
      <c r="AL176" s="49"/>
      <c r="AM176" s="116" t="str">
        <f>IF([10]回答表!BD17="●",IF([10]回答表!X45="●",[10]回答表!B212,IF([10]回答表!AA45="●",[10]回答表!B278,"")),"")</f>
        <v/>
      </c>
      <c r="AN176" s="117"/>
      <c r="AO176" s="117"/>
      <c r="AP176" s="117"/>
      <c r="AQ176" s="116"/>
      <c r="AR176" s="117"/>
      <c r="AS176" s="117"/>
      <c r="AT176" s="117"/>
      <c r="AU176" s="116"/>
      <c r="AV176" s="117"/>
      <c r="AW176" s="117"/>
      <c r="AX176" s="118"/>
      <c r="AY176" s="47"/>
      <c r="AZ176" s="47"/>
      <c r="BA176" s="47"/>
      <c r="BB176" s="47"/>
      <c r="BC176" s="47"/>
      <c r="BD176" s="34"/>
      <c r="BE176" s="34"/>
      <c r="BF176" s="34"/>
      <c r="BG176" s="34"/>
      <c r="BH176" s="34"/>
      <c r="BI176" s="34"/>
      <c r="BJ176" s="34"/>
      <c r="BK176" s="34"/>
      <c r="BL176" s="34"/>
      <c r="BM176" s="34"/>
      <c r="BN176" s="34"/>
      <c r="BO176" s="34"/>
      <c r="BP176" s="34"/>
      <c r="BQ176" s="34"/>
      <c r="BR176" s="37"/>
    </row>
    <row r="177" spans="3:70" ht="19.350000000000001" customHeight="1" x14ac:dyDescent="0.5">
      <c r="C177" s="32"/>
      <c r="D177" s="190"/>
      <c r="E177" s="190"/>
      <c r="F177" s="190"/>
      <c r="G177" s="190"/>
      <c r="H177" s="190"/>
      <c r="I177" s="190"/>
      <c r="J177" s="190"/>
      <c r="K177" s="190"/>
      <c r="L177" s="190"/>
      <c r="M177" s="190"/>
      <c r="N177" s="101"/>
      <c r="O177" s="102"/>
      <c r="P177" s="102"/>
      <c r="Q177" s="103"/>
      <c r="R177" s="38"/>
      <c r="S177" s="38"/>
      <c r="T177" s="38"/>
      <c r="U177" s="110"/>
      <c r="V177" s="111"/>
      <c r="W177" s="111"/>
      <c r="X177" s="111"/>
      <c r="Y177" s="111"/>
      <c r="Z177" s="111"/>
      <c r="AA177" s="111"/>
      <c r="AB177" s="111"/>
      <c r="AC177" s="111"/>
      <c r="AD177" s="111"/>
      <c r="AE177" s="111"/>
      <c r="AF177" s="111"/>
      <c r="AG177" s="111"/>
      <c r="AH177" s="111"/>
      <c r="AI177" s="111"/>
      <c r="AJ177" s="112"/>
      <c r="AK177" s="49"/>
      <c r="AL177" s="49"/>
      <c r="AM177" s="83"/>
      <c r="AN177" s="84"/>
      <c r="AO177" s="84"/>
      <c r="AP177" s="84"/>
      <c r="AQ177" s="83"/>
      <c r="AR177" s="84"/>
      <c r="AS177" s="84"/>
      <c r="AT177" s="84"/>
      <c r="AU177" s="83"/>
      <c r="AV177" s="84"/>
      <c r="AW177" s="84"/>
      <c r="AX177" s="87"/>
      <c r="AY177" s="47"/>
      <c r="AZ177" s="47"/>
      <c r="BA177" s="47"/>
      <c r="BB177" s="47"/>
      <c r="BC177" s="47"/>
      <c r="BD177" s="34"/>
      <c r="BE177" s="34"/>
      <c r="BF177" s="34"/>
      <c r="BG177" s="34"/>
      <c r="BH177" s="34"/>
      <c r="BI177" s="34"/>
      <c r="BJ177" s="34"/>
      <c r="BK177" s="34"/>
      <c r="BL177" s="34"/>
      <c r="BM177" s="34"/>
      <c r="BN177" s="34"/>
      <c r="BO177" s="34"/>
      <c r="BP177" s="34"/>
      <c r="BQ177" s="34"/>
      <c r="BR177" s="37"/>
    </row>
    <row r="178" spans="3:70" ht="15.6" customHeight="1" x14ac:dyDescent="0.5">
      <c r="C178" s="32"/>
      <c r="D178" s="190"/>
      <c r="E178" s="190"/>
      <c r="F178" s="190"/>
      <c r="G178" s="190"/>
      <c r="H178" s="190"/>
      <c r="I178" s="190"/>
      <c r="J178" s="190"/>
      <c r="K178" s="190"/>
      <c r="L178" s="190"/>
      <c r="M178" s="190"/>
      <c r="N178" s="101"/>
      <c r="O178" s="102"/>
      <c r="P178" s="102"/>
      <c r="Q178" s="103"/>
      <c r="R178" s="38"/>
      <c r="S178" s="38"/>
      <c r="T178" s="38"/>
      <c r="U178" s="110"/>
      <c r="V178" s="111"/>
      <c r="W178" s="111"/>
      <c r="X178" s="111"/>
      <c r="Y178" s="111"/>
      <c r="Z178" s="111"/>
      <c r="AA178" s="111"/>
      <c r="AB178" s="111"/>
      <c r="AC178" s="111"/>
      <c r="AD178" s="111"/>
      <c r="AE178" s="111"/>
      <c r="AF178" s="111"/>
      <c r="AG178" s="111"/>
      <c r="AH178" s="111"/>
      <c r="AI178" s="111"/>
      <c r="AJ178" s="112"/>
      <c r="AK178" s="49"/>
      <c r="AL178" s="49"/>
      <c r="AM178" s="83"/>
      <c r="AN178" s="84"/>
      <c r="AO178" s="84"/>
      <c r="AP178" s="84"/>
      <c r="AQ178" s="83"/>
      <c r="AR178" s="84"/>
      <c r="AS178" s="84"/>
      <c r="AT178" s="84"/>
      <c r="AU178" s="83"/>
      <c r="AV178" s="84"/>
      <c r="AW178" s="84"/>
      <c r="AX178" s="87"/>
      <c r="AY178" s="47"/>
      <c r="AZ178" s="47"/>
      <c r="BA178" s="47"/>
      <c r="BB178" s="47"/>
      <c r="BC178" s="47"/>
      <c r="BD178" s="34"/>
      <c r="BE178" s="34"/>
      <c r="BF178" s="34"/>
      <c r="BG178" s="34"/>
      <c r="BH178" s="34"/>
      <c r="BI178" s="34"/>
      <c r="BJ178" s="34"/>
      <c r="BK178" s="34"/>
      <c r="BL178" s="34"/>
      <c r="BM178" s="34"/>
      <c r="BN178" s="34"/>
      <c r="BO178" s="34"/>
      <c r="BP178" s="34"/>
      <c r="BQ178" s="34"/>
      <c r="BR178" s="37"/>
    </row>
    <row r="179" spans="3:70" ht="15.6" customHeight="1" x14ac:dyDescent="0.5">
      <c r="C179" s="32"/>
      <c r="D179" s="190"/>
      <c r="E179" s="190"/>
      <c r="F179" s="190"/>
      <c r="G179" s="190"/>
      <c r="H179" s="190"/>
      <c r="I179" s="190"/>
      <c r="J179" s="190"/>
      <c r="K179" s="190"/>
      <c r="L179" s="190"/>
      <c r="M179" s="190"/>
      <c r="N179" s="104"/>
      <c r="O179" s="105"/>
      <c r="P179" s="105"/>
      <c r="Q179" s="106"/>
      <c r="R179" s="38"/>
      <c r="S179" s="38"/>
      <c r="T179" s="38"/>
      <c r="U179" s="110"/>
      <c r="V179" s="111"/>
      <c r="W179" s="111"/>
      <c r="X179" s="111"/>
      <c r="Y179" s="111"/>
      <c r="Z179" s="111"/>
      <c r="AA179" s="111"/>
      <c r="AB179" s="111"/>
      <c r="AC179" s="111"/>
      <c r="AD179" s="111"/>
      <c r="AE179" s="111"/>
      <c r="AF179" s="111"/>
      <c r="AG179" s="111"/>
      <c r="AH179" s="111"/>
      <c r="AI179" s="111"/>
      <c r="AJ179" s="112"/>
      <c r="AK179" s="49"/>
      <c r="AL179" s="49"/>
      <c r="AM179" s="83" t="str">
        <f>IF([10]回答表!BD17="●",IF([10]回答表!X45="●",[10]回答表!E212,IF([10]回答表!AA45="●",[10]回答表!E278,"")),"")</f>
        <v/>
      </c>
      <c r="AN179" s="84"/>
      <c r="AO179" s="84"/>
      <c r="AP179" s="84"/>
      <c r="AQ179" s="83" t="str">
        <f>IF([10]回答表!BD17="●",IF([10]回答表!X45="●",[10]回答表!E213,IF([10]回答表!AA45="●",[10]回答表!E279,"")),"")</f>
        <v/>
      </c>
      <c r="AR179" s="84"/>
      <c r="AS179" s="84"/>
      <c r="AT179" s="84"/>
      <c r="AU179" s="83" t="str">
        <f>IF([10]回答表!BD17="●",IF([10]回答表!X45="●",[10]回答表!E214,IF([10]回答表!AA45="●",[10]回答表!E280,"")),"")</f>
        <v/>
      </c>
      <c r="AV179" s="84"/>
      <c r="AW179" s="84"/>
      <c r="AX179" s="87"/>
      <c r="AY179" s="47"/>
      <c r="AZ179" s="47"/>
      <c r="BA179" s="47"/>
      <c r="BB179" s="47"/>
      <c r="BC179" s="47"/>
      <c r="BD179" s="34"/>
      <c r="BE179" s="34"/>
      <c r="BF179" s="34"/>
      <c r="BG179" s="34"/>
      <c r="BH179" s="34"/>
      <c r="BI179" s="34"/>
      <c r="BJ179" s="34"/>
      <c r="BK179" s="34"/>
      <c r="BL179" s="34"/>
      <c r="BM179" s="34"/>
      <c r="BN179" s="34"/>
      <c r="BO179" s="34"/>
      <c r="BP179" s="34"/>
      <c r="BQ179" s="34"/>
      <c r="BR179" s="37"/>
    </row>
    <row r="180" spans="3:70" ht="15.6" customHeight="1" x14ac:dyDescent="0.5">
      <c r="C180" s="32"/>
      <c r="D180" s="50"/>
      <c r="E180" s="50"/>
      <c r="F180" s="50"/>
      <c r="G180" s="50"/>
      <c r="H180" s="50"/>
      <c r="I180" s="50"/>
      <c r="J180" s="50"/>
      <c r="K180" s="50"/>
      <c r="L180" s="50"/>
      <c r="M180" s="50"/>
      <c r="N180" s="51"/>
      <c r="O180" s="51"/>
      <c r="P180" s="51"/>
      <c r="Q180" s="51"/>
      <c r="R180" s="52"/>
      <c r="S180" s="52"/>
      <c r="T180" s="52"/>
      <c r="U180" s="110"/>
      <c r="V180" s="111"/>
      <c r="W180" s="111"/>
      <c r="X180" s="111"/>
      <c r="Y180" s="111"/>
      <c r="Z180" s="111"/>
      <c r="AA180" s="111"/>
      <c r="AB180" s="111"/>
      <c r="AC180" s="111"/>
      <c r="AD180" s="111"/>
      <c r="AE180" s="111"/>
      <c r="AF180" s="111"/>
      <c r="AG180" s="111"/>
      <c r="AH180" s="111"/>
      <c r="AI180" s="111"/>
      <c r="AJ180" s="112"/>
      <c r="AK180" s="49"/>
      <c r="AL180" s="49"/>
      <c r="AM180" s="83"/>
      <c r="AN180" s="84"/>
      <c r="AO180" s="84"/>
      <c r="AP180" s="84"/>
      <c r="AQ180" s="83"/>
      <c r="AR180" s="84"/>
      <c r="AS180" s="84"/>
      <c r="AT180" s="84"/>
      <c r="AU180" s="83"/>
      <c r="AV180" s="84"/>
      <c r="AW180" s="84"/>
      <c r="AX180" s="87"/>
      <c r="AY180" s="47"/>
      <c r="AZ180" s="47"/>
      <c r="BA180" s="47"/>
      <c r="BB180" s="47"/>
      <c r="BC180" s="47"/>
      <c r="BD180" s="39"/>
      <c r="BE180" s="39"/>
      <c r="BF180" s="34"/>
      <c r="BG180" s="34"/>
      <c r="BH180" s="34"/>
      <c r="BI180" s="34"/>
      <c r="BJ180" s="34"/>
      <c r="BK180" s="34"/>
      <c r="BL180" s="34"/>
      <c r="BM180" s="34"/>
      <c r="BN180" s="34"/>
      <c r="BO180" s="34"/>
      <c r="BP180" s="34"/>
      <c r="BQ180" s="34"/>
      <c r="BR180" s="37"/>
    </row>
    <row r="181" spans="3:70" ht="19.350000000000001" customHeight="1" x14ac:dyDescent="0.5">
      <c r="C181" s="32"/>
      <c r="D181" s="50"/>
      <c r="E181" s="50"/>
      <c r="F181" s="50"/>
      <c r="G181" s="50"/>
      <c r="H181" s="50"/>
      <c r="I181" s="50"/>
      <c r="J181" s="50"/>
      <c r="K181" s="50"/>
      <c r="L181" s="50"/>
      <c r="M181" s="50"/>
      <c r="N181" s="51"/>
      <c r="O181" s="51"/>
      <c r="P181" s="51"/>
      <c r="Q181" s="51"/>
      <c r="R181" s="52"/>
      <c r="S181" s="52"/>
      <c r="T181" s="52"/>
      <c r="U181" s="110"/>
      <c r="V181" s="111"/>
      <c r="W181" s="111"/>
      <c r="X181" s="111"/>
      <c r="Y181" s="111"/>
      <c r="Z181" s="111"/>
      <c r="AA181" s="111"/>
      <c r="AB181" s="111"/>
      <c r="AC181" s="111"/>
      <c r="AD181" s="111"/>
      <c r="AE181" s="111"/>
      <c r="AF181" s="111"/>
      <c r="AG181" s="111"/>
      <c r="AH181" s="111"/>
      <c r="AI181" s="111"/>
      <c r="AJ181" s="112"/>
      <c r="AK181" s="49"/>
      <c r="AL181" s="49"/>
      <c r="AM181" s="83"/>
      <c r="AN181" s="84"/>
      <c r="AO181" s="84"/>
      <c r="AP181" s="84"/>
      <c r="AQ181" s="83"/>
      <c r="AR181" s="84"/>
      <c r="AS181" s="84"/>
      <c r="AT181" s="84"/>
      <c r="AU181" s="83"/>
      <c r="AV181" s="84"/>
      <c r="AW181" s="84"/>
      <c r="AX181" s="87"/>
      <c r="AY181" s="47"/>
      <c r="AZ181" s="47"/>
      <c r="BA181" s="47"/>
      <c r="BB181" s="47"/>
      <c r="BC181" s="47"/>
      <c r="BD181" s="34"/>
      <c r="BE181" s="34"/>
      <c r="BF181" s="34"/>
      <c r="BG181" s="34"/>
      <c r="BH181" s="34"/>
      <c r="BI181" s="34"/>
      <c r="BJ181" s="34"/>
      <c r="BK181" s="34"/>
      <c r="BL181" s="34"/>
      <c r="BM181" s="34"/>
      <c r="BN181" s="34"/>
      <c r="BO181" s="34"/>
      <c r="BP181" s="34"/>
      <c r="BQ181" s="34"/>
      <c r="BR181" s="37"/>
    </row>
    <row r="182" spans="3:70" ht="19.350000000000001" customHeight="1" x14ac:dyDescent="0.5">
      <c r="C182" s="32"/>
      <c r="D182" s="196" t="s">
        <v>26</v>
      </c>
      <c r="E182" s="190"/>
      <c r="F182" s="190"/>
      <c r="G182" s="190"/>
      <c r="H182" s="190"/>
      <c r="I182" s="190"/>
      <c r="J182" s="190"/>
      <c r="K182" s="190"/>
      <c r="L182" s="190"/>
      <c r="M182" s="191"/>
      <c r="N182" s="98" t="str">
        <f>IF([10]回答表!BD17="●",IF([10]回答表!AA45="●","●",""),"")</f>
        <v/>
      </c>
      <c r="O182" s="99"/>
      <c r="P182" s="99"/>
      <c r="Q182" s="100"/>
      <c r="R182" s="38"/>
      <c r="S182" s="38"/>
      <c r="T182" s="38"/>
      <c r="U182" s="110"/>
      <c r="V182" s="111"/>
      <c r="W182" s="111"/>
      <c r="X182" s="111"/>
      <c r="Y182" s="111"/>
      <c r="Z182" s="111"/>
      <c r="AA182" s="111"/>
      <c r="AB182" s="111"/>
      <c r="AC182" s="111"/>
      <c r="AD182" s="111"/>
      <c r="AE182" s="111"/>
      <c r="AF182" s="111"/>
      <c r="AG182" s="111"/>
      <c r="AH182" s="111"/>
      <c r="AI182" s="111"/>
      <c r="AJ182" s="112"/>
      <c r="AK182" s="49"/>
      <c r="AL182" s="49"/>
      <c r="AM182" s="83"/>
      <c r="AN182" s="84"/>
      <c r="AO182" s="84"/>
      <c r="AP182" s="84"/>
      <c r="AQ182" s="83"/>
      <c r="AR182" s="84"/>
      <c r="AS182" s="84"/>
      <c r="AT182" s="84"/>
      <c r="AU182" s="83"/>
      <c r="AV182" s="84"/>
      <c r="AW182" s="84"/>
      <c r="AX182" s="87"/>
      <c r="AY182" s="47"/>
      <c r="AZ182" s="47"/>
      <c r="BA182" s="47"/>
      <c r="BB182" s="47"/>
      <c r="BC182" s="47"/>
      <c r="BD182" s="53"/>
      <c r="BE182" s="53"/>
      <c r="BF182" s="34"/>
      <c r="BG182" s="34"/>
      <c r="BH182" s="34"/>
      <c r="BI182" s="34"/>
      <c r="BJ182" s="34"/>
      <c r="BK182" s="34"/>
      <c r="BL182" s="34"/>
      <c r="BM182" s="34"/>
      <c r="BN182" s="34"/>
      <c r="BO182" s="34"/>
      <c r="BP182" s="34"/>
      <c r="BQ182" s="34"/>
      <c r="BR182" s="37"/>
    </row>
    <row r="183" spans="3:70" ht="15.6" customHeight="1" x14ac:dyDescent="0.5">
      <c r="C183" s="32"/>
      <c r="D183" s="190"/>
      <c r="E183" s="190"/>
      <c r="F183" s="190"/>
      <c r="G183" s="190"/>
      <c r="H183" s="190"/>
      <c r="I183" s="190"/>
      <c r="J183" s="190"/>
      <c r="K183" s="190"/>
      <c r="L183" s="190"/>
      <c r="M183" s="191"/>
      <c r="N183" s="101"/>
      <c r="O183" s="102"/>
      <c r="P183" s="102"/>
      <c r="Q183" s="103"/>
      <c r="R183" s="38"/>
      <c r="S183" s="38"/>
      <c r="T183" s="38"/>
      <c r="U183" s="110"/>
      <c r="V183" s="111"/>
      <c r="W183" s="111"/>
      <c r="X183" s="111"/>
      <c r="Y183" s="111"/>
      <c r="Z183" s="111"/>
      <c r="AA183" s="111"/>
      <c r="AB183" s="111"/>
      <c r="AC183" s="111"/>
      <c r="AD183" s="111"/>
      <c r="AE183" s="111"/>
      <c r="AF183" s="111"/>
      <c r="AG183" s="111"/>
      <c r="AH183" s="111"/>
      <c r="AI183" s="111"/>
      <c r="AJ183" s="112"/>
      <c r="AK183" s="49"/>
      <c r="AL183" s="49"/>
      <c r="AM183" s="83" t="s">
        <v>23</v>
      </c>
      <c r="AN183" s="84"/>
      <c r="AO183" s="84"/>
      <c r="AP183" s="84"/>
      <c r="AQ183" s="83" t="s">
        <v>24</v>
      </c>
      <c r="AR183" s="84"/>
      <c r="AS183" s="84"/>
      <c r="AT183" s="84"/>
      <c r="AU183" s="83" t="s">
        <v>25</v>
      </c>
      <c r="AV183" s="84"/>
      <c r="AW183" s="84"/>
      <c r="AX183" s="87"/>
      <c r="AY183" s="47"/>
      <c r="AZ183" s="47"/>
      <c r="BA183" s="47"/>
      <c r="BB183" s="47"/>
      <c r="BC183" s="47"/>
      <c r="BD183" s="53"/>
      <c r="BE183" s="53"/>
      <c r="BF183" s="34"/>
      <c r="BG183" s="34"/>
      <c r="BH183" s="34"/>
      <c r="BI183" s="34"/>
      <c r="BJ183" s="34"/>
      <c r="BK183" s="34"/>
      <c r="BL183" s="34"/>
      <c r="BM183" s="34"/>
      <c r="BN183" s="34"/>
      <c r="BO183" s="34"/>
      <c r="BP183" s="34"/>
      <c r="BQ183" s="34"/>
      <c r="BR183" s="37"/>
    </row>
    <row r="184" spans="3:70" ht="15.6" customHeight="1" x14ac:dyDescent="0.5">
      <c r="C184" s="32"/>
      <c r="D184" s="190"/>
      <c r="E184" s="190"/>
      <c r="F184" s="190"/>
      <c r="G184" s="190"/>
      <c r="H184" s="190"/>
      <c r="I184" s="190"/>
      <c r="J184" s="190"/>
      <c r="K184" s="190"/>
      <c r="L184" s="190"/>
      <c r="M184" s="191"/>
      <c r="N184" s="101"/>
      <c r="O184" s="102"/>
      <c r="P184" s="102"/>
      <c r="Q184" s="103"/>
      <c r="R184" s="38"/>
      <c r="S184" s="38"/>
      <c r="T184" s="38"/>
      <c r="U184" s="110"/>
      <c r="V184" s="111"/>
      <c r="W184" s="111"/>
      <c r="X184" s="111"/>
      <c r="Y184" s="111"/>
      <c r="Z184" s="111"/>
      <c r="AA184" s="111"/>
      <c r="AB184" s="111"/>
      <c r="AC184" s="111"/>
      <c r="AD184" s="111"/>
      <c r="AE184" s="111"/>
      <c r="AF184" s="111"/>
      <c r="AG184" s="111"/>
      <c r="AH184" s="111"/>
      <c r="AI184" s="111"/>
      <c r="AJ184" s="112"/>
      <c r="AK184" s="49"/>
      <c r="AL184" s="49"/>
      <c r="AM184" s="83"/>
      <c r="AN184" s="84"/>
      <c r="AO184" s="84"/>
      <c r="AP184" s="84"/>
      <c r="AQ184" s="83"/>
      <c r="AR184" s="84"/>
      <c r="AS184" s="84"/>
      <c r="AT184" s="84"/>
      <c r="AU184" s="83"/>
      <c r="AV184" s="84"/>
      <c r="AW184" s="84"/>
      <c r="AX184" s="87"/>
      <c r="AY184" s="47"/>
      <c r="AZ184" s="47"/>
      <c r="BA184" s="47"/>
      <c r="BB184" s="47"/>
      <c r="BC184" s="47"/>
      <c r="BD184" s="53"/>
      <c r="BE184" s="53"/>
      <c r="BF184" s="34"/>
      <c r="BG184" s="34"/>
      <c r="BH184" s="34"/>
      <c r="BI184" s="34"/>
      <c r="BJ184" s="34"/>
      <c r="BK184" s="34"/>
      <c r="BL184" s="34"/>
      <c r="BM184" s="34"/>
      <c r="BN184" s="34"/>
      <c r="BO184" s="34"/>
      <c r="BP184" s="34"/>
      <c r="BQ184" s="34"/>
      <c r="BR184" s="37"/>
    </row>
    <row r="185" spans="3:70" ht="15.6" customHeight="1" x14ac:dyDescent="0.5">
      <c r="C185" s="32"/>
      <c r="D185" s="190"/>
      <c r="E185" s="190"/>
      <c r="F185" s="190"/>
      <c r="G185" s="190"/>
      <c r="H185" s="190"/>
      <c r="I185" s="190"/>
      <c r="J185" s="190"/>
      <c r="K185" s="190"/>
      <c r="L185" s="190"/>
      <c r="M185" s="191"/>
      <c r="N185" s="104"/>
      <c r="O185" s="105"/>
      <c r="P185" s="105"/>
      <c r="Q185" s="106"/>
      <c r="R185" s="38"/>
      <c r="S185" s="38"/>
      <c r="T185" s="38"/>
      <c r="U185" s="113"/>
      <c r="V185" s="114"/>
      <c r="W185" s="114"/>
      <c r="X185" s="114"/>
      <c r="Y185" s="114"/>
      <c r="Z185" s="114"/>
      <c r="AA185" s="114"/>
      <c r="AB185" s="114"/>
      <c r="AC185" s="114"/>
      <c r="AD185" s="114"/>
      <c r="AE185" s="114"/>
      <c r="AF185" s="114"/>
      <c r="AG185" s="114"/>
      <c r="AH185" s="114"/>
      <c r="AI185" s="114"/>
      <c r="AJ185" s="115"/>
      <c r="AK185" s="49"/>
      <c r="AL185" s="49"/>
      <c r="AM185" s="85"/>
      <c r="AN185" s="86"/>
      <c r="AO185" s="86"/>
      <c r="AP185" s="86"/>
      <c r="AQ185" s="85"/>
      <c r="AR185" s="86"/>
      <c r="AS185" s="86"/>
      <c r="AT185" s="86"/>
      <c r="AU185" s="85"/>
      <c r="AV185" s="86"/>
      <c r="AW185" s="86"/>
      <c r="AX185" s="88"/>
      <c r="AY185" s="47"/>
      <c r="AZ185" s="47"/>
      <c r="BA185" s="47"/>
      <c r="BB185" s="47"/>
      <c r="BC185" s="47"/>
      <c r="BD185" s="53"/>
      <c r="BE185" s="53"/>
      <c r="BF185" s="34"/>
      <c r="BG185" s="34"/>
      <c r="BH185" s="34"/>
      <c r="BI185" s="34"/>
      <c r="BJ185" s="34"/>
      <c r="BK185" s="34"/>
      <c r="BL185" s="34"/>
      <c r="BM185" s="34"/>
      <c r="BN185" s="34"/>
      <c r="BO185" s="34"/>
      <c r="BP185" s="34"/>
      <c r="BQ185" s="34"/>
      <c r="BR185" s="37"/>
    </row>
    <row r="186" spans="3:70" ht="15.6" customHeight="1" x14ac:dyDescent="0.5">
      <c r="C186" s="32"/>
      <c r="D186" s="50"/>
      <c r="E186" s="50"/>
      <c r="F186" s="50"/>
      <c r="G186" s="50"/>
      <c r="H186" s="50"/>
      <c r="I186" s="50"/>
      <c r="J186" s="50"/>
      <c r="K186" s="50"/>
      <c r="L186" s="50"/>
      <c r="M186" s="50"/>
      <c r="N186" s="19"/>
      <c r="O186" s="19"/>
      <c r="P186" s="19"/>
      <c r="Q186" s="19"/>
      <c r="R186" s="38"/>
      <c r="S186" s="38"/>
      <c r="T186" s="38"/>
      <c r="U186" s="38"/>
      <c r="V186" s="38"/>
      <c r="W186" s="38"/>
      <c r="X186" s="18"/>
      <c r="Y186" s="18"/>
      <c r="Z186" s="18"/>
      <c r="AA186" s="35"/>
      <c r="AB186" s="35"/>
      <c r="AC186" s="35"/>
      <c r="AD186" s="35"/>
      <c r="AE186" s="35"/>
      <c r="AF186" s="35"/>
      <c r="AG186" s="35"/>
      <c r="AH186" s="35"/>
      <c r="AI186" s="35"/>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37"/>
    </row>
    <row r="187" spans="3:70" ht="18.600000000000001" customHeight="1" x14ac:dyDescent="0.5">
      <c r="C187" s="32"/>
      <c r="D187" s="50"/>
      <c r="E187" s="50"/>
      <c r="F187" s="50"/>
      <c r="G187" s="50"/>
      <c r="H187" s="50"/>
      <c r="I187" s="50"/>
      <c r="J187" s="50"/>
      <c r="K187" s="50"/>
      <c r="L187" s="50"/>
      <c r="M187" s="50"/>
      <c r="N187" s="19"/>
      <c r="O187" s="19"/>
      <c r="P187" s="19"/>
      <c r="Q187" s="19"/>
      <c r="R187" s="38"/>
      <c r="S187" s="38"/>
      <c r="T187" s="38"/>
      <c r="U187" s="42" t="s">
        <v>31</v>
      </c>
      <c r="V187" s="38"/>
      <c r="W187" s="38"/>
      <c r="X187" s="38"/>
      <c r="Y187" s="38"/>
      <c r="Z187" s="38"/>
      <c r="AA187" s="35"/>
      <c r="AB187" s="43"/>
      <c r="AC187" s="35"/>
      <c r="AD187" s="35"/>
      <c r="AE187" s="35"/>
      <c r="AF187" s="35"/>
      <c r="AG187" s="35"/>
      <c r="AH187" s="35"/>
      <c r="AI187" s="35"/>
      <c r="AJ187" s="35"/>
      <c r="AK187" s="35"/>
      <c r="AL187" s="35"/>
      <c r="AM187" s="42" t="s">
        <v>32</v>
      </c>
      <c r="AN187" s="35"/>
      <c r="AO187" s="35"/>
      <c r="AP187" s="35"/>
      <c r="AQ187" s="35"/>
      <c r="AR187" s="35"/>
      <c r="AS187" s="35"/>
      <c r="AT187" s="35"/>
      <c r="AU187" s="35"/>
      <c r="AV187" s="35"/>
      <c r="AW187" s="35"/>
      <c r="AX187" s="35"/>
      <c r="AY187" s="34"/>
      <c r="AZ187" s="34"/>
      <c r="BA187" s="34"/>
      <c r="BB187" s="34"/>
      <c r="BC187" s="34"/>
      <c r="BD187" s="34"/>
      <c r="BE187" s="34"/>
      <c r="BF187" s="34"/>
      <c r="BG187" s="34"/>
      <c r="BH187" s="34"/>
      <c r="BI187" s="34"/>
      <c r="BJ187" s="34"/>
      <c r="BK187" s="34"/>
      <c r="BL187" s="34"/>
      <c r="BM187" s="34"/>
      <c r="BN187" s="34"/>
      <c r="BO187" s="34"/>
      <c r="BP187" s="34"/>
      <c r="BQ187" s="18"/>
      <c r="BR187" s="37"/>
    </row>
    <row r="188" spans="3:70" ht="15.6" customHeight="1" x14ac:dyDescent="0.4">
      <c r="C188" s="32"/>
      <c r="D188" s="190" t="s">
        <v>33</v>
      </c>
      <c r="E188" s="190"/>
      <c r="F188" s="190"/>
      <c r="G188" s="190"/>
      <c r="H188" s="190"/>
      <c r="I188" s="190"/>
      <c r="J188" s="190"/>
      <c r="K188" s="190"/>
      <c r="L188" s="190"/>
      <c r="M188" s="191"/>
      <c r="N188" s="98" t="str">
        <f>IF([10]回答表!BD17="●",IF([10]回答表!AD45="●","●",""),"")</f>
        <v/>
      </c>
      <c r="O188" s="99"/>
      <c r="P188" s="99"/>
      <c r="Q188" s="100"/>
      <c r="R188" s="38"/>
      <c r="S188" s="38"/>
      <c r="T188" s="38"/>
      <c r="U188" s="107" t="str">
        <f>IF([10]回答表!BD17="●",IF([10]回答表!AD45="●",[10]回答表!B289,""),"")</f>
        <v/>
      </c>
      <c r="V188" s="108"/>
      <c r="W188" s="108"/>
      <c r="X188" s="108"/>
      <c r="Y188" s="108"/>
      <c r="Z188" s="108"/>
      <c r="AA188" s="108"/>
      <c r="AB188" s="108"/>
      <c r="AC188" s="108"/>
      <c r="AD188" s="108"/>
      <c r="AE188" s="108"/>
      <c r="AF188" s="108"/>
      <c r="AG188" s="108"/>
      <c r="AH188" s="108"/>
      <c r="AI188" s="108"/>
      <c r="AJ188" s="109"/>
      <c r="AK188" s="55"/>
      <c r="AL188" s="55"/>
      <c r="AM188" s="107" t="str">
        <f>IF([10]回答表!BD17="●",IF([10]回答表!AD45="●",[10]回答表!B295,""),"")</f>
        <v/>
      </c>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9"/>
      <c r="BR188" s="37"/>
    </row>
    <row r="189" spans="3:70" ht="15.6" customHeight="1" x14ac:dyDescent="0.4">
      <c r="C189" s="32"/>
      <c r="D189" s="190"/>
      <c r="E189" s="190"/>
      <c r="F189" s="190"/>
      <c r="G189" s="190"/>
      <c r="H189" s="190"/>
      <c r="I189" s="190"/>
      <c r="J189" s="190"/>
      <c r="K189" s="190"/>
      <c r="L189" s="190"/>
      <c r="M189" s="191"/>
      <c r="N189" s="101"/>
      <c r="O189" s="102"/>
      <c r="P189" s="102"/>
      <c r="Q189" s="103"/>
      <c r="R189" s="38"/>
      <c r="S189" s="38"/>
      <c r="T189" s="38"/>
      <c r="U189" s="110"/>
      <c r="V189" s="111"/>
      <c r="W189" s="111"/>
      <c r="X189" s="111"/>
      <c r="Y189" s="111"/>
      <c r="Z189" s="111"/>
      <c r="AA189" s="111"/>
      <c r="AB189" s="111"/>
      <c r="AC189" s="111"/>
      <c r="AD189" s="111"/>
      <c r="AE189" s="111"/>
      <c r="AF189" s="111"/>
      <c r="AG189" s="111"/>
      <c r="AH189" s="111"/>
      <c r="AI189" s="111"/>
      <c r="AJ189" s="112"/>
      <c r="AK189" s="55"/>
      <c r="AL189" s="55"/>
      <c r="AM189" s="110"/>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2"/>
      <c r="BR189" s="37"/>
    </row>
    <row r="190" spans="3:70" ht="15.6" customHeight="1" x14ac:dyDescent="0.4">
      <c r="C190" s="32"/>
      <c r="D190" s="190"/>
      <c r="E190" s="190"/>
      <c r="F190" s="190"/>
      <c r="G190" s="190"/>
      <c r="H190" s="190"/>
      <c r="I190" s="190"/>
      <c r="J190" s="190"/>
      <c r="K190" s="190"/>
      <c r="L190" s="190"/>
      <c r="M190" s="191"/>
      <c r="N190" s="101"/>
      <c r="O190" s="102"/>
      <c r="P190" s="102"/>
      <c r="Q190" s="103"/>
      <c r="R190" s="38"/>
      <c r="S190" s="38"/>
      <c r="T190" s="38"/>
      <c r="U190" s="110"/>
      <c r="V190" s="111"/>
      <c r="W190" s="111"/>
      <c r="X190" s="111"/>
      <c r="Y190" s="111"/>
      <c r="Z190" s="111"/>
      <c r="AA190" s="111"/>
      <c r="AB190" s="111"/>
      <c r="AC190" s="111"/>
      <c r="AD190" s="111"/>
      <c r="AE190" s="111"/>
      <c r="AF190" s="111"/>
      <c r="AG190" s="111"/>
      <c r="AH190" s="111"/>
      <c r="AI190" s="111"/>
      <c r="AJ190" s="112"/>
      <c r="AK190" s="55"/>
      <c r="AL190" s="55"/>
      <c r="AM190" s="110"/>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2"/>
      <c r="BR190" s="37"/>
    </row>
    <row r="191" spans="3:70" ht="15.6" customHeight="1" x14ac:dyDescent="0.4">
      <c r="C191" s="32"/>
      <c r="D191" s="190"/>
      <c r="E191" s="190"/>
      <c r="F191" s="190"/>
      <c r="G191" s="190"/>
      <c r="H191" s="190"/>
      <c r="I191" s="190"/>
      <c r="J191" s="190"/>
      <c r="K191" s="190"/>
      <c r="L191" s="190"/>
      <c r="M191" s="191"/>
      <c r="N191" s="104"/>
      <c r="O191" s="105"/>
      <c r="P191" s="105"/>
      <c r="Q191" s="106"/>
      <c r="R191" s="38"/>
      <c r="S191" s="38"/>
      <c r="T191" s="38"/>
      <c r="U191" s="113"/>
      <c r="V191" s="114"/>
      <c r="W191" s="114"/>
      <c r="X191" s="114"/>
      <c r="Y191" s="114"/>
      <c r="Z191" s="114"/>
      <c r="AA191" s="114"/>
      <c r="AB191" s="114"/>
      <c r="AC191" s="114"/>
      <c r="AD191" s="114"/>
      <c r="AE191" s="114"/>
      <c r="AF191" s="114"/>
      <c r="AG191" s="114"/>
      <c r="AH191" s="114"/>
      <c r="AI191" s="114"/>
      <c r="AJ191" s="115"/>
      <c r="AK191" s="55"/>
      <c r="AL191" s="55"/>
      <c r="AM191" s="113"/>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5"/>
      <c r="BR191" s="37"/>
    </row>
    <row r="192" spans="3:70" ht="15.6" customHeight="1" x14ac:dyDescent="0.4">
      <c r="C192" s="56"/>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8"/>
    </row>
    <row r="193" spans="1:71" ht="15.6" customHeight="1" x14ac:dyDescent="0.4">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row>
    <row r="194" spans="1:71" ht="15.6" customHeight="1" x14ac:dyDescent="0.4">
      <c r="C194" s="26"/>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171"/>
      <c r="AS194" s="171"/>
      <c r="AT194" s="171"/>
      <c r="AU194" s="171"/>
      <c r="AV194" s="171"/>
      <c r="AW194" s="171"/>
      <c r="AX194" s="171"/>
      <c r="AY194" s="171"/>
      <c r="AZ194" s="171"/>
      <c r="BA194" s="171"/>
      <c r="BB194" s="171"/>
      <c r="BC194" s="28"/>
      <c r="BD194" s="29"/>
      <c r="BE194" s="29"/>
      <c r="BF194" s="29"/>
      <c r="BG194" s="29"/>
      <c r="BH194" s="29"/>
      <c r="BI194" s="29"/>
      <c r="BJ194" s="29"/>
      <c r="BK194" s="29"/>
      <c r="BL194" s="29"/>
      <c r="BM194" s="29"/>
      <c r="BN194" s="29"/>
      <c r="BO194" s="29"/>
      <c r="BP194" s="29"/>
      <c r="BQ194" s="29"/>
      <c r="BR194" s="30"/>
      <c r="BS194" s="24"/>
    </row>
    <row r="195" spans="1:71" ht="15.6" customHeight="1" x14ac:dyDescent="0.5">
      <c r="C195" s="32"/>
      <c r="D195" s="38"/>
      <c r="E195" s="38"/>
      <c r="F195" s="38"/>
      <c r="G195" s="38"/>
      <c r="H195" s="38"/>
      <c r="I195" s="38"/>
      <c r="J195" s="38"/>
      <c r="K195" s="38"/>
      <c r="L195" s="38"/>
      <c r="M195" s="38"/>
      <c r="N195" s="38"/>
      <c r="O195" s="38"/>
      <c r="P195" s="38"/>
      <c r="Q195" s="38"/>
      <c r="R195" s="38"/>
      <c r="S195" s="38"/>
      <c r="T195" s="38"/>
      <c r="U195" s="38"/>
      <c r="V195" s="38"/>
      <c r="W195" s="38"/>
      <c r="X195" s="18"/>
      <c r="Y195" s="18"/>
      <c r="Z195" s="18"/>
      <c r="AA195" s="34"/>
      <c r="AB195" s="39"/>
      <c r="AC195" s="39"/>
      <c r="AD195" s="39"/>
      <c r="AE195" s="39"/>
      <c r="AF195" s="39"/>
      <c r="AG195" s="39"/>
      <c r="AH195" s="39"/>
      <c r="AI195" s="39"/>
      <c r="AJ195" s="39"/>
      <c r="AK195" s="39"/>
      <c r="AL195" s="39"/>
      <c r="AM195" s="39"/>
      <c r="AN195" s="36"/>
      <c r="AO195" s="39"/>
      <c r="AP195" s="40"/>
      <c r="AQ195" s="40"/>
      <c r="AR195" s="192"/>
      <c r="AS195" s="192"/>
      <c r="AT195" s="192"/>
      <c r="AU195" s="192"/>
      <c r="AV195" s="192"/>
      <c r="AW195" s="192"/>
      <c r="AX195" s="192"/>
      <c r="AY195" s="192"/>
      <c r="AZ195" s="192"/>
      <c r="BA195" s="192"/>
      <c r="BB195" s="192"/>
      <c r="BC195" s="33"/>
      <c r="BD195" s="34"/>
      <c r="BE195" s="34"/>
      <c r="BF195" s="34"/>
      <c r="BG195" s="34"/>
      <c r="BH195" s="34"/>
      <c r="BI195" s="34"/>
      <c r="BJ195" s="34"/>
      <c r="BK195" s="34"/>
      <c r="BL195" s="34"/>
      <c r="BM195" s="34"/>
      <c r="BN195" s="35"/>
      <c r="BO195" s="35"/>
      <c r="BP195" s="35"/>
      <c r="BQ195" s="36"/>
      <c r="BR195" s="37"/>
      <c r="BS195" s="24"/>
    </row>
    <row r="196" spans="1:71" ht="15.6" customHeight="1" x14ac:dyDescent="0.5">
      <c r="C196" s="32"/>
      <c r="D196" s="144" t="s">
        <v>14</v>
      </c>
      <c r="E196" s="145"/>
      <c r="F196" s="145"/>
      <c r="G196" s="145"/>
      <c r="H196" s="145"/>
      <c r="I196" s="145"/>
      <c r="J196" s="145"/>
      <c r="K196" s="145"/>
      <c r="L196" s="145"/>
      <c r="M196" s="145"/>
      <c r="N196" s="145"/>
      <c r="O196" s="145"/>
      <c r="P196" s="145"/>
      <c r="Q196" s="146"/>
      <c r="R196" s="89" t="s">
        <v>64</v>
      </c>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c r="AY196" s="90"/>
      <c r="AZ196" s="90"/>
      <c r="BA196" s="90"/>
      <c r="BB196" s="91"/>
      <c r="BC196" s="33"/>
      <c r="BD196" s="34"/>
      <c r="BE196" s="34"/>
      <c r="BF196" s="34"/>
      <c r="BG196" s="34"/>
      <c r="BH196" s="34"/>
      <c r="BI196" s="34"/>
      <c r="BJ196" s="34"/>
      <c r="BK196" s="34"/>
      <c r="BL196" s="34"/>
      <c r="BM196" s="34"/>
      <c r="BN196" s="35"/>
      <c r="BO196" s="35"/>
      <c r="BP196" s="35"/>
      <c r="BQ196" s="36"/>
      <c r="BR196" s="37"/>
      <c r="BS196" s="24"/>
    </row>
    <row r="197" spans="1:71" ht="15.6" customHeight="1" x14ac:dyDescent="0.5">
      <c r="C197" s="32"/>
      <c r="D197" s="147"/>
      <c r="E197" s="148"/>
      <c r="F197" s="148"/>
      <c r="G197" s="148"/>
      <c r="H197" s="148"/>
      <c r="I197" s="148"/>
      <c r="J197" s="148"/>
      <c r="K197" s="148"/>
      <c r="L197" s="148"/>
      <c r="M197" s="148"/>
      <c r="N197" s="148"/>
      <c r="O197" s="148"/>
      <c r="P197" s="148"/>
      <c r="Q197" s="149"/>
      <c r="R197" s="95"/>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7"/>
      <c r="BC197" s="33"/>
      <c r="BD197" s="34"/>
      <c r="BE197" s="34"/>
      <c r="BF197" s="34"/>
      <c r="BG197" s="34"/>
      <c r="BH197" s="34"/>
      <c r="BI197" s="34"/>
      <c r="BJ197" s="34"/>
      <c r="BK197" s="34"/>
      <c r="BL197" s="34"/>
      <c r="BM197" s="34"/>
      <c r="BN197" s="35"/>
      <c r="BO197" s="35"/>
      <c r="BP197" s="35"/>
      <c r="BQ197" s="36"/>
      <c r="BR197" s="37"/>
      <c r="BS197" s="24"/>
    </row>
    <row r="198" spans="1:71" ht="15.6" customHeight="1" x14ac:dyDescent="0.5">
      <c r="C198" s="32"/>
      <c r="D198" s="38"/>
      <c r="E198" s="38"/>
      <c r="F198" s="38"/>
      <c r="G198" s="38"/>
      <c r="H198" s="38"/>
      <c r="I198" s="38"/>
      <c r="J198" s="38"/>
      <c r="K198" s="38"/>
      <c r="L198" s="38"/>
      <c r="M198" s="38"/>
      <c r="N198" s="38"/>
      <c r="O198" s="38"/>
      <c r="P198" s="38"/>
      <c r="Q198" s="38"/>
      <c r="R198" s="38"/>
      <c r="S198" s="38"/>
      <c r="T198" s="38"/>
      <c r="U198" s="38"/>
      <c r="V198" s="38"/>
      <c r="W198" s="38"/>
      <c r="X198" s="18"/>
      <c r="Y198" s="18"/>
      <c r="Z198" s="18"/>
      <c r="AA198" s="34"/>
      <c r="AB198" s="39"/>
      <c r="AC198" s="39"/>
      <c r="AD198" s="39"/>
      <c r="AE198" s="39"/>
      <c r="AF198" s="39"/>
      <c r="AG198" s="39"/>
      <c r="AH198" s="39"/>
      <c r="AI198" s="39"/>
      <c r="AJ198" s="39"/>
      <c r="AK198" s="39"/>
      <c r="AL198" s="39"/>
      <c r="AM198" s="39"/>
      <c r="AN198" s="36"/>
      <c r="AO198" s="39"/>
      <c r="AP198" s="40"/>
      <c r="AQ198" s="40"/>
      <c r="AR198" s="41"/>
      <c r="AS198" s="41"/>
      <c r="AT198" s="41"/>
      <c r="AU198" s="41"/>
      <c r="AV198" s="41"/>
      <c r="AW198" s="41"/>
      <c r="AX198" s="41"/>
      <c r="AY198" s="41"/>
      <c r="AZ198" s="41"/>
      <c r="BA198" s="41"/>
      <c r="BB198" s="41"/>
      <c r="BC198" s="33"/>
      <c r="BD198" s="34"/>
      <c r="BE198" s="34"/>
      <c r="BF198" s="34"/>
      <c r="BG198" s="34"/>
      <c r="BH198" s="34"/>
      <c r="BI198" s="34"/>
      <c r="BJ198" s="34"/>
      <c r="BK198" s="34"/>
      <c r="BL198" s="34"/>
      <c r="BM198" s="34"/>
      <c r="BN198" s="35"/>
      <c r="BO198" s="35"/>
      <c r="BP198" s="35"/>
      <c r="BQ198" s="36"/>
      <c r="BR198" s="37"/>
      <c r="BS198" s="24"/>
    </row>
    <row r="199" spans="1:71" ht="25.5" x14ac:dyDescent="0.5">
      <c r="C199" s="32"/>
      <c r="D199" s="38"/>
      <c r="E199" s="38"/>
      <c r="F199" s="38"/>
      <c r="G199" s="38"/>
      <c r="H199" s="38"/>
      <c r="I199" s="38"/>
      <c r="J199" s="38"/>
      <c r="K199" s="38"/>
      <c r="L199" s="38"/>
      <c r="M199" s="38"/>
      <c r="N199" s="38"/>
      <c r="O199" s="38"/>
      <c r="P199" s="38"/>
      <c r="Q199" s="38"/>
      <c r="R199" s="38"/>
      <c r="S199" s="38"/>
      <c r="T199" s="38"/>
      <c r="U199" s="42" t="s">
        <v>35</v>
      </c>
      <c r="V199" s="38"/>
      <c r="W199" s="38"/>
      <c r="X199" s="38"/>
      <c r="Y199" s="38"/>
      <c r="Z199" s="38"/>
      <c r="AA199" s="35"/>
      <c r="AB199" s="43"/>
      <c r="AC199" s="43"/>
      <c r="AD199" s="43"/>
      <c r="AE199" s="43"/>
      <c r="AF199" s="43"/>
      <c r="AG199" s="43"/>
      <c r="AH199" s="43"/>
      <c r="AI199" s="43"/>
      <c r="AJ199" s="43"/>
      <c r="AK199" s="43"/>
      <c r="AL199" s="43"/>
      <c r="AM199" s="42" t="s">
        <v>65</v>
      </c>
      <c r="AN199" s="44"/>
      <c r="AO199" s="43"/>
      <c r="AP199" s="45"/>
      <c r="AQ199" s="45"/>
      <c r="AR199" s="46"/>
      <c r="AS199" s="46"/>
      <c r="AT199" s="46"/>
      <c r="AU199" s="46"/>
      <c r="AV199" s="46"/>
      <c r="AW199" s="46"/>
      <c r="AX199" s="46"/>
      <c r="AY199" s="46"/>
      <c r="AZ199" s="46"/>
      <c r="BA199" s="46"/>
      <c r="BB199" s="46"/>
      <c r="BC199" s="47"/>
      <c r="BD199" s="35"/>
      <c r="BE199" s="35"/>
      <c r="BF199" s="48" t="s">
        <v>17</v>
      </c>
      <c r="BG199" s="59"/>
      <c r="BH199" s="59"/>
      <c r="BI199" s="59"/>
      <c r="BJ199" s="59"/>
      <c r="BK199" s="59"/>
      <c r="BL199" s="59"/>
      <c r="BM199" s="35"/>
      <c r="BN199" s="35"/>
      <c r="BO199" s="35"/>
      <c r="BP199" s="35"/>
      <c r="BQ199" s="44"/>
      <c r="BR199" s="37"/>
      <c r="BS199" s="24"/>
    </row>
    <row r="200" spans="1:71" ht="15.6" customHeight="1" x14ac:dyDescent="0.4">
      <c r="C200" s="32"/>
      <c r="D200" s="190" t="s">
        <v>18</v>
      </c>
      <c r="E200" s="190"/>
      <c r="F200" s="190"/>
      <c r="G200" s="190"/>
      <c r="H200" s="190"/>
      <c r="I200" s="190"/>
      <c r="J200" s="190"/>
      <c r="K200" s="190"/>
      <c r="L200" s="190"/>
      <c r="M200" s="190"/>
      <c r="N200" s="98" t="str">
        <f>IF([10]回答表!X46="●","●","")</f>
        <v/>
      </c>
      <c r="O200" s="99"/>
      <c r="P200" s="99"/>
      <c r="Q200" s="100"/>
      <c r="R200" s="38"/>
      <c r="S200" s="38"/>
      <c r="T200" s="38"/>
      <c r="U200" s="107" t="str">
        <f>IF([10]回答表!X46="●",[10]回答表!B307,IF([10]回答表!AA46="●",[10]回答表!B324,""))</f>
        <v/>
      </c>
      <c r="V200" s="108"/>
      <c r="W200" s="108"/>
      <c r="X200" s="108"/>
      <c r="Y200" s="108"/>
      <c r="Z200" s="108"/>
      <c r="AA200" s="108"/>
      <c r="AB200" s="108"/>
      <c r="AC200" s="108"/>
      <c r="AD200" s="108"/>
      <c r="AE200" s="108"/>
      <c r="AF200" s="108"/>
      <c r="AG200" s="108"/>
      <c r="AH200" s="108"/>
      <c r="AI200" s="108"/>
      <c r="AJ200" s="109"/>
      <c r="AK200" s="49"/>
      <c r="AL200" s="49"/>
      <c r="AM200" s="128" t="s">
        <v>66</v>
      </c>
      <c r="AN200" s="129"/>
      <c r="AO200" s="129"/>
      <c r="AP200" s="129"/>
      <c r="AQ200" s="129"/>
      <c r="AR200" s="129"/>
      <c r="AS200" s="129"/>
      <c r="AT200" s="130"/>
      <c r="AU200" s="128" t="s">
        <v>67</v>
      </c>
      <c r="AV200" s="129"/>
      <c r="AW200" s="129"/>
      <c r="AX200" s="129"/>
      <c r="AY200" s="129"/>
      <c r="AZ200" s="129"/>
      <c r="BA200" s="129"/>
      <c r="BB200" s="130"/>
      <c r="BC200" s="39"/>
      <c r="BD200" s="34"/>
      <c r="BE200" s="34"/>
      <c r="BF200" s="116" t="str">
        <f>IF([10]回答表!X46="●",[10]回答表!U313,IF([10]回答表!AA46="●",[10]回答表!U330,""))</f>
        <v/>
      </c>
      <c r="BG200" s="117"/>
      <c r="BH200" s="117"/>
      <c r="BI200" s="117"/>
      <c r="BJ200" s="116"/>
      <c r="BK200" s="117"/>
      <c r="BL200" s="117"/>
      <c r="BM200" s="117"/>
      <c r="BN200" s="116"/>
      <c r="BO200" s="117"/>
      <c r="BP200" s="117"/>
      <c r="BQ200" s="118"/>
      <c r="BR200" s="37"/>
      <c r="BS200" s="24"/>
    </row>
    <row r="201" spans="1:71" ht="15.6" customHeight="1" x14ac:dyDescent="0.4">
      <c r="C201" s="32"/>
      <c r="D201" s="190"/>
      <c r="E201" s="190"/>
      <c r="F201" s="190"/>
      <c r="G201" s="190"/>
      <c r="H201" s="190"/>
      <c r="I201" s="190"/>
      <c r="J201" s="190"/>
      <c r="K201" s="190"/>
      <c r="L201" s="190"/>
      <c r="M201" s="190"/>
      <c r="N201" s="101"/>
      <c r="O201" s="102"/>
      <c r="P201" s="102"/>
      <c r="Q201" s="103"/>
      <c r="R201" s="38"/>
      <c r="S201" s="38"/>
      <c r="T201" s="38"/>
      <c r="U201" s="110"/>
      <c r="V201" s="111"/>
      <c r="W201" s="111"/>
      <c r="X201" s="111"/>
      <c r="Y201" s="111"/>
      <c r="Z201" s="111"/>
      <c r="AA201" s="111"/>
      <c r="AB201" s="111"/>
      <c r="AC201" s="111"/>
      <c r="AD201" s="111"/>
      <c r="AE201" s="111"/>
      <c r="AF201" s="111"/>
      <c r="AG201" s="111"/>
      <c r="AH201" s="111"/>
      <c r="AI201" s="111"/>
      <c r="AJ201" s="112"/>
      <c r="AK201" s="49"/>
      <c r="AL201" s="49"/>
      <c r="AM201" s="193"/>
      <c r="AN201" s="194"/>
      <c r="AO201" s="194"/>
      <c r="AP201" s="194"/>
      <c r="AQ201" s="194"/>
      <c r="AR201" s="194"/>
      <c r="AS201" s="194"/>
      <c r="AT201" s="195"/>
      <c r="AU201" s="193"/>
      <c r="AV201" s="194"/>
      <c r="AW201" s="194"/>
      <c r="AX201" s="194"/>
      <c r="AY201" s="194"/>
      <c r="AZ201" s="194"/>
      <c r="BA201" s="194"/>
      <c r="BB201" s="195"/>
      <c r="BC201" s="39"/>
      <c r="BD201" s="34"/>
      <c r="BE201" s="34"/>
      <c r="BF201" s="83"/>
      <c r="BG201" s="84"/>
      <c r="BH201" s="84"/>
      <c r="BI201" s="84"/>
      <c r="BJ201" s="83"/>
      <c r="BK201" s="84"/>
      <c r="BL201" s="84"/>
      <c r="BM201" s="84"/>
      <c r="BN201" s="83"/>
      <c r="BO201" s="84"/>
      <c r="BP201" s="84"/>
      <c r="BQ201" s="87"/>
      <c r="BR201" s="37"/>
      <c r="BS201" s="24"/>
    </row>
    <row r="202" spans="1:71" ht="15.6" customHeight="1" x14ac:dyDescent="0.4">
      <c r="C202" s="32"/>
      <c r="D202" s="190"/>
      <c r="E202" s="190"/>
      <c r="F202" s="190"/>
      <c r="G202" s="190"/>
      <c r="H202" s="190"/>
      <c r="I202" s="190"/>
      <c r="J202" s="190"/>
      <c r="K202" s="190"/>
      <c r="L202" s="190"/>
      <c r="M202" s="190"/>
      <c r="N202" s="101"/>
      <c r="O202" s="102"/>
      <c r="P202" s="102"/>
      <c r="Q202" s="103"/>
      <c r="R202" s="38"/>
      <c r="S202" s="38"/>
      <c r="T202" s="38"/>
      <c r="U202" s="110"/>
      <c r="V202" s="111"/>
      <c r="W202" s="111"/>
      <c r="X202" s="111"/>
      <c r="Y202" s="111"/>
      <c r="Z202" s="111"/>
      <c r="AA202" s="111"/>
      <c r="AB202" s="111"/>
      <c r="AC202" s="111"/>
      <c r="AD202" s="111"/>
      <c r="AE202" s="111"/>
      <c r="AF202" s="111"/>
      <c r="AG202" s="111"/>
      <c r="AH202" s="111"/>
      <c r="AI202" s="111"/>
      <c r="AJ202" s="112"/>
      <c r="AK202" s="49"/>
      <c r="AL202" s="49"/>
      <c r="AM202" s="131"/>
      <c r="AN202" s="132"/>
      <c r="AO202" s="132"/>
      <c r="AP202" s="132"/>
      <c r="AQ202" s="132"/>
      <c r="AR202" s="132"/>
      <c r="AS202" s="132"/>
      <c r="AT202" s="133"/>
      <c r="AU202" s="131"/>
      <c r="AV202" s="132"/>
      <c r="AW202" s="132"/>
      <c r="AX202" s="132"/>
      <c r="AY202" s="132"/>
      <c r="AZ202" s="132"/>
      <c r="BA202" s="132"/>
      <c r="BB202" s="133"/>
      <c r="BC202" s="39"/>
      <c r="BD202" s="34"/>
      <c r="BE202" s="34"/>
      <c r="BF202" s="83"/>
      <c r="BG202" s="84"/>
      <c r="BH202" s="84"/>
      <c r="BI202" s="84"/>
      <c r="BJ202" s="83"/>
      <c r="BK202" s="84"/>
      <c r="BL202" s="84"/>
      <c r="BM202" s="84"/>
      <c r="BN202" s="83"/>
      <c r="BO202" s="84"/>
      <c r="BP202" s="84"/>
      <c r="BQ202" s="87"/>
      <c r="BR202" s="37"/>
      <c r="BS202" s="24"/>
    </row>
    <row r="203" spans="1:71" ht="15.6" customHeight="1" x14ac:dyDescent="0.4">
      <c r="C203" s="32"/>
      <c r="D203" s="190"/>
      <c r="E203" s="190"/>
      <c r="F203" s="190"/>
      <c r="G203" s="190"/>
      <c r="H203" s="190"/>
      <c r="I203" s="190"/>
      <c r="J203" s="190"/>
      <c r="K203" s="190"/>
      <c r="L203" s="190"/>
      <c r="M203" s="190"/>
      <c r="N203" s="104"/>
      <c r="O203" s="105"/>
      <c r="P203" s="105"/>
      <c r="Q203" s="106"/>
      <c r="R203" s="38"/>
      <c r="S203" s="38"/>
      <c r="T203" s="38"/>
      <c r="U203" s="110"/>
      <c r="V203" s="111"/>
      <c r="W203" s="111"/>
      <c r="X203" s="111"/>
      <c r="Y203" s="111"/>
      <c r="Z203" s="111"/>
      <c r="AA203" s="111"/>
      <c r="AB203" s="111"/>
      <c r="AC203" s="111"/>
      <c r="AD203" s="111"/>
      <c r="AE203" s="111"/>
      <c r="AF203" s="111"/>
      <c r="AG203" s="111"/>
      <c r="AH203" s="111"/>
      <c r="AI203" s="111"/>
      <c r="AJ203" s="112"/>
      <c r="AK203" s="49"/>
      <c r="AL203" s="49"/>
      <c r="AM203" s="119" t="str">
        <f>IF([10]回答表!X46="●",[10]回答表!G313,IF([10]回答表!AA46="●",[10]回答表!G330,""))</f>
        <v/>
      </c>
      <c r="AN203" s="120"/>
      <c r="AO203" s="120"/>
      <c r="AP203" s="120"/>
      <c r="AQ203" s="120"/>
      <c r="AR203" s="120"/>
      <c r="AS203" s="120"/>
      <c r="AT203" s="121"/>
      <c r="AU203" s="119" t="str">
        <f>IF([10]回答表!X46="●",[10]回答表!G314,IF([10]回答表!AA46="●",[10]回答表!G331,""))</f>
        <v/>
      </c>
      <c r="AV203" s="120"/>
      <c r="AW203" s="120"/>
      <c r="AX203" s="120"/>
      <c r="AY203" s="120"/>
      <c r="AZ203" s="120"/>
      <c r="BA203" s="120"/>
      <c r="BB203" s="121"/>
      <c r="BC203" s="39"/>
      <c r="BD203" s="34"/>
      <c r="BE203" s="34"/>
      <c r="BF203" s="83" t="str">
        <f>IF([10]回答表!X46="●",[10]回答表!X313,IF([10]回答表!AA46="●",[10]回答表!X330,""))</f>
        <v/>
      </c>
      <c r="BG203" s="84"/>
      <c r="BH203" s="84"/>
      <c r="BI203" s="84"/>
      <c r="BJ203" s="83" t="str">
        <f>IF([10]回答表!X46="●",[10]回答表!X314,IF([10]回答表!AA46="●",[10]回答表!X331,""))</f>
        <v/>
      </c>
      <c r="BK203" s="84"/>
      <c r="BL203" s="84"/>
      <c r="BM203" s="87"/>
      <c r="BN203" s="83" t="str">
        <f>IF([10]回答表!X46="●",[10]回答表!X315,IF([10]回答表!AA46="●",[10]回答表!X332,""))</f>
        <v/>
      </c>
      <c r="BO203" s="84"/>
      <c r="BP203" s="84"/>
      <c r="BQ203" s="87"/>
      <c r="BR203" s="37"/>
      <c r="BS203" s="24"/>
    </row>
    <row r="204" spans="1:71" ht="15.6" customHeight="1" x14ac:dyDescent="0.4">
      <c r="C204" s="32"/>
      <c r="D204" s="50"/>
      <c r="E204" s="50"/>
      <c r="F204" s="50"/>
      <c r="G204" s="50"/>
      <c r="H204" s="50"/>
      <c r="I204" s="50"/>
      <c r="J204" s="50"/>
      <c r="K204" s="50"/>
      <c r="L204" s="50"/>
      <c r="M204" s="50"/>
      <c r="N204" s="52"/>
      <c r="O204" s="52"/>
      <c r="P204" s="52"/>
      <c r="Q204" s="52"/>
      <c r="R204" s="52"/>
      <c r="S204" s="52"/>
      <c r="T204" s="52"/>
      <c r="U204" s="110"/>
      <c r="V204" s="111"/>
      <c r="W204" s="111"/>
      <c r="X204" s="111"/>
      <c r="Y204" s="111"/>
      <c r="Z204" s="111"/>
      <c r="AA204" s="111"/>
      <c r="AB204" s="111"/>
      <c r="AC204" s="111"/>
      <c r="AD204" s="111"/>
      <c r="AE204" s="111"/>
      <c r="AF204" s="111"/>
      <c r="AG204" s="111"/>
      <c r="AH204" s="111"/>
      <c r="AI204" s="111"/>
      <c r="AJ204" s="112"/>
      <c r="AK204" s="49"/>
      <c r="AL204" s="49"/>
      <c r="AM204" s="122"/>
      <c r="AN204" s="123"/>
      <c r="AO204" s="123"/>
      <c r="AP204" s="123"/>
      <c r="AQ204" s="123"/>
      <c r="AR204" s="123"/>
      <c r="AS204" s="123"/>
      <c r="AT204" s="124"/>
      <c r="AU204" s="122"/>
      <c r="AV204" s="123"/>
      <c r="AW204" s="123"/>
      <c r="AX204" s="123"/>
      <c r="AY204" s="123"/>
      <c r="AZ204" s="123"/>
      <c r="BA204" s="123"/>
      <c r="BB204" s="124"/>
      <c r="BC204" s="39"/>
      <c r="BD204" s="39"/>
      <c r="BE204" s="39"/>
      <c r="BF204" s="83"/>
      <c r="BG204" s="84"/>
      <c r="BH204" s="84"/>
      <c r="BI204" s="84"/>
      <c r="BJ204" s="83"/>
      <c r="BK204" s="84"/>
      <c r="BL204" s="84"/>
      <c r="BM204" s="87"/>
      <c r="BN204" s="83"/>
      <c r="BO204" s="84"/>
      <c r="BP204" s="84"/>
      <c r="BQ204" s="87"/>
      <c r="BR204" s="37"/>
      <c r="BS204" s="24"/>
    </row>
    <row r="205" spans="1:71" ht="15.6" customHeight="1" x14ac:dyDescent="0.4">
      <c r="C205" s="32"/>
      <c r="D205" s="50"/>
      <c r="E205" s="50"/>
      <c r="F205" s="50"/>
      <c r="G205" s="50"/>
      <c r="H205" s="50"/>
      <c r="I205" s="50"/>
      <c r="J205" s="50"/>
      <c r="K205" s="50"/>
      <c r="L205" s="50"/>
      <c r="M205" s="50"/>
      <c r="N205" s="52"/>
      <c r="O205" s="52"/>
      <c r="P205" s="52"/>
      <c r="Q205" s="52"/>
      <c r="R205" s="52"/>
      <c r="S205" s="52"/>
      <c r="T205" s="52"/>
      <c r="U205" s="110"/>
      <c r="V205" s="111"/>
      <c r="W205" s="111"/>
      <c r="X205" s="111"/>
      <c r="Y205" s="111"/>
      <c r="Z205" s="111"/>
      <c r="AA205" s="111"/>
      <c r="AB205" s="111"/>
      <c r="AC205" s="111"/>
      <c r="AD205" s="111"/>
      <c r="AE205" s="111"/>
      <c r="AF205" s="111"/>
      <c r="AG205" s="111"/>
      <c r="AH205" s="111"/>
      <c r="AI205" s="111"/>
      <c r="AJ205" s="112"/>
      <c r="AK205" s="49"/>
      <c r="AL205" s="49"/>
      <c r="AM205" s="125"/>
      <c r="AN205" s="126"/>
      <c r="AO205" s="126"/>
      <c r="AP205" s="126"/>
      <c r="AQ205" s="126"/>
      <c r="AR205" s="126"/>
      <c r="AS205" s="126"/>
      <c r="AT205" s="127"/>
      <c r="AU205" s="125"/>
      <c r="AV205" s="126"/>
      <c r="AW205" s="126"/>
      <c r="AX205" s="126"/>
      <c r="AY205" s="126"/>
      <c r="AZ205" s="126"/>
      <c r="BA205" s="126"/>
      <c r="BB205" s="127"/>
      <c r="BC205" s="39"/>
      <c r="BD205" s="34"/>
      <c r="BE205" s="34"/>
      <c r="BF205" s="83"/>
      <c r="BG205" s="84"/>
      <c r="BH205" s="84"/>
      <c r="BI205" s="84"/>
      <c r="BJ205" s="83"/>
      <c r="BK205" s="84"/>
      <c r="BL205" s="84"/>
      <c r="BM205" s="87"/>
      <c r="BN205" s="83"/>
      <c r="BO205" s="84"/>
      <c r="BP205" s="84"/>
      <c r="BQ205" s="87"/>
      <c r="BR205" s="37"/>
      <c r="BS205" s="24"/>
    </row>
    <row r="206" spans="1:71" ht="15.6" customHeight="1" x14ac:dyDescent="0.4">
      <c r="C206" s="32"/>
      <c r="D206" s="196" t="s">
        <v>26</v>
      </c>
      <c r="E206" s="190"/>
      <c r="F206" s="190"/>
      <c r="G206" s="190"/>
      <c r="H206" s="190"/>
      <c r="I206" s="190"/>
      <c r="J206" s="190"/>
      <c r="K206" s="190"/>
      <c r="L206" s="190"/>
      <c r="M206" s="191"/>
      <c r="N206" s="98" t="str">
        <f>IF([10]回答表!AA46="●","●","")</f>
        <v/>
      </c>
      <c r="O206" s="99"/>
      <c r="P206" s="99"/>
      <c r="Q206" s="100"/>
      <c r="R206" s="38"/>
      <c r="S206" s="38"/>
      <c r="T206" s="38"/>
      <c r="U206" s="110"/>
      <c r="V206" s="111"/>
      <c r="W206" s="111"/>
      <c r="X206" s="111"/>
      <c r="Y206" s="111"/>
      <c r="Z206" s="111"/>
      <c r="AA206" s="111"/>
      <c r="AB206" s="111"/>
      <c r="AC206" s="111"/>
      <c r="AD206" s="111"/>
      <c r="AE206" s="111"/>
      <c r="AF206" s="111"/>
      <c r="AG206" s="111"/>
      <c r="AH206" s="111"/>
      <c r="AI206" s="111"/>
      <c r="AJ206" s="112"/>
      <c r="AK206" s="49"/>
      <c r="AL206" s="49"/>
      <c r="AM206" s="34"/>
      <c r="AN206" s="34"/>
      <c r="AO206" s="34"/>
      <c r="AP206" s="34"/>
      <c r="AQ206" s="34"/>
      <c r="AR206" s="34"/>
      <c r="AS206" s="34"/>
      <c r="AT206" s="34"/>
      <c r="AU206" s="34"/>
      <c r="AV206" s="34"/>
      <c r="AW206" s="34"/>
      <c r="AX206" s="34"/>
      <c r="AY206" s="34"/>
      <c r="AZ206" s="34"/>
      <c r="BA206" s="34"/>
      <c r="BB206" s="34"/>
      <c r="BC206" s="39"/>
      <c r="BD206" s="53"/>
      <c r="BE206" s="53"/>
      <c r="BF206" s="83"/>
      <c r="BG206" s="84"/>
      <c r="BH206" s="84"/>
      <c r="BI206" s="84"/>
      <c r="BJ206" s="83"/>
      <c r="BK206" s="84"/>
      <c r="BL206" s="84"/>
      <c r="BM206" s="87"/>
      <c r="BN206" s="83"/>
      <c r="BO206" s="84"/>
      <c r="BP206" s="84"/>
      <c r="BQ206" s="87"/>
      <c r="BR206" s="37"/>
      <c r="BS206" s="24"/>
    </row>
    <row r="207" spans="1:71" ht="15.6" customHeight="1" x14ac:dyDescent="0.4">
      <c r="C207" s="32"/>
      <c r="D207" s="190"/>
      <c r="E207" s="190"/>
      <c r="F207" s="190"/>
      <c r="G207" s="190"/>
      <c r="H207" s="190"/>
      <c r="I207" s="190"/>
      <c r="J207" s="190"/>
      <c r="K207" s="190"/>
      <c r="L207" s="190"/>
      <c r="M207" s="191"/>
      <c r="N207" s="101"/>
      <c r="O207" s="102"/>
      <c r="P207" s="102"/>
      <c r="Q207" s="103"/>
      <c r="R207" s="38"/>
      <c r="S207" s="38"/>
      <c r="T207" s="38"/>
      <c r="U207" s="110"/>
      <c r="V207" s="111"/>
      <c r="W207" s="111"/>
      <c r="X207" s="111"/>
      <c r="Y207" s="111"/>
      <c r="Z207" s="111"/>
      <c r="AA207" s="111"/>
      <c r="AB207" s="111"/>
      <c r="AC207" s="111"/>
      <c r="AD207" s="111"/>
      <c r="AE207" s="111"/>
      <c r="AF207" s="111"/>
      <c r="AG207" s="111"/>
      <c r="AH207" s="111"/>
      <c r="AI207" s="111"/>
      <c r="AJ207" s="112"/>
      <c r="AK207" s="49"/>
      <c r="AL207" s="49"/>
      <c r="AM207" s="34"/>
      <c r="AN207" s="34"/>
      <c r="AO207" s="34"/>
      <c r="AP207" s="34"/>
      <c r="AQ207" s="34"/>
      <c r="AR207" s="34"/>
      <c r="AS207" s="34"/>
      <c r="AT207" s="34"/>
      <c r="AU207" s="34"/>
      <c r="AV207" s="34"/>
      <c r="AW207" s="34"/>
      <c r="AX207" s="34"/>
      <c r="AY207" s="34"/>
      <c r="AZ207" s="34"/>
      <c r="BA207" s="34"/>
      <c r="BB207" s="34"/>
      <c r="BC207" s="39"/>
      <c r="BD207" s="53"/>
      <c r="BE207" s="53"/>
      <c r="BF207" s="83" t="s">
        <v>23</v>
      </c>
      <c r="BG207" s="84"/>
      <c r="BH207" s="84"/>
      <c r="BI207" s="84"/>
      <c r="BJ207" s="83" t="s">
        <v>24</v>
      </c>
      <c r="BK207" s="84"/>
      <c r="BL207" s="84"/>
      <c r="BM207" s="84"/>
      <c r="BN207" s="83" t="s">
        <v>25</v>
      </c>
      <c r="BO207" s="84"/>
      <c r="BP207" s="84"/>
      <c r="BQ207" s="87"/>
      <c r="BR207" s="37"/>
      <c r="BS207" s="24"/>
    </row>
    <row r="208" spans="1:71" ht="15.6" customHeight="1" x14ac:dyDescent="0.4">
      <c r="C208" s="32"/>
      <c r="D208" s="190"/>
      <c r="E208" s="190"/>
      <c r="F208" s="190"/>
      <c r="G208" s="190"/>
      <c r="H208" s="190"/>
      <c r="I208" s="190"/>
      <c r="J208" s="190"/>
      <c r="K208" s="190"/>
      <c r="L208" s="190"/>
      <c r="M208" s="191"/>
      <c r="N208" s="101"/>
      <c r="O208" s="102"/>
      <c r="P208" s="102"/>
      <c r="Q208" s="103"/>
      <c r="R208" s="38"/>
      <c r="S208" s="38"/>
      <c r="T208" s="38"/>
      <c r="U208" s="110"/>
      <c r="V208" s="111"/>
      <c r="W208" s="111"/>
      <c r="X208" s="111"/>
      <c r="Y208" s="111"/>
      <c r="Z208" s="111"/>
      <c r="AA208" s="111"/>
      <c r="AB208" s="111"/>
      <c r="AC208" s="111"/>
      <c r="AD208" s="111"/>
      <c r="AE208" s="111"/>
      <c r="AF208" s="111"/>
      <c r="AG208" s="111"/>
      <c r="AH208" s="111"/>
      <c r="AI208" s="111"/>
      <c r="AJ208" s="112"/>
      <c r="AK208" s="49"/>
      <c r="AL208" s="49"/>
      <c r="AM208" s="34"/>
      <c r="AN208" s="34"/>
      <c r="AO208" s="34"/>
      <c r="AP208" s="34"/>
      <c r="AQ208" s="34"/>
      <c r="AR208" s="34"/>
      <c r="AS208" s="34"/>
      <c r="AT208" s="34"/>
      <c r="AU208" s="34"/>
      <c r="AV208" s="34"/>
      <c r="AW208" s="34"/>
      <c r="AX208" s="34"/>
      <c r="AY208" s="34"/>
      <c r="AZ208" s="34"/>
      <c r="BA208" s="34"/>
      <c r="BB208" s="34"/>
      <c r="BC208" s="39"/>
      <c r="BD208" s="53"/>
      <c r="BE208" s="53"/>
      <c r="BF208" s="83"/>
      <c r="BG208" s="84"/>
      <c r="BH208" s="84"/>
      <c r="BI208" s="84"/>
      <c r="BJ208" s="83"/>
      <c r="BK208" s="84"/>
      <c r="BL208" s="84"/>
      <c r="BM208" s="84"/>
      <c r="BN208" s="83"/>
      <c r="BO208" s="84"/>
      <c r="BP208" s="84"/>
      <c r="BQ208" s="87"/>
      <c r="BR208" s="37"/>
      <c r="BS208" s="24"/>
    </row>
    <row r="209" spans="1:71" ht="15.6" customHeight="1" x14ac:dyDescent="0.4">
      <c r="C209" s="32"/>
      <c r="D209" s="190"/>
      <c r="E209" s="190"/>
      <c r="F209" s="190"/>
      <c r="G209" s="190"/>
      <c r="H209" s="190"/>
      <c r="I209" s="190"/>
      <c r="J209" s="190"/>
      <c r="K209" s="190"/>
      <c r="L209" s="190"/>
      <c r="M209" s="191"/>
      <c r="N209" s="104"/>
      <c r="O209" s="105"/>
      <c r="P209" s="105"/>
      <c r="Q209" s="106"/>
      <c r="R209" s="38"/>
      <c r="S209" s="38"/>
      <c r="T209" s="38"/>
      <c r="U209" s="113"/>
      <c r="V209" s="114"/>
      <c r="W209" s="114"/>
      <c r="X209" s="114"/>
      <c r="Y209" s="114"/>
      <c r="Z209" s="114"/>
      <c r="AA209" s="114"/>
      <c r="AB209" s="114"/>
      <c r="AC209" s="114"/>
      <c r="AD209" s="114"/>
      <c r="AE209" s="114"/>
      <c r="AF209" s="114"/>
      <c r="AG209" s="114"/>
      <c r="AH209" s="114"/>
      <c r="AI209" s="114"/>
      <c r="AJ209" s="115"/>
      <c r="AK209" s="49"/>
      <c r="AL209" s="49"/>
      <c r="AM209" s="34"/>
      <c r="AN209" s="34"/>
      <c r="AO209" s="34"/>
      <c r="AP209" s="34"/>
      <c r="AQ209" s="34"/>
      <c r="AR209" s="34"/>
      <c r="AS209" s="34"/>
      <c r="AT209" s="34"/>
      <c r="AU209" s="34"/>
      <c r="AV209" s="34"/>
      <c r="AW209" s="34"/>
      <c r="AX209" s="34"/>
      <c r="AY209" s="34"/>
      <c r="AZ209" s="34"/>
      <c r="BA209" s="34"/>
      <c r="BB209" s="34"/>
      <c r="BC209" s="39"/>
      <c r="BD209" s="53"/>
      <c r="BE209" s="53"/>
      <c r="BF209" s="85"/>
      <c r="BG209" s="86"/>
      <c r="BH209" s="86"/>
      <c r="BI209" s="86"/>
      <c r="BJ209" s="85"/>
      <c r="BK209" s="86"/>
      <c r="BL209" s="86"/>
      <c r="BM209" s="86"/>
      <c r="BN209" s="85"/>
      <c r="BO209" s="86"/>
      <c r="BP209" s="86"/>
      <c r="BQ209" s="88"/>
      <c r="BR209" s="37"/>
      <c r="BS209" s="24"/>
    </row>
    <row r="210" spans="1:71" ht="15.6" customHeight="1" x14ac:dyDescent="0.5">
      <c r="C210" s="32"/>
      <c r="D210" s="50"/>
      <c r="E210" s="50"/>
      <c r="F210" s="50"/>
      <c r="G210" s="50"/>
      <c r="H210" s="50"/>
      <c r="I210" s="50"/>
      <c r="J210" s="50"/>
      <c r="K210" s="50"/>
      <c r="L210" s="50"/>
      <c r="M210" s="50"/>
      <c r="N210" s="38"/>
      <c r="O210" s="38"/>
      <c r="P210" s="38"/>
      <c r="Q210" s="38"/>
      <c r="R210" s="38"/>
      <c r="S210" s="38"/>
      <c r="T210" s="38"/>
      <c r="U210" s="38"/>
      <c r="V210" s="38"/>
      <c r="W210" s="38"/>
      <c r="X210" s="18"/>
      <c r="Y210" s="18"/>
      <c r="Z210" s="18"/>
      <c r="AA210" s="35"/>
      <c r="AB210" s="35"/>
      <c r="AC210" s="35"/>
      <c r="AD210" s="35"/>
      <c r="AE210" s="35"/>
      <c r="AF210" s="35"/>
      <c r="AG210" s="35"/>
      <c r="AH210" s="35"/>
      <c r="AI210" s="35"/>
      <c r="AJ210" s="18"/>
      <c r="AK210" s="18"/>
      <c r="AL210" s="18"/>
      <c r="AM210" s="34"/>
      <c r="AN210" s="34"/>
      <c r="AO210" s="34"/>
      <c r="AP210" s="34"/>
      <c r="AQ210" s="34"/>
      <c r="AR210" s="34"/>
      <c r="AS210" s="34"/>
      <c r="AT210" s="34"/>
      <c r="AU210" s="34"/>
      <c r="AV210" s="34"/>
      <c r="AW210" s="34"/>
      <c r="AX210" s="34"/>
      <c r="AY210" s="34"/>
      <c r="AZ210" s="34"/>
      <c r="BA210" s="34"/>
      <c r="BB210" s="34"/>
      <c r="BC210" s="18"/>
      <c r="BD210" s="18"/>
      <c r="BE210" s="18"/>
      <c r="BF210" s="18"/>
      <c r="BG210" s="18"/>
      <c r="BH210" s="18"/>
      <c r="BI210" s="18"/>
      <c r="BJ210" s="18"/>
      <c r="BK210" s="18"/>
      <c r="BL210" s="18"/>
      <c r="BM210" s="18"/>
      <c r="BN210" s="18"/>
      <c r="BO210" s="18"/>
      <c r="BP210" s="18"/>
      <c r="BQ210" s="18"/>
      <c r="BR210" s="37"/>
      <c r="BS210" s="24"/>
    </row>
    <row r="211" spans="1:71" ht="18.600000000000001" customHeight="1" x14ac:dyDescent="0.5">
      <c r="C211" s="32"/>
      <c r="D211" s="50"/>
      <c r="E211" s="50"/>
      <c r="F211" s="50"/>
      <c r="G211" s="50"/>
      <c r="H211" s="50"/>
      <c r="I211" s="50"/>
      <c r="J211" s="50"/>
      <c r="K211" s="50"/>
      <c r="L211" s="50"/>
      <c r="M211" s="50"/>
      <c r="N211" s="38"/>
      <c r="O211" s="38"/>
      <c r="P211" s="38"/>
      <c r="Q211" s="38"/>
      <c r="R211" s="38"/>
      <c r="S211" s="38"/>
      <c r="T211" s="38"/>
      <c r="U211" s="42" t="s">
        <v>31</v>
      </c>
      <c r="V211" s="38"/>
      <c r="W211" s="38"/>
      <c r="X211" s="38"/>
      <c r="Y211" s="38"/>
      <c r="Z211" s="38"/>
      <c r="AA211" s="35"/>
      <c r="AB211" s="43"/>
      <c r="AC211" s="35"/>
      <c r="AD211" s="35"/>
      <c r="AE211" s="35"/>
      <c r="AF211" s="35"/>
      <c r="AG211" s="35"/>
      <c r="AH211" s="35"/>
      <c r="AI211" s="35"/>
      <c r="AJ211" s="35"/>
      <c r="AK211" s="35"/>
      <c r="AL211" s="35"/>
      <c r="AM211" s="42" t="s">
        <v>32</v>
      </c>
      <c r="AN211" s="35"/>
      <c r="AO211" s="35"/>
      <c r="AP211" s="35"/>
      <c r="AQ211" s="35"/>
      <c r="AR211" s="35"/>
      <c r="AS211" s="35"/>
      <c r="AT211" s="35"/>
      <c r="AU211" s="35"/>
      <c r="AV211" s="35"/>
      <c r="AW211" s="35"/>
      <c r="AX211" s="35"/>
      <c r="AY211" s="35"/>
      <c r="AZ211" s="34"/>
      <c r="BA211" s="34"/>
      <c r="BB211" s="34"/>
      <c r="BC211" s="34"/>
      <c r="BD211" s="34"/>
      <c r="BE211" s="34"/>
      <c r="BF211" s="34"/>
      <c r="BG211" s="34"/>
      <c r="BH211" s="34"/>
      <c r="BI211" s="34"/>
      <c r="BJ211" s="34"/>
      <c r="BK211" s="34"/>
      <c r="BL211" s="34"/>
      <c r="BM211" s="34"/>
      <c r="BN211" s="34"/>
      <c r="BO211" s="34"/>
      <c r="BP211" s="34"/>
      <c r="BQ211" s="18"/>
      <c r="BR211" s="37"/>
      <c r="BS211" s="24"/>
    </row>
    <row r="212" spans="1:71" ht="15.6" customHeight="1" x14ac:dyDescent="0.4">
      <c r="C212" s="32"/>
      <c r="D212" s="190" t="s">
        <v>33</v>
      </c>
      <c r="E212" s="190"/>
      <c r="F212" s="190"/>
      <c r="G212" s="190"/>
      <c r="H212" s="190"/>
      <c r="I212" s="190"/>
      <c r="J212" s="190"/>
      <c r="K212" s="190"/>
      <c r="L212" s="190"/>
      <c r="M212" s="191"/>
      <c r="N212" s="98" t="str">
        <f>IF([10]回答表!AD46="●","●","")</f>
        <v/>
      </c>
      <c r="O212" s="99"/>
      <c r="P212" s="99"/>
      <c r="Q212" s="100"/>
      <c r="R212" s="38"/>
      <c r="S212" s="38"/>
      <c r="T212" s="38"/>
      <c r="U212" s="107" t="str">
        <f>IF([10]回答表!AD46="●",[10]回答表!B337,"")</f>
        <v/>
      </c>
      <c r="V212" s="108"/>
      <c r="W212" s="108"/>
      <c r="X212" s="108"/>
      <c r="Y212" s="108"/>
      <c r="Z212" s="108"/>
      <c r="AA212" s="108"/>
      <c r="AB212" s="108"/>
      <c r="AC212" s="108"/>
      <c r="AD212" s="108"/>
      <c r="AE212" s="108"/>
      <c r="AF212" s="108"/>
      <c r="AG212" s="108"/>
      <c r="AH212" s="108"/>
      <c r="AI212" s="108"/>
      <c r="AJ212" s="109"/>
      <c r="AK212" s="62"/>
      <c r="AL212" s="62"/>
      <c r="AM212" s="107" t="str">
        <f>IF([10]回答表!AD46="●",[10]回答表!B343,"")</f>
        <v/>
      </c>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9"/>
      <c r="BR212" s="37"/>
      <c r="BS212" s="24"/>
    </row>
    <row r="213" spans="1:71" ht="15.6" customHeight="1" x14ac:dyDescent="0.4">
      <c r="C213" s="32"/>
      <c r="D213" s="190"/>
      <c r="E213" s="190"/>
      <c r="F213" s="190"/>
      <c r="G213" s="190"/>
      <c r="H213" s="190"/>
      <c r="I213" s="190"/>
      <c r="J213" s="190"/>
      <c r="K213" s="190"/>
      <c r="L213" s="190"/>
      <c r="M213" s="191"/>
      <c r="N213" s="101"/>
      <c r="O213" s="102"/>
      <c r="P213" s="102"/>
      <c r="Q213" s="103"/>
      <c r="R213" s="38"/>
      <c r="S213" s="38"/>
      <c r="T213" s="38"/>
      <c r="U213" s="110"/>
      <c r="V213" s="111"/>
      <c r="W213" s="111"/>
      <c r="X213" s="111"/>
      <c r="Y213" s="111"/>
      <c r="Z213" s="111"/>
      <c r="AA213" s="111"/>
      <c r="AB213" s="111"/>
      <c r="AC213" s="111"/>
      <c r="AD213" s="111"/>
      <c r="AE213" s="111"/>
      <c r="AF213" s="111"/>
      <c r="AG213" s="111"/>
      <c r="AH213" s="111"/>
      <c r="AI213" s="111"/>
      <c r="AJ213" s="112"/>
      <c r="AK213" s="62"/>
      <c r="AL213" s="62"/>
      <c r="AM213" s="110"/>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2"/>
      <c r="BR213" s="37"/>
      <c r="BS213" s="24"/>
    </row>
    <row r="214" spans="1:71" ht="15.6" customHeight="1" x14ac:dyDescent="0.4">
      <c r="C214" s="32"/>
      <c r="D214" s="190"/>
      <c r="E214" s="190"/>
      <c r="F214" s="190"/>
      <c r="G214" s="190"/>
      <c r="H214" s="190"/>
      <c r="I214" s="190"/>
      <c r="J214" s="190"/>
      <c r="K214" s="190"/>
      <c r="L214" s="190"/>
      <c r="M214" s="191"/>
      <c r="N214" s="101"/>
      <c r="O214" s="102"/>
      <c r="P214" s="102"/>
      <c r="Q214" s="103"/>
      <c r="R214" s="38"/>
      <c r="S214" s="38"/>
      <c r="T214" s="38"/>
      <c r="U214" s="110"/>
      <c r="V214" s="111"/>
      <c r="W214" s="111"/>
      <c r="X214" s="111"/>
      <c r="Y214" s="111"/>
      <c r="Z214" s="111"/>
      <c r="AA214" s="111"/>
      <c r="AB214" s="111"/>
      <c r="AC214" s="111"/>
      <c r="AD214" s="111"/>
      <c r="AE214" s="111"/>
      <c r="AF214" s="111"/>
      <c r="AG214" s="111"/>
      <c r="AH214" s="111"/>
      <c r="AI214" s="111"/>
      <c r="AJ214" s="112"/>
      <c r="AK214" s="62"/>
      <c r="AL214" s="62"/>
      <c r="AM214" s="110"/>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2"/>
      <c r="BR214" s="37"/>
      <c r="BS214" s="24"/>
    </row>
    <row r="215" spans="1:71" ht="15.6" customHeight="1" x14ac:dyDescent="0.4">
      <c r="C215" s="32"/>
      <c r="D215" s="190"/>
      <c r="E215" s="190"/>
      <c r="F215" s="190"/>
      <c r="G215" s="190"/>
      <c r="H215" s="190"/>
      <c r="I215" s="190"/>
      <c r="J215" s="190"/>
      <c r="K215" s="190"/>
      <c r="L215" s="190"/>
      <c r="M215" s="191"/>
      <c r="N215" s="104"/>
      <c r="O215" s="105"/>
      <c r="P215" s="105"/>
      <c r="Q215" s="106"/>
      <c r="R215" s="38"/>
      <c r="S215" s="38"/>
      <c r="T215" s="38"/>
      <c r="U215" s="113"/>
      <c r="V215" s="114"/>
      <c r="W215" s="114"/>
      <c r="X215" s="114"/>
      <c r="Y215" s="114"/>
      <c r="Z215" s="114"/>
      <c r="AA215" s="114"/>
      <c r="AB215" s="114"/>
      <c r="AC215" s="114"/>
      <c r="AD215" s="114"/>
      <c r="AE215" s="114"/>
      <c r="AF215" s="114"/>
      <c r="AG215" s="114"/>
      <c r="AH215" s="114"/>
      <c r="AI215" s="114"/>
      <c r="AJ215" s="115"/>
      <c r="AK215" s="62"/>
      <c r="AL215" s="62"/>
      <c r="AM215" s="113"/>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5"/>
      <c r="BR215" s="37"/>
      <c r="BS215" s="24"/>
    </row>
    <row r="216" spans="1:71" ht="15.6" customHeight="1" x14ac:dyDescent="0.4">
      <c r="C216" s="56"/>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c r="BM216" s="57"/>
      <c r="BN216" s="57"/>
      <c r="BO216" s="57"/>
      <c r="BP216" s="57"/>
      <c r="BQ216" s="57"/>
      <c r="BR216" s="58"/>
      <c r="BS216" s="24"/>
    </row>
    <row r="217" spans="1:71" ht="15.6" customHeight="1" x14ac:dyDescent="0.4">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row>
    <row r="218" spans="1:71" ht="15.6" customHeight="1" x14ac:dyDescent="0.4">
      <c r="C218" s="26"/>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171"/>
      <c r="AS218" s="171"/>
      <c r="AT218" s="171"/>
      <c r="AU218" s="171"/>
      <c r="AV218" s="171"/>
      <c r="AW218" s="171"/>
      <c r="AX218" s="171"/>
      <c r="AY218" s="171"/>
      <c r="AZ218" s="171"/>
      <c r="BA218" s="171"/>
      <c r="BB218" s="171"/>
      <c r="BC218" s="28"/>
      <c r="BD218" s="29"/>
      <c r="BE218" s="29"/>
      <c r="BF218" s="29"/>
      <c r="BG218" s="29"/>
      <c r="BH218" s="29"/>
      <c r="BI218" s="29"/>
      <c r="BJ218" s="29"/>
      <c r="BK218" s="29"/>
      <c r="BL218" s="29"/>
      <c r="BM218" s="29"/>
      <c r="BN218" s="29"/>
      <c r="BO218" s="29"/>
      <c r="BP218" s="29"/>
      <c r="BQ218" s="29"/>
      <c r="BR218" s="30"/>
      <c r="BS218" s="24"/>
    </row>
    <row r="219" spans="1:71" ht="15.6" customHeight="1" x14ac:dyDescent="0.5">
      <c r="A219" s="24"/>
      <c r="B219" s="24"/>
      <c r="C219" s="32"/>
      <c r="D219" s="38"/>
      <c r="E219" s="38"/>
      <c r="F219" s="38"/>
      <c r="G219" s="38"/>
      <c r="H219" s="38"/>
      <c r="I219" s="38"/>
      <c r="J219" s="38"/>
      <c r="K219" s="38"/>
      <c r="L219" s="38"/>
      <c r="M219" s="38"/>
      <c r="N219" s="38"/>
      <c r="O219" s="38"/>
      <c r="P219" s="38"/>
      <c r="Q219" s="38"/>
      <c r="R219" s="38"/>
      <c r="S219" s="38"/>
      <c r="T219" s="38"/>
      <c r="U219" s="38"/>
      <c r="V219" s="38"/>
      <c r="W219" s="38"/>
      <c r="X219" s="18"/>
      <c r="Y219" s="18"/>
      <c r="Z219" s="18"/>
      <c r="AA219" s="34"/>
      <c r="AB219" s="39"/>
      <c r="AC219" s="39"/>
      <c r="AD219" s="39"/>
      <c r="AE219" s="39"/>
      <c r="AF219" s="39"/>
      <c r="AG219" s="39"/>
      <c r="AH219" s="39"/>
      <c r="AI219" s="39"/>
      <c r="AJ219" s="39"/>
      <c r="AK219" s="39"/>
      <c r="AL219" s="39"/>
      <c r="AM219" s="39"/>
      <c r="AN219" s="36"/>
      <c r="AO219" s="39"/>
      <c r="AP219" s="40"/>
      <c r="AQ219" s="40"/>
      <c r="AR219" s="172"/>
      <c r="AS219" s="172"/>
      <c r="AT219" s="172"/>
      <c r="AU219" s="172"/>
      <c r="AV219" s="172"/>
      <c r="AW219" s="172"/>
      <c r="AX219" s="172"/>
      <c r="AY219" s="172"/>
      <c r="AZ219" s="172"/>
      <c r="BA219" s="172"/>
      <c r="BB219" s="172"/>
      <c r="BC219" s="33"/>
      <c r="BD219" s="34"/>
      <c r="BE219" s="34"/>
      <c r="BF219" s="34"/>
      <c r="BG219" s="34"/>
      <c r="BH219" s="34"/>
      <c r="BI219" s="34"/>
      <c r="BJ219" s="34"/>
      <c r="BK219" s="34"/>
      <c r="BL219" s="34"/>
      <c r="BM219" s="34"/>
      <c r="BN219" s="35"/>
      <c r="BO219" s="35"/>
      <c r="BP219" s="35"/>
      <c r="BQ219" s="36"/>
      <c r="BR219" s="37"/>
      <c r="BS219" s="24"/>
    </row>
    <row r="220" spans="1:71" ht="15.6" customHeight="1" x14ac:dyDescent="0.5">
      <c r="A220" s="24"/>
      <c r="B220" s="24"/>
      <c r="C220" s="32"/>
      <c r="D220" s="144" t="s">
        <v>14</v>
      </c>
      <c r="E220" s="145"/>
      <c r="F220" s="145"/>
      <c r="G220" s="145"/>
      <c r="H220" s="145"/>
      <c r="I220" s="145"/>
      <c r="J220" s="145"/>
      <c r="K220" s="145"/>
      <c r="L220" s="145"/>
      <c r="M220" s="145"/>
      <c r="N220" s="145"/>
      <c r="O220" s="145"/>
      <c r="P220" s="145"/>
      <c r="Q220" s="146"/>
      <c r="R220" s="89" t="s">
        <v>68</v>
      </c>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1"/>
      <c r="BC220" s="33"/>
      <c r="BD220" s="34"/>
      <c r="BE220" s="34"/>
      <c r="BF220" s="34"/>
      <c r="BG220" s="34"/>
      <c r="BH220" s="34"/>
      <c r="BI220" s="34"/>
      <c r="BJ220" s="34"/>
      <c r="BK220" s="34"/>
      <c r="BL220" s="34"/>
      <c r="BM220" s="34"/>
      <c r="BN220" s="35"/>
      <c r="BO220" s="35"/>
      <c r="BP220" s="35"/>
      <c r="BQ220" s="36"/>
      <c r="BR220" s="37"/>
      <c r="BS220" s="24"/>
    </row>
    <row r="221" spans="1:71" ht="15.6" customHeight="1" x14ac:dyDescent="0.5">
      <c r="A221" s="24"/>
      <c r="B221" s="24"/>
      <c r="C221" s="32"/>
      <c r="D221" s="147"/>
      <c r="E221" s="148"/>
      <c r="F221" s="148"/>
      <c r="G221" s="148"/>
      <c r="H221" s="148"/>
      <c r="I221" s="148"/>
      <c r="J221" s="148"/>
      <c r="K221" s="148"/>
      <c r="L221" s="148"/>
      <c r="M221" s="148"/>
      <c r="N221" s="148"/>
      <c r="O221" s="148"/>
      <c r="P221" s="148"/>
      <c r="Q221" s="149"/>
      <c r="R221" s="95"/>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7"/>
      <c r="BC221" s="33"/>
      <c r="BD221" s="34"/>
      <c r="BE221" s="34"/>
      <c r="BF221" s="34"/>
      <c r="BG221" s="34"/>
      <c r="BH221" s="34"/>
      <c r="BI221" s="34"/>
      <c r="BJ221" s="34"/>
      <c r="BK221" s="34"/>
      <c r="BL221" s="34"/>
      <c r="BM221" s="34"/>
      <c r="BN221" s="35"/>
      <c r="BO221" s="35"/>
      <c r="BP221" s="35"/>
      <c r="BQ221" s="36"/>
      <c r="BR221" s="37"/>
      <c r="BS221" s="24"/>
    </row>
    <row r="222" spans="1:71" ht="15.6" customHeight="1" x14ac:dyDescent="0.5">
      <c r="A222" s="24"/>
      <c r="B222" s="24"/>
      <c r="C222" s="32"/>
      <c r="D222" s="38"/>
      <c r="E222" s="38"/>
      <c r="F222" s="38"/>
      <c r="G222" s="38"/>
      <c r="H222" s="38"/>
      <c r="I222" s="38"/>
      <c r="J222" s="38"/>
      <c r="K222" s="38"/>
      <c r="L222" s="38"/>
      <c r="M222" s="38"/>
      <c r="N222" s="38"/>
      <c r="O222" s="38"/>
      <c r="P222" s="38"/>
      <c r="Q222" s="38"/>
      <c r="R222" s="38"/>
      <c r="S222" s="38"/>
      <c r="T222" s="38"/>
      <c r="U222" s="38"/>
      <c r="V222" s="38"/>
      <c r="W222" s="38"/>
      <c r="X222" s="18"/>
      <c r="Y222" s="18"/>
      <c r="Z222" s="18"/>
      <c r="AA222" s="34"/>
      <c r="AB222" s="39"/>
      <c r="AC222" s="39"/>
      <c r="AD222" s="39"/>
      <c r="AE222" s="39"/>
      <c r="AF222" s="39"/>
      <c r="AG222" s="39"/>
      <c r="AH222" s="39"/>
      <c r="AI222" s="39"/>
      <c r="AJ222" s="39"/>
      <c r="AK222" s="39"/>
      <c r="AL222" s="39"/>
      <c r="AM222" s="39"/>
      <c r="AN222" s="36"/>
      <c r="AO222" s="39"/>
      <c r="AP222" s="40"/>
      <c r="AQ222" s="40"/>
      <c r="AR222" s="41"/>
      <c r="AS222" s="41"/>
      <c r="AT222" s="41"/>
      <c r="AU222" s="41"/>
      <c r="AV222" s="41"/>
      <c r="AW222" s="41"/>
      <c r="AX222" s="41"/>
      <c r="AY222" s="41"/>
      <c r="AZ222" s="41"/>
      <c r="BA222" s="41"/>
      <c r="BB222" s="41"/>
      <c r="BC222" s="33"/>
      <c r="BD222" s="34"/>
      <c r="BE222" s="34"/>
      <c r="BF222" s="34"/>
      <c r="BG222" s="34"/>
      <c r="BH222" s="34"/>
      <c r="BI222" s="34"/>
      <c r="BJ222" s="34"/>
      <c r="BK222" s="34"/>
      <c r="BL222" s="34"/>
      <c r="BM222" s="34"/>
      <c r="BN222" s="35"/>
      <c r="BO222" s="35"/>
      <c r="BP222" s="35"/>
      <c r="BQ222" s="36"/>
      <c r="BR222" s="37"/>
      <c r="BS222" s="24"/>
    </row>
    <row r="223" spans="1:71" ht="19.350000000000001" customHeight="1" x14ac:dyDescent="0.5">
      <c r="A223" s="24"/>
      <c r="B223" s="24"/>
      <c r="C223" s="32"/>
      <c r="D223" s="38"/>
      <c r="E223" s="38"/>
      <c r="F223" s="38"/>
      <c r="G223" s="38"/>
      <c r="H223" s="38"/>
      <c r="I223" s="38"/>
      <c r="J223" s="38"/>
      <c r="K223" s="38"/>
      <c r="L223" s="38"/>
      <c r="M223" s="38"/>
      <c r="N223" s="38"/>
      <c r="O223" s="38"/>
      <c r="P223" s="38"/>
      <c r="Q223" s="38"/>
      <c r="R223" s="38"/>
      <c r="S223" s="38"/>
      <c r="T223" s="38"/>
      <c r="U223" s="42" t="s">
        <v>35</v>
      </c>
      <c r="V223" s="38"/>
      <c r="W223" s="38"/>
      <c r="X223" s="38"/>
      <c r="Y223" s="38"/>
      <c r="Z223" s="38"/>
      <c r="AA223" s="35"/>
      <c r="AB223" s="43"/>
      <c r="AC223" s="43"/>
      <c r="AD223" s="43"/>
      <c r="AE223" s="43"/>
      <c r="AF223" s="43"/>
      <c r="AG223" s="43"/>
      <c r="AH223" s="43"/>
      <c r="AI223" s="43"/>
      <c r="AJ223" s="43"/>
      <c r="AK223" s="43"/>
      <c r="AL223" s="43"/>
      <c r="AM223" s="43"/>
      <c r="AN223" s="63" t="s">
        <v>69</v>
      </c>
      <c r="AO223" s="35"/>
      <c r="AP223" s="35"/>
      <c r="AQ223" s="35"/>
      <c r="AR223" s="35"/>
      <c r="AS223" s="35"/>
      <c r="AT223" s="35"/>
      <c r="AU223" s="35"/>
      <c r="AV223" s="35"/>
      <c r="AW223" s="35"/>
      <c r="AX223" s="44"/>
      <c r="AY223" s="42"/>
      <c r="AZ223" s="42"/>
      <c r="BA223" s="64"/>
      <c r="BB223" s="64"/>
      <c r="BC223" s="33"/>
      <c r="BD223" s="34"/>
      <c r="BE223" s="34"/>
      <c r="BF223" s="48" t="s">
        <v>17</v>
      </c>
      <c r="BG223" s="59"/>
      <c r="BH223" s="59"/>
      <c r="BI223" s="59"/>
      <c r="BJ223" s="59"/>
      <c r="BK223" s="59"/>
      <c r="BL223" s="59"/>
      <c r="BM223" s="35"/>
      <c r="BN223" s="35"/>
      <c r="BO223" s="35"/>
      <c r="BP223" s="35"/>
      <c r="BQ223" s="44"/>
      <c r="BR223" s="37"/>
      <c r="BS223" s="24"/>
    </row>
    <row r="224" spans="1:71" ht="15.6" customHeight="1" x14ac:dyDescent="0.4">
      <c r="A224" s="24"/>
      <c r="B224" s="24"/>
      <c r="C224" s="32"/>
      <c r="D224" s="89" t="s">
        <v>18</v>
      </c>
      <c r="E224" s="90"/>
      <c r="F224" s="90"/>
      <c r="G224" s="90"/>
      <c r="H224" s="90"/>
      <c r="I224" s="90"/>
      <c r="J224" s="90"/>
      <c r="K224" s="90"/>
      <c r="L224" s="90"/>
      <c r="M224" s="91"/>
      <c r="N224" s="98" t="str">
        <f>IF([10]回答表!X47="●","●","")</f>
        <v/>
      </c>
      <c r="O224" s="99"/>
      <c r="P224" s="99"/>
      <c r="Q224" s="100"/>
      <c r="R224" s="38"/>
      <c r="S224" s="38"/>
      <c r="T224" s="38"/>
      <c r="U224" s="107" t="str">
        <f>IF([10]回答表!X47="●",[10]回答表!B356,IF([10]回答表!AA47="●",[10]回答表!B379,""))</f>
        <v/>
      </c>
      <c r="V224" s="108"/>
      <c r="W224" s="108"/>
      <c r="X224" s="108"/>
      <c r="Y224" s="108"/>
      <c r="Z224" s="108"/>
      <c r="AA224" s="108"/>
      <c r="AB224" s="108"/>
      <c r="AC224" s="108"/>
      <c r="AD224" s="108"/>
      <c r="AE224" s="108"/>
      <c r="AF224" s="108"/>
      <c r="AG224" s="108"/>
      <c r="AH224" s="108"/>
      <c r="AI224" s="108"/>
      <c r="AJ224" s="109"/>
      <c r="AK224" s="49"/>
      <c r="AL224" s="49"/>
      <c r="AM224" s="49"/>
      <c r="AN224" s="107" t="str">
        <f>IF([10]回答表!X47="●",[10]回答表!B362,"")</f>
        <v/>
      </c>
      <c r="AO224" s="182"/>
      <c r="AP224" s="182"/>
      <c r="AQ224" s="182"/>
      <c r="AR224" s="182"/>
      <c r="AS224" s="182"/>
      <c r="AT224" s="182"/>
      <c r="AU224" s="182"/>
      <c r="AV224" s="182"/>
      <c r="AW224" s="182"/>
      <c r="AX224" s="182"/>
      <c r="AY224" s="182"/>
      <c r="AZ224" s="182"/>
      <c r="BA224" s="182"/>
      <c r="BB224" s="183"/>
      <c r="BC224" s="39"/>
      <c r="BD224" s="34"/>
      <c r="BE224" s="34"/>
      <c r="BF224" s="116" t="str">
        <f>IF([10]回答表!X47="●",[10]回答表!B368,IF([10]回答表!AA47="●",[10]回答表!B385,""))</f>
        <v/>
      </c>
      <c r="BG224" s="117"/>
      <c r="BH224" s="117"/>
      <c r="BI224" s="117"/>
      <c r="BJ224" s="116"/>
      <c r="BK224" s="117"/>
      <c r="BL224" s="117"/>
      <c r="BM224" s="117"/>
      <c r="BN224" s="116"/>
      <c r="BO224" s="117"/>
      <c r="BP224" s="117"/>
      <c r="BQ224" s="118"/>
      <c r="BR224" s="37"/>
      <c r="BS224" s="24"/>
    </row>
    <row r="225" spans="1:71" ht="15.6" customHeight="1" x14ac:dyDescent="0.4">
      <c r="A225" s="24"/>
      <c r="B225" s="24"/>
      <c r="C225" s="32"/>
      <c r="D225" s="92"/>
      <c r="E225" s="93"/>
      <c r="F225" s="93"/>
      <c r="G225" s="93"/>
      <c r="H225" s="93"/>
      <c r="I225" s="93"/>
      <c r="J225" s="93"/>
      <c r="K225" s="93"/>
      <c r="L225" s="93"/>
      <c r="M225" s="94"/>
      <c r="N225" s="101"/>
      <c r="O225" s="102"/>
      <c r="P225" s="102"/>
      <c r="Q225" s="103"/>
      <c r="R225" s="38"/>
      <c r="S225" s="38"/>
      <c r="T225" s="38"/>
      <c r="U225" s="110"/>
      <c r="V225" s="111"/>
      <c r="W225" s="111"/>
      <c r="X225" s="111"/>
      <c r="Y225" s="111"/>
      <c r="Z225" s="111"/>
      <c r="AA225" s="111"/>
      <c r="AB225" s="111"/>
      <c r="AC225" s="111"/>
      <c r="AD225" s="111"/>
      <c r="AE225" s="111"/>
      <c r="AF225" s="111"/>
      <c r="AG225" s="111"/>
      <c r="AH225" s="111"/>
      <c r="AI225" s="111"/>
      <c r="AJ225" s="112"/>
      <c r="AK225" s="49"/>
      <c r="AL225" s="49"/>
      <c r="AM225" s="49"/>
      <c r="AN225" s="184"/>
      <c r="AO225" s="185"/>
      <c r="AP225" s="185"/>
      <c r="AQ225" s="185"/>
      <c r="AR225" s="185"/>
      <c r="AS225" s="185"/>
      <c r="AT225" s="185"/>
      <c r="AU225" s="185"/>
      <c r="AV225" s="185"/>
      <c r="AW225" s="185"/>
      <c r="AX225" s="185"/>
      <c r="AY225" s="185"/>
      <c r="AZ225" s="185"/>
      <c r="BA225" s="185"/>
      <c r="BB225" s="186"/>
      <c r="BC225" s="39"/>
      <c r="BD225" s="34"/>
      <c r="BE225" s="34"/>
      <c r="BF225" s="83"/>
      <c r="BG225" s="84"/>
      <c r="BH225" s="84"/>
      <c r="BI225" s="84"/>
      <c r="BJ225" s="83"/>
      <c r="BK225" s="84"/>
      <c r="BL225" s="84"/>
      <c r="BM225" s="84"/>
      <c r="BN225" s="83"/>
      <c r="BO225" s="84"/>
      <c r="BP225" s="84"/>
      <c r="BQ225" s="87"/>
      <c r="BR225" s="37"/>
      <c r="BS225" s="24"/>
    </row>
    <row r="226" spans="1:71" ht="15.6" customHeight="1" x14ac:dyDescent="0.4">
      <c r="A226" s="24"/>
      <c r="B226" s="24"/>
      <c r="C226" s="32"/>
      <c r="D226" s="92"/>
      <c r="E226" s="93"/>
      <c r="F226" s="93"/>
      <c r="G226" s="93"/>
      <c r="H226" s="93"/>
      <c r="I226" s="93"/>
      <c r="J226" s="93"/>
      <c r="K226" s="93"/>
      <c r="L226" s="93"/>
      <c r="M226" s="94"/>
      <c r="N226" s="101"/>
      <c r="O226" s="102"/>
      <c r="P226" s="102"/>
      <c r="Q226" s="103"/>
      <c r="R226" s="38"/>
      <c r="S226" s="38"/>
      <c r="T226" s="38"/>
      <c r="U226" s="110"/>
      <c r="V226" s="111"/>
      <c r="W226" s="111"/>
      <c r="X226" s="111"/>
      <c r="Y226" s="111"/>
      <c r="Z226" s="111"/>
      <c r="AA226" s="111"/>
      <c r="AB226" s="111"/>
      <c r="AC226" s="111"/>
      <c r="AD226" s="111"/>
      <c r="AE226" s="111"/>
      <c r="AF226" s="111"/>
      <c r="AG226" s="111"/>
      <c r="AH226" s="111"/>
      <c r="AI226" s="111"/>
      <c r="AJ226" s="112"/>
      <c r="AK226" s="49"/>
      <c r="AL226" s="49"/>
      <c r="AM226" s="49"/>
      <c r="AN226" s="184"/>
      <c r="AO226" s="185"/>
      <c r="AP226" s="185"/>
      <c r="AQ226" s="185"/>
      <c r="AR226" s="185"/>
      <c r="AS226" s="185"/>
      <c r="AT226" s="185"/>
      <c r="AU226" s="185"/>
      <c r="AV226" s="185"/>
      <c r="AW226" s="185"/>
      <c r="AX226" s="185"/>
      <c r="AY226" s="185"/>
      <c r="AZ226" s="185"/>
      <c r="BA226" s="185"/>
      <c r="BB226" s="186"/>
      <c r="BC226" s="39"/>
      <c r="BD226" s="34"/>
      <c r="BE226" s="34"/>
      <c r="BF226" s="83"/>
      <c r="BG226" s="84"/>
      <c r="BH226" s="84"/>
      <c r="BI226" s="84"/>
      <c r="BJ226" s="83"/>
      <c r="BK226" s="84"/>
      <c r="BL226" s="84"/>
      <c r="BM226" s="84"/>
      <c r="BN226" s="83"/>
      <c r="BO226" s="84"/>
      <c r="BP226" s="84"/>
      <c r="BQ226" s="87"/>
      <c r="BR226" s="37"/>
      <c r="BS226" s="24"/>
    </row>
    <row r="227" spans="1:71" ht="15.6" customHeight="1" x14ac:dyDescent="0.4">
      <c r="A227" s="24"/>
      <c r="B227" s="24"/>
      <c r="C227" s="32"/>
      <c r="D227" s="95"/>
      <c r="E227" s="96"/>
      <c r="F227" s="96"/>
      <c r="G227" s="96"/>
      <c r="H227" s="96"/>
      <c r="I227" s="96"/>
      <c r="J227" s="96"/>
      <c r="K227" s="96"/>
      <c r="L227" s="96"/>
      <c r="M227" s="97"/>
      <c r="N227" s="104"/>
      <c r="O227" s="105"/>
      <c r="P227" s="105"/>
      <c r="Q227" s="106"/>
      <c r="R227" s="38"/>
      <c r="S227" s="38"/>
      <c r="T227" s="38"/>
      <c r="U227" s="110"/>
      <c r="V227" s="111"/>
      <c r="W227" s="111"/>
      <c r="X227" s="111"/>
      <c r="Y227" s="111"/>
      <c r="Z227" s="111"/>
      <c r="AA227" s="111"/>
      <c r="AB227" s="111"/>
      <c r="AC227" s="111"/>
      <c r="AD227" s="111"/>
      <c r="AE227" s="111"/>
      <c r="AF227" s="111"/>
      <c r="AG227" s="111"/>
      <c r="AH227" s="111"/>
      <c r="AI227" s="111"/>
      <c r="AJ227" s="112"/>
      <c r="AK227" s="49"/>
      <c r="AL227" s="49"/>
      <c r="AM227" s="49"/>
      <c r="AN227" s="184"/>
      <c r="AO227" s="185"/>
      <c r="AP227" s="185"/>
      <c r="AQ227" s="185"/>
      <c r="AR227" s="185"/>
      <c r="AS227" s="185"/>
      <c r="AT227" s="185"/>
      <c r="AU227" s="185"/>
      <c r="AV227" s="185"/>
      <c r="AW227" s="185"/>
      <c r="AX227" s="185"/>
      <c r="AY227" s="185"/>
      <c r="AZ227" s="185"/>
      <c r="BA227" s="185"/>
      <c r="BB227" s="186"/>
      <c r="BC227" s="39"/>
      <c r="BD227" s="34"/>
      <c r="BE227" s="34"/>
      <c r="BF227" s="83" t="str">
        <f>IF([10]回答表!X47="●",[10]回答表!E368,IF([10]回答表!AA47="●",[10]回答表!E385,""))</f>
        <v/>
      </c>
      <c r="BG227" s="84"/>
      <c r="BH227" s="84"/>
      <c r="BI227" s="84"/>
      <c r="BJ227" s="83" t="str">
        <f>IF([10]回答表!X47="●",[10]回答表!E369,IF([10]回答表!AA47="●",[10]回答表!E386,""))</f>
        <v/>
      </c>
      <c r="BK227" s="84"/>
      <c r="BL227" s="84"/>
      <c r="BM227" s="87"/>
      <c r="BN227" s="83" t="str">
        <f>IF([10]回答表!X47="●",[10]回答表!E370,IF([10]回答表!AA47="●",[10]回答表!E387,""))</f>
        <v/>
      </c>
      <c r="BO227" s="84"/>
      <c r="BP227" s="84"/>
      <c r="BQ227" s="87"/>
      <c r="BR227" s="37"/>
      <c r="BS227" s="24"/>
    </row>
    <row r="228" spans="1:71" ht="15.6" customHeight="1" x14ac:dyDescent="0.4">
      <c r="A228" s="24"/>
      <c r="B228" s="24"/>
      <c r="C228" s="32"/>
      <c r="D228" s="50"/>
      <c r="E228" s="50"/>
      <c r="F228" s="50"/>
      <c r="G228" s="50"/>
      <c r="H228" s="50"/>
      <c r="I228" s="50"/>
      <c r="J228" s="50"/>
      <c r="K228" s="50"/>
      <c r="L228" s="50"/>
      <c r="M228" s="50"/>
      <c r="N228" s="52"/>
      <c r="O228" s="52"/>
      <c r="P228" s="52"/>
      <c r="Q228" s="52"/>
      <c r="R228" s="52"/>
      <c r="S228" s="52"/>
      <c r="T228" s="52"/>
      <c r="U228" s="110"/>
      <c r="V228" s="111"/>
      <c r="W228" s="111"/>
      <c r="X228" s="111"/>
      <c r="Y228" s="111"/>
      <c r="Z228" s="111"/>
      <c r="AA228" s="111"/>
      <c r="AB228" s="111"/>
      <c r="AC228" s="111"/>
      <c r="AD228" s="111"/>
      <c r="AE228" s="111"/>
      <c r="AF228" s="111"/>
      <c r="AG228" s="111"/>
      <c r="AH228" s="111"/>
      <c r="AI228" s="111"/>
      <c r="AJ228" s="112"/>
      <c r="AK228" s="49"/>
      <c r="AL228" s="49"/>
      <c r="AM228" s="49"/>
      <c r="AN228" s="184"/>
      <c r="AO228" s="185"/>
      <c r="AP228" s="185"/>
      <c r="AQ228" s="185"/>
      <c r="AR228" s="185"/>
      <c r="AS228" s="185"/>
      <c r="AT228" s="185"/>
      <c r="AU228" s="185"/>
      <c r="AV228" s="185"/>
      <c r="AW228" s="185"/>
      <c r="AX228" s="185"/>
      <c r="AY228" s="185"/>
      <c r="AZ228" s="185"/>
      <c r="BA228" s="185"/>
      <c r="BB228" s="186"/>
      <c r="BC228" s="39"/>
      <c r="BD228" s="39"/>
      <c r="BE228" s="39"/>
      <c r="BF228" s="83"/>
      <c r="BG228" s="84"/>
      <c r="BH228" s="84"/>
      <c r="BI228" s="84"/>
      <c r="BJ228" s="83"/>
      <c r="BK228" s="84"/>
      <c r="BL228" s="84"/>
      <c r="BM228" s="87"/>
      <c r="BN228" s="83"/>
      <c r="BO228" s="84"/>
      <c r="BP228" s="84"/>
      <c r="BQ228" s="87"/>
      <c r="BR228" s="37"/>
      <c r="BS228" s="24"/>
    </row>
    <row r="229" spans="1:71" ht="15.6" customHeight="1" x14ac:dyDescent="0.4">
      <c r="A229" s="24"/>
      <c r="B229" s="24"/>
      <c r="C229" s="32"/>
      <c r="D229" s="50"/>
      <c r="E229" s="50"/>
      <c r="F229" s="50"/>
      <c r="G229" s="50"/>
      <c r="H229" s="50"/>
      <c r="I229" s="50"/>
      <c r="J229" s="50"/>
      <c r="K229" s="50"/>
      <c r="L229" s="50"/>
      <c r="M229" s="50"/>
      <c r="N229" s="52"/>
      <c r="O229" s="52"/>
      <c r="P229" s="52"/>
      <c r="Q229" s="52"/>
      <c r="R229" s="52"/>
      <c r="S229" s="52"/>
      <c r="T229" s="52"/>
      <c r="U229" s="110"/>
      <c r="V229" s="111"/>
      <c r="W229" s="111"/>
      <c r="X229" s="111"/>
      <c r="Y229" s="111"/>
      <c r="Z229" s="111"/>
      <c r="AA229" s="111"/>
      <c r="AB229" s="111"/>
      <c r="AC229" s="111"/>
      <c r="AD229" s="111"/>
      <c r="AE229" s="111"/>
      <c r="AF229" s="111"/>
      <c r="AG229" s="111"/>
      <c r="AH229" s="111"/>
      <c r="AI229" s="111"/>
      <c r="AJ229" s="112"/>
      <c r="AK229" s="49"/>
      <c r="AL229" s="49"/>
      <c r="AM229" s="49"/>
      <c r="AN229" s="184"/>
      <c r="AO229" s="185"/>
      <c r="AP229" s="185"/>
      <c r="AQ229" s="185"/>
      <c r="AR229" s="185"/>
      <c r="AS229" s="185"/>
      <c r="AT229" s="185"/>
      <c r="AU229" s="185"/>
      <c r="AV229" s="185"/>
      <c r="AW229" s="185"/>
      <c r="AX229" s="185"/>
      <c r="AY229" s="185"/>
      <c r="AZ229" s="185"/>
      <c r="BA229" s="185"/>
      <c r="BB229" s="186"/>
      <c r="BC229" s="39"/>
      <c r="BD229" s="34"/>
      <c r="BE229" s="34"/>
      <c r="BF229" s="83"/>
      <c r="BG229" s="84"/>
      <c r="BH229" s="84"/>
      <c r="BI229" s="84"/>
      <c r="BJ229" s="83"/>
      <c r="BK229" s="84"/>
      <c r="BL229" s="84"/>
      <c r="BM229" s="87"/>
      <c r="BN229" s="83"/>
      <c r="BO229" s="84"/>
      <c r="BP229" s="84"/>
      <c r="BQ229" s="87"/>
      <c r="BR229" s="37"/>
      <c r="BS229" s="24"/>
    </row>
    <row r="230" spans="1:71" ht="15.6" customHeight="1" x14ac:dyDescent="0.4">
      <c r="A230" s="24"/>
      <c r="B230" s="24"/>
      <c r="C230" s="32"/>
      <c r="D230" s="134" t="s">
        <v>26</v>
      </c>
      <c r="E230" s="135"/>
      <c r="F230" s="135"/>
      <c r="G230" s="135"/>
      <c r="H230" s="135"/>
      <c r="I230" s="135"/>
      <c r="J230" s="135"/>
      <c r="K230" s="135"/>
      <c r="L230" s="135"/>
      <c r="M230" s="136"/>
      <c r="N230" s="98" t="str">
        <f>IF([10]回答表!AA47="●","●","")</f>
        <v/>
      </c>
      <c r="O230" s="99"/>
      <c r="P230" s="99"/>
      <c r="Q230" s="100"/>
      <c r="R230" s="38"/>
      <c r="S230" s="38"/>
      <c r="T230" s="38"/>
      <c r="U230" s="110"/>
      <c r="V230" s="111"/>
      <c r="W230" s="111"/>
      <c r="X230" s="111"/>
      <c r="Y230" s="111"/>
      <c r="Z230" s="111"/>
      <c r="AA230" s="111"/>
      <c r="AB230" s="111"/>
      <c r="AC230" s="111"/>
      <c r="AD230" s="111"/>
      <c r="AE230" s="111"/>
      <c r="AF230" s="111"/>
      <c r="AG230" s="111"/>
      <c r="AH230" s="111"/>
      <c r="AI230" s="111"/>
      <c r="AJ230" s="112"/>
      <c r="AK230" s="49"/>
      <c r="AL230" s="49"/>
      <c r="AM230" s="49"/>
      <c r="AN230" s="184"/>
      <c r="AO230" s="185"/>
      <c r="AP230" s="185"/>
      <c r="AQ230" s="185"/>
      <c r="AR230" s="185"/>
      <c r="AS230" s="185"/>
      <c r="AT230" s="185"/>
      <c r="AU230" s="185"/>
      <c r="AV230" s="185"/>
      <c r="AW230" s="185"/>
      <c r="AX230" s="185"/>
      <c r="AY230" s="185"/>
      <c r="AZ230" s="185"/>
      <c r="BA230" s="185"/>
      <c r="BB230" s="186"/>
      <c r="BC230" s="39"/>
      <c r="BD230" s="53"/>
      <c r="BE230" s="53"/>
      <c r="BF230" s="83"/>
      <c r="BG230" s="84"/>
      <c r="BH230" s="84"/>
      <c r="BI230" s="84"/>
      <c r="BJ230" s="83"/>
      <c r="BK230" s="84"/>
      <c r="BL230" s="84"/>
      <c r="BM230" s="87"/>
      <c r="BN230" s="83"/>
      <c r="BO230" s="84"/>
      <c r="BP230" s="84"/>
      <c r="BQ230" s="87"/>
      <c r="BR230" s="37"/>
      <c r="BS230" s="24"/>
    </row>
    <row r="231" spans="1:71" ht="15.6" customHeight="1" x14ac:dyDescent="0.4">
      <c r="A231" s="24"/>
      <c r="B231" s="24"/>
      <c r="C231" s="32"/>
      <c r="D231" s="137"/>
      <c r="E231" s="138"/>
      <c r="F231" s="138"/>
      <c r="G231" s="138"/>
      <c r="H231" s="138"/>
      <c r="I231" s="138"/>
      <c r="J231" s="138"/>
      <c r="K231" s="138"/>
      <c r="L231" s="138"/>
      <c r="M231" s="139"/>
      <c r="N231" s="101"/>
      <c r="O231" s="102"/>
      <c r="P231" s="102"/>
      <c r="Q231" s="103"/>
      <c r="R231" s="38"/>
      <c r="S231" s="38"/>
      <c r="T231" s="38"/>
      <c r="U231" s="110"/>
      <c r="V231" s="111"/>
      <c r="W231" s="111"/>
      <c r="X231" s="111"/>
      <c r="Y231" s="111"/>
      <c r="Z231" s="111"/>
      <c r="AA231" s="111"/>
      <c r="AB231" s="111"/>
      <c r="AC231" s="111"/>
      <c r="AD231" s="111"/>
      <c r="AE231" s="111"/>
      <c r="AF231" s="111"/>
      <c r="AG231" s="111"/>
      <c r="AH231" s="111"/>
      <c r="AI231" s="111"/>
      <c r="AJ231" s="112"/>
      <c r="AK231" s="49"/>
      <c r="AL231" s="49"/>
      <c r="AM231" s="49"/>
      <c r="AN231" s="184"/>
      <c r="AO231" s="185"/>
      <c r="AP231" s="185"/>
      <c r="AQ231" s="185"/>
      <c r="AR231" s="185"/>
      <c r="AS231" s="185"/>
      <c r="AT231" s="185"/>
      <c r="AU231" s="185"/>
      <c r="AV231" s="185"/>
      <c r="AW231" s="185"/>
      <c r="AX231" s="185"/>
      <c r="AY231" s="185"/>
      <c r="AZ231" s="185"/>
      <c r="BA231" s="185"/>
      <c r="BB231" s="186"/>
      <c r="BC231" s="39"/>
      <c r="BD231" s="53"/>
      <c r="BE231" s="53"/>
      <c r="BF231" s="83" t="s">
        <v>23</v>
      </c>
      <c r="BG231" s="84"/>
      <c r="BH231" s="84"/>
      <c r="BI231" s="84"/>
      <c r="BJ231" s="83" t="s">
        <v>24</v>
      </c>
      <c r="BK231" s="84"/>
      <c r="BL231" s="84"/>
      <c r="BM231" s="84"/>
      <c r="BN231" s="83" t="s">
        <v>25</v>
      </c>
      <c r="BO231" s="84"/>
      <c r="BP231" s="84"/>
      <c r="BQ231" s="87"/>
      <c r="BR231" s="37"/>
      <c r="BS231" s="24"/>
    </row>
    <row r="232" spans="1:71" ht="15.6" customHeight="1" x14ac:dyDescent="0.4">
      <c r="A232" s="24"/>
      <c r="B232" s="24"/>
      <c r="C232" s="32"/>
      <c r="D232" s="137"/>
      <c r="E232" s="138"/>
      <c r="F232" s="138"/>
      <c r="G232" s="138"/>
      <c r="H232" s="138"/>
      <c r="I232" s="138"/>
      <c r="J232" s="138"/>
      <c r="K232" s="138"/>
      <c r="L232" s="138"/>
      <c r="M232" s="139"/>
      <c r="N232" s="101"/>
      <c r="O232" s="102"/>
      <c r="P232" s="102"/>
      <c r="Q232" s="103"/>
      <c r="R232" s="38"/>
      <c r="S232" s="38"/>
      <c r="T232" s="38"/>
      <c r="U232" s="110"/>
      <c r="V232" s="111"/>
      <c r="W232" s="111"/>
      <c r="X232" s="111"/>
      <c r="Y232" s="111"/>
      <c r="Z232" s="111"/>
      <c r="AA232" s="111"/>
      <c r="AB232" s="111"/>
      <c r="AC232" s="111"/>
      <c r="AD232" s="111"/>
      <c r="AE232" s="111"/>
      <c r="AF232" s="111"/>
      <c r="AG232" s="111"/>
      <c r="AH232" s="111"/>
      <c r="AI232" s="111"/>
      <c r="AJ232" s="112"/>
      <c r="AK232" s="49"/>
      <c r="AL232" s="49"/>
      <c r="AM232" s="49"/>
      <c r="AN232" s="184"/>
      <c r="AO232" s="185"/>
      <c r="AP232" s="185"/>
      <c r="AQ232" s="185"/>
      <c r="AR232" s="185"/>
      <c r="AS232" s="185"/>
      <c r="AT232" s="185"/>
      <c r="AU232" s="185"/>
      <c r="AV232" s="185"/>
      <c r="AW232" s="185"/>
      <c r="AX232" s="185"/>
      <c r="AY232" s="185"/>
      <c r="AZ232" s="185"/>
      <c r="BA232" s="185"/>
      <c r="BB232" s="186"/>
      <c r="BC232" s="39"/>
      <c r="BD232" s="53"/>
      <c r="BE232" s="53"/>
      <c r="BF232" s="83"/>
      <c r="BG232" s="84"/>
      <c r="BH232" s="84"/>
      <c r="BI232" s="84"/>
      <c r="BJ232" s="83"/>
      <c r="BK232" s="84"/>
      <c r="BL232" s="84"/>
      <c r="BM232" s="84"/>
      <c r="BN232" s="83"/>
      <c r="BO232" s="84"/>
      <c r="BP232" s="84"/>
      <c r="BQ232" s="87"/>
      <c r="BR232" s="37"/>
      <c r="BS232" s="24"/>
    </row>
    <row r="233" spans="1:71" ht="15.6" customHeight="1" x14ac:dyDescent="0.4">
      <c r="A233" s="24"/>
      <c r="B233" s="24"/>
      <c r="C233" s="32"/>
      <c r="D233" s="140"/>
      <c r="E233" s="141"/>
      <c r="F233" s="141"/>
      <c r="G233" s="141"/>
      <c r="H233" s="141"/>
      <c r="I233" s="141"/>
      <c r="J233" s="141"/>
      <c r="K233" s="141"/>
      <c r="L233" s="141"/>
      <c r="M233" s="142"/>
      <c r="N233" s="104"/>
      <c r="O233" s="105"/>
      <c r="P233" s="105"/>
      <c r="Q233" s="106"/>
      <c r="R233" s="38"/>
      <c r="S233" s="38"/>
      <c r="T233" s="38"/>
      <c r="U233" s="113"/>
      <c r="V233" s="114"/>
      <c r="W233" s="114"/>
      <c r="X233" s="114"/>
      <c r="Y233" s="114"/>
      <c r="Z233" s="114"/>
      <c r="AA233" s="114"/>
      <c r="AB233" s="114"/>
      <c r="AC233" s="114"/>
      <c r="AD233" s="114"/>
      <c r="AE233" s="114"/>
      <c r="AF233" s="114"/>
      <c r="AG233" s="114"/>
      <c r="AH233" s="114"/>
      <c r="AI233" s="114"/>
      <c r="AJ233" s="115"/>
      <c r="AK233" s="49"/>
      <c r="AL233" s="49"/>
      <c r="AM233" s="49"/>
      <c r="AN233" s="187"/>
      <c r="AO233" s="188"/>
      <c r="AP233" s="188"/>
      <c r="AQ233" s="188"/>
      <c r="AR233" s="188"/>
      <c r="AS233" s="188"/>
      <c r="AT233" s="188"/>
      <c r="AU233" s="188"/>
      <c r="AV233" s="188"/>
      <c r="AW233" s="188"/>
      <c r="AX233" s="188"/>
      <c r="AY233" s="188"/>
      <c r="AZ233" s="188"/>
      <c r="BA233" s="188"/>
      <c r="BB233" s="189"/>
      <c r="BC233" s="39"/>
      <c r="BD233" s="53"/>
      <c r="BE233" s="53"/>
      <c r="BF233" s="85"/>
      <c r="BG233" s="86"/>
      <c r="BH233" s="86"/>
      <c r="BI233" s="86"/>
      <c r="BJ233" s="85"/>
      <c r="BK233" s="86"/>
      <c r="BL233" s="86"/>
      <c r="BM233" s="86"/>
      <c r="BN233" s="85"/>
      <c r="BO233" s="86"/>
      <c r="BP233" s="86"/>
      <c r="BQ233" s="88"/>
      <c r="BR233" s="37"/>
      <c r="BS233" s="24"/>
    </row>
    <row r="234" spans="1:71" ht="15.6" customHeight="1" x14ac:dyDescent="0.5">
      <c r="A234" s="24"/>
      <c r="B234" s="24"/>
      <c r="C234" s="32"/>
      <c r="D234" s="50"/>
      <c r="E234" s="50"/>
      <c r="F234" s="50"/>
      <c r="G234" s="50"/>
      <c r="H234" s="50"/>
      <c r="I234" s="50"/>
      <c r="J234" s="50"/>
      <c r="K234" s="50"/>
      <c r="L234" s="50"/>
      <c r="M234" s="50"/>
      <c r="N234" s="38"/>
      <c r="O234" s="38"/>
      <c r="P234" s="38"/>
      <c r="Q234" s="38"/>
      <c r="R234" s="38"/>
      <c r="S234" s="38"/>
      <c r="T234" s="38"/>
      <c r="U234" s="38"/>
      <c r="V234" s="38"/>
      <c r="W234" s="38"/>
      <c r="X234" s="18"/>
      <c r="Y234" s="18"/>
      <c r="Z234" s="18"/>
      <c r="AA234" s="35"/>
      <c r="AB234" s="35"/>
      <c r="AC234" s="35"/>
      <c r="AD234" s="35"/>
      <c r="AE234" s="35"/>
      <c r="AF234" s="35"/>
      <c r="AG234" s="35"/>
      <c r="AH234" s="35"/>
      <c r="AI234" s="35"/>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37"/>
      <c r="BS234" s="24"/>
    </row>
    <row r="235" spans="1:71" ht="19.350000000000001" customHeight="1" x14ac:dyDescent="0.5">
      <c r="C235" s="32"/>
      <c r="D235" s="50"/>
      <c r="E235" s="50"/>
      <c r="F235" s="50"/>
      <c r="G235" s="50"/>
      <c r="H235" s="50"/>
      <c r="I235" s="50"/>
      <c r="J235" s="50"/>
      <c r="K235" s="50"/>
      <c r="L235" s="50"/>
      <c r="M235" s="50"/>
      <c r="N235" s="38"/>
      <c r="O235" s="38"/>
      <c r="P235" s="38"/>
      <c r="Q235" s="38"/>
      <c r="R235" s="38"/>
      <c r="S235" s="38"/>
      <c r="T235" s="38"/>
      <c r="U235" s="42" t="s">
        <v>31</v>
      </c>
      <c r="V235" s="38"/>
      <c r="W235" s="38"/>
      <c r="X235" s="38"/>
      <c r="Y235" s="38"/>
      <c r="Z235" s="38"/>
      <c r="AA235" s="35"/>
      <c r="AB235" s="43"/>
      <c r="AC235" s="35"/>
      <c r="AD235" s="35"/>
      <c r="AE235" s="35"/>
      <c r="AF235" s="35"/>
      <c r="AG235" s="35"/>
      <c r="AH235" s="35"/>
      <c r="AI235" s="35"/>
      <c r="AJ235" s="35"/>
      <c r="AK235" s="35"/>
      <c r="AL235" s="35"/>
      <c r="AM235" s="42" t="s">
        <v>32</v>
      </c>
      <c r="AN235" s="35"/>
      <c r="AO235" s="35"/>
      <c r="AP235" s="35"/>
      <c r="AQ235" s="35"/>
      <c r="AR235" s="35"/>
      <c r="AS235" s="35"/>
      <c r="AT235" s="35"/>
      <c r="AU235" s="35"/>
      <c r="AV235" s="35"/>
      <c r="AW235" s="35"/>
      <c r="AX235" s="34"/>
      <c r="AY235" s="34"/>
      <c r="AZ235" s="34"/>
      <c r="BA235" s="34"/>
      <c r="BB235" s="34"/>
      <c r="BC235" s="34"/>
      <c r="BD235" s="34"/>
      <c r="BE235" s="34"/>
      <c r="BF235" s="34"/>
      <c r="BG235" s="34"/>
      <c r="BH235" s="34"/>
      <c r="BI235" s="34"/>
      <c r="BJ235" s="34"/>
      <c r="BK235" s="34"/>
      <c r="BL235" s="34"/>
      <c r="BM235" s="34"/>
      <c r="BN235" s="34"/>
      <c r="BO235" s="34"/>
      <c r="BP235" s="34"/>
      <c r="BQ235" s="18"/>
      <c r="BR235" s="37"/>
      <c r="BS235" s="24"/>
    </row>
    <row r="236" spans="1:71" ht="15.6" customHeight="1" x14ac:dyDescent="0.4">
      <c r="C236" s="32"/>
      <c r="D236" s="89" t="s">
        <v>33</v>
      </c>
      <c r="E236" s="90"/>
      <c r="F236" s="90"/>
      <c r="G236" s="90"/>
      <c r="H236" s="90"/>
      <c r="I236" s="90"/>
      <c r="J236" s="90"/>
      <c r="K236" s="90"/>
      <c r="L236" s="90"/>
      <c r="M236" s="91"/>
      <c r="N236" s="98" t="str">
        <f>IF([10]回答表!AD47="●","●","")</f>
        <v/>
      </c>
      <c r="O236" s="99"/>
      <c r="P236" s="99"/>
      <c r="Q236" s="100"/>
      <c r="R236" s="38"/>
      <c r="S236" s="38"/>
      <c r="T236" s="38"/>
      <c r="U236" s="107" t="str">
        <f>IF([10]回答表!AD47="●",[10]回答表!B392,"")</f>
        <v/>
      </c>
      <c r="V236" s="108"/>
      <c r="W236" s="108"/>
      <c r="X236" s="108"/>
      <c r="Y236" s="108"/>
      <c r="Z236" s="108"/>
      <c r="AA236" s="108"/>
      <c r="AB236" s="108"/>
      <c r="AC236" s="108"/>
      <c r="AD236" s="108"/>
      <c r="AE236" s="108"/>
      <c r="AF236" s="108"/>
      <c r="AG236" s="108"/>
      <c r="AH236" s="108"/>
      <c r="AI236" s="108"/>
      <c r="AJ236" s="109"/>
      <c r="AK236" s="62"/>
      <c r="AL236" s="62"/>
      <c r="AM236" s="107" t="str">
        <f>IF([10]回答表!AD47="●",[10]回答表!B398,"")</f>
        <v/>
      </c>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9"/>
      <c r="BR236" s="37"/>
      <c r="BS236" s="24"/>
    </row>
    <row r="237" spans="1:71" ht="15.6" customHeight="1" x14ac:dyDescent="0.4">
      <c r="C237" s="32"/>
      <c r="D237" s="92"/>
      <c r="E237" s="93"/>
      <c r="F237" s="93"/>
      <c r="G237" s="93"/>
      <c r="H237" s="93"/>
      <c r="I237" s="93"/>
      <c r="J237" s="93"/>
      <c r="K237" s="93"/>
      <c r="L237" s="93"/>
      <c r="M237" s="94"/>
      <c r="N237" s="101"/>
      <c r="O237" s="102"/>
      <c r="P237" s="102"/>
      <c r="Q237" s="103"/>
      <c r="R237" s="38"/>
      <c r="S237" s="38"/>
      <c r="T237" s="38"/>
      <c r="U237" s="110"/>
      <c r="V237" s="111"/>
      <c r="W237" s="111"/>
      <c r="X237" s="111"/>
      <c r="Y237" s="111"/>
      <c r="Z237" s="111"/>
      <c r="AA237" s="111"/>
      <c r="AB237" s="111"/>
      <c r="AC237" s="111"/>
      <c r="AD237" s="111"/>
      <c r="AE237" s="111"/>
      <c r="AF237" s="111"/>
      <c r="AG237" s="111"/>
      <c r="AH237" s="111"/>
      <c r="AI237" s="111"/>
      <c r="AJ237" s="112"/>
      <c r="AK237" s="62"/>
      <c r="AL237" s="62"/>
      <c r="AM237" s="110"/>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2"/>
      <c r="BR237" s="37"/>
      <c r="BS237" s="24"/>
    </row>
    <row r="238" spans="1:71" ht="15.6" customHeight="1" x14ac:dyDescent="0.4">
      <c r="C238" s="32"/>
      <c r="D238" s="92"/>
      <c r="E238" s="93"/>
      <c r="F238" s="93"/>
      <c r="G238" s="93"/>
      <c r="H238" s="93"/>
      <c r="I238" s="93"/>
      <c r="J238" s="93"/>
      <c r="K238" s="93"/>
      <c r="L238" s="93"/>
      <c r="M238" s="94"/>
      <c r="N238" s="101"/>
      <c r="O238" s="102"/>
      <c r="P238" s="102"/>
      <c r="Q238" s="103"/>
      <c r="R238" s="38"/>
      <c r="S238" s="38"/>
      <c r="T238" s="38"/>
      <c r="U238" s="110"/>
      <c r="V238" s="111"/>
      <c r="W238" s="111"/>
      <c r="X238" s="111"/>
      <c r="Y238" s="111"/>
      <c r="Z238" s="111"/>
      <c r="AA238" s="111"/>
      <c r="AB238" s="111"/>
      <c r="AC238" s="111"/>
      <c r="AD238" s="111"/>
      <c r="AE238" s="111"/>
      <c r="AF238" s="111"/>
      <c r="AG238" s="111"/>
      <c r="AH238" s="111"/>
      <c r="AI238" s="111"/>
      <c r="AJ238" s="112"/>
      <c r="AK238" s="62"/>
      <c r="AL238" s="62"/>
      <c r="AM238" s="110"/>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2"/>
      <c r="BR238" s="37"/>
      <c r="BS238" s="24"/>
    </row>
    <row r="239" spans="1:71" ht="15.6" customHeight="1" x14ac:dyDescent="0.4">
      <c r="C239" s="32"/>
      <c r="D239" s="95"/>
      <c r="E239" s="96"/>
      <c r="F239" s="96"/>
      <c r="G239" s="96"/>
      <c r="H239" s="96"/>
      <c r="I239" s="96"/>
      <c r="J239" s="96"/>
      <c r="K239" s="96"/>
      <c r="L239" s="96"/>
      <c r="M239" s="97"/>
      <c r="N239" s="104"/>
      <c r="O239" s="105"/>
      <c r="P239" s="105"/>
      <c r="Q239" s="106"/>
      <c r="R239" s="38"/>
      <c r="S239" s="38"/>
      <c r="T239" s="38"/>
      <c r="U239" s="113"/>
      <c r="V239" s="114"/>
      <c r="W239" s="114"/>
      <c r="X239" s="114"/>
      <c r="Y239" s="114"/>
      <c r="Z239" s="114"/>
      <c r="AA239" s="114"/>
      <c r="AB239" s="114"/>
      <c r="AC239" s="114"/>
      <c r="AD239" s="114"/>
      <c r="AE239" s="114"/>
      <c r="AF239" s="114"/>
      <c r="AG239" s="114"/>
      <c r="AH239" s="114"/>
      <c r="AI239" s="114"/>
      <c r="AJ239" s="115"/>
      <c r="AK239" s="62"/>
      <c r="AL239" s="62"/>
      <c r="AM239" s="113"/>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5"/>
      <c r="BR239" s="37"/>
      <c r="BS239" s="24"/>
    </row>
    <row r="240" spans="1:71" ht="15.6" customHeight="1" x14ac:dyDescent="0.4">
      <c r="C240" s="56"/>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8"/>
      <c r="BS240" s="24"/>
    </row>
    <row r="241" spans="1:71" ht="15.6" customHeight="1" x14ac:dyDescent="0.4">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row>
    <row r="242" spans="1:71" ht="15.6" customHeight="1" x14ac:dyDescent="0.4">
      <c r="C242" s="26"/>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171"/>
      <c r="AS242" s="171"/>
      <c r="AT242" s="171"/>
      <c r="AU242" s="171"/>
      <c r="AV242" s="171"/>
      <c r="AW242" s="171"/>
      <c r="AX242" s="171"/>
      <c r="AY242" s="171"/>
      <c r="AZ242" s="171"/>
      <c r="BA242" s="171"/>
      <c r="BB242" s="171"/>
      <c r="BC242" s="28"/>
      <c r="BD242" s="29"/>
      <c r="BE242" s="29"/>
      <c r="BF242" s="29"/>
      <c r="BG242" s="29"/>
      <c r="BH242" s="29"/>
      <c r="BI242" s="29"/>
      <c r="BJ242" s="29"/>
      <c r="BK242" s="29"/>
      <c r="BL242" s="29"/>
      <c r="BM242" s="29"/>
      <c r="BN242" s="29"/>
      <c r="BO242" s="29"/>
      <c r="BP242" s="29"/>
      <c r="BQ242" s="29"/>
      <c r="BR242" s="30"/>
    </row>
    <row r="243" spans="1:71" ht="15.6" customHeight="1" x14ac:dyDescent="0.5">
      <c r="C243" s="32"/>
      <c r="D243" s="38"/>
      <c r="E243" s="38"/>
      <c r="F243" s="38"/>
      <c r="G243" s="38"/>
      <c r="H243" s="38"/>
      <c r="I243" s="38"/>
      <c r="J243" s="38"/>
      <c r="K243" s="38"/>
      <c r="L243" s="38"/>
      <c r="M243" s="38"/>
      <c r="N243" s="38"/>
      <c r="O243" s="38"/>
      <c r="P243" s="38"/>
      <c r="Q243" s="38"/>
      <c r="R243" s="38"/>
      <c r="S243" s="38"/>
      <c r="T243" s="38"/>
      <c r="U243" s="38"/>
      <c r="V243" s="38"/>
      <c r="W243" s="38"/>
      <c r="X243" s="18"/>
      <c r="Y243" s="18"/>
      <c r="Z243" s="18"/>
      <c r="AA243" s="34"/>
      <c r="AB243" s="39"/>
      <c r="AC243" s="39"/>
      <c r="AD243" s="39"/>
      <c r="AE243" s="39"/>
      <c r="AF243" s="39"/>
      <c r="AG243" s="39"/>
      <c r="AH243" s="39"/>
      <c r="AI243" s="39"/>
      <c r="AJ243" s="39"/>
      <c r="AK243" s="39"/>
      <c r="AL243" s="39"/>
      <c r="AM243" s="39"/>
      <c r="AN243" s="36"/>
      <c r="AO243" s="39"/>
      <c r="AP243" s="40"/>
      <c r="AQ243" s="40"/>
      <c r="AR243" s="172"/>
      <c r="AS243" s="172"/>
      <c r="AT243" s="172"/>
      <c r="AU243" s="172"/>
      <c r="AV243" s="172"/>
      <c r="AW243" s="172"/>
      <c r="AX243" s="172"/>
      <c r="AY243" s="172"/>
      <c r="AZ243" s="172"/>
      <c r="BA243" s="172"/>
      <c r="BB243" s="172"/>
      <c r="BC243" s="33"/>
      <c r="BD243" s="34"/>
      <c r="BE243" s="34"/>
      <c r="BF243" s="34"/>
      <c r="BG243" s="34"/>
      <c r="BH243" s="34"/>
      <c r="BI243" s="34"/>
      <c r="BJ243" s="34"/>
      <c r="BK243" s="34"/>
      <c r="BL243" s="34"/>
      <c r="BM243" s="34"/>
      <c r="BN243" s="35"/>
      <c r="BO243" s="35"/>
      <c r="BP243" s="35"/>
      <c r="BQ243" s="36"/>
      <c r="BR243" s="37"/>
    </row>
    <row r="244" spans="1:71" ht="15.6" customHeight="1" x14ac:dyDescent="0.5">
      <c r="C244" s="32"/>
      <c r="D244" s="144" t="s">
        <v>14</v>
      </c>
      <c r="E244" s="145"/>
      <c r="F244" s="145"/>
      <c r="G244" s="145"/>
      <c r="H244" s="145"/>
      <c r="I244" s="145"/>
      <c r="J244" s="145"/>
      <c r="K244" s="145"/>
      <c r="L244" s="145"/>
      <c r="M244" s="145"/>
      <c r="N244" s="145"/>
      <c r="O244" s="145"/>
      <c r="P244" s="145"/>
      <c r="Q244" s="146"/>
      <c r="R244" s="89" t="s">
        <v>70</v>
      </c>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1"/>
      <c r="BC244" s="33"/>
      <c r="BD244" s="34"/>
      <c r="BE244" s="34"/>
      <c r="BF244" s="34"/>
      <c r="BG244" s="34"/>
      <c r="BH244" s="34"/>
      <c r="BI244" s="34"/>
      <c r="BJ244" s="34"/>
      <c r="BK244" s="34"/>
      <c r="BL244" s="34"/>
      <c r="BM244" s="34"/>
      <c r="BN244" s="35"/>
      <c r="BO244" s="35"/>
      <c r="BP244" s="35"/>
      <c r="BQ244" s="36"/>
      <c r="BR244" s="37"/>
    </row>
    <row r="245" spans="1:71" ht="15.6" customHeight="1" x14ac:dyDescent="0.5">
      <c r="A245" s="24"/>
      <c r="B245" s="24"/>
      <c r="C245" s="32"/>
      <c r="D245" s="147"/>
      <c r="E245" s="148"/>
      <c r="F245" s="148"/>
      <c r="G245" s="148"/>
      <c r="H245" s="148"/>
      <c r="I245" s="148"/>
      <c r="J245" s="148"/>
      <c r="K245" s="148"/>
      <c r="L245" s="148"/>
      <c r="M245" s="148"/>
      <c r="N245" s="148"/>
      <c r="O245" s="148"/>
      <c r="P245" s="148"/>
      <c r="Q245" s="149"/>
      <c r="R245" s="95"/>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7"/>
      <c r="BC245" s="33"/>
      <c r="BD245" s="34"/>
      <c r="BE245" s="34"/>
      <c r="BF245" s="34"/>
      <c r="BG245" s="34"/>
      <c r="BH245" s="34"/>
      <c r="BI245" s="34"/>
      <c r="BJ245" s="34"/>
      <c r="BK245" s="34"/>
      <c r="BL245" s="34"/>
      <c r="BM245" s="34"/>
      <c r="BN245" s="35"/>
      <c r="BO245" s="35"/>
      <c r="BP245" s="35"/>
      <c r="BQ245" s="36"/>
      <c r="BR245" s="37"/>
      <c r="BS245" s="24"/>
    </row>
    <row r="246" spans="1:71" ht="15.6" customHeight="1" x14ac:dyDescent="0.5">
      <c r="A246" s="24"/>
      <c r="B246" s="24"/>
      <c r="C246" s="32"/>
      <c r="D246" s="38"/>
      <c r="E246" s="38"/>
      <c r="F246" s="38"/>
      <c r="G246" s="38"/>
      <c r="H246" s="38"/>
      <c r="I246" s="38"/>
      <c r="J246" s="38"/>
      <c r="K246" s="38"/>
      <c r="L246" s="38"/>
      <c r="M246" s="38"/>
      <c r="N246" s="38"/>
      <c r="O246" s="38"/>
      <c r="P246" s="38"/>
      <c r="Q246" s="38"/>
      <c r="R246" s="38"/>
      <c r="S246" s="38"/>
      <c r="T246" s="38"/>
      <c r="U246" s="38"/>
      <c r="V246" s="38"/>
      <c r="W246" s="38"/>
      <c r="X246" s="18"/>
      <c r="Y246" s="18"/>
      <c r="Z246" s="18"/>
      <c r="AA246" s="34"/>
      <c r="AB246" s="39"/>
      <c r="AC246" s="39"/>
      <c r="AD246" s="39"/>
      <c r="AE246" s="39"/>
      <c r="AF246" s="39"/>
      <c r="AG246" s="39"/>
      <c r="AH246" s="39"/>
      <c r="AI246" s="39"/>
      <c r="AJ246" s="39"/>
      <c r="AK246" s="39"/>
      <c r="AL246" s="39"/>
      <c r="AM246" s="39"/>
      <c r="AN246" s="36"/>
      <c r="AO246" s="39"/>
      <c r="AP246" s="40"/>
      <c r="AQ246" s="40"/>
      <c r="AR246" s="41"/>
      <c r="AS246" s="41"/>
      <c r="AT246" s="41"/>
      <c r="AU246" s="41"/>
      <c r="AV246" s="41"/>
      <c r="AW246" s="41"/>
      <c r="AX246" s="41"/>
      <c r="AY246" s="41"/>
      <c r="AZ246" s="41"/>
      <c r="BA246" s="41"/>
      <c r="BB246" s="41"/>
      <c r="BC246" s="33"/>
      <c r="BD246" s="34"/>
      <c r="BE246" s="34"/>
      <c r="BF246" s="34"/>
      <c r="BG246" s="34"/>
      <c r="BH246" s="34"/>
      <c r="BI246" s="34"/>
      <c r="BJ246" s="34"/>
      <c r="BK246" s="34"/>
      <c r="BL246" s="34"/>
      <c r="BM246" s="34"/>
      <c r="BN246" s="35"/>
      <c r="BO246" s="35"/>
      <c r="BP246" s="35"/>
      <c r="BQ246" s="36"/>
      <c r="BR246" s="37"/>
      <c r="BS246" s="24"/>
    </row>
    <row r="247" spans="1:71" ht="25.5" x14ac:dyDescent="0.5">
      <c r="A247" s="24"/>
      <c r="B247" s="24"/>
      <c r="C247" s="32"/>
      <c r="D247" s="38"/>
      <c r="E247" s="38"/>
      <c r="F247" s="38"/>
      <c r="G247" s="38"/>
      <c r="H247" s="38"/>
      <c r="I247" s="38"/>
      <c r="J247" s="38"/>
      <c r="K247" s="38"/>
      <c r="L247" s="38"/>
      <c r="M247" s="38"/>
      <c r="N247" s="38"/>
      <c r="O247" s="38"/>
      <c r="P247" s="38"/>
      <c r="Q247" s="38"/>
      <c r="R247" s="38"/>
      <c r="S247" s="38"/>
      <c r="T247" s="38"/>
      <c r="U247" s="42" t="s">
        <v>35</v>
      </c>
      <c r="V247" s="38"/>
      <c r="W247" s="38"/>
      <c r="X247" s="38"/>
      <c r="Y247" s="38"/>
      <c r="Z247" s="38"/>
      <c r="AA247" s="35"/>
      <c r="AB247" s="43"/>
      <c r="AC247" s="43"/>
      <c r="AD247" s="43"/>
      <c r="AE247" s="43"/>
      <c r="AF247" s="43"/>
      <c r="AG247" s="43"/>
      <c r="AH247" s="43"/>
      <c r="AI247" s="43"/>
      <c r="AJ247" s="43"/>
      <c r="AK247" s="43"/>
      <c r="AL247" s="43"/>
      <c r="AM247" s="42" t="s">
        <v>65</v>
      </c>
      <c r="AN247" s="44"/>
      <c r="AO247" s="43"/>
      <c r="AP247" s="45"/>
      <c r="AQ247" s="45"/>
      <c r="AR247" s="46"/>
      <c r="AS247" s="46"/>
      <c r="AT247" s="46"/>
      <c r="AU247" s="46"/>
      <c r="AV247" s="46"/>
      <c r="AW247" s="46"/>
      <c r="AX247" s="46"/>
      <c r="AY247" s="46"/>
      <c r="AZ247" s="46"/>
      <c r="BA247" s="46"/>
      <c r="BB247" s="46"/>
      <c r="BC247" s="47"/>
      <c r="BD247" s="35"/>
      <c r="BE247" s="35"/>
      <c r="BF247" s="63" t="s">
        <v>71</v>
      </c>
      <c r="BG247" s="59"/>
      <c r="BH247" s="59"/>
      <c r="BI247" s="59"/>
      <c r="BJ247" s="59"/>
      <c r="BK247" s="59"/>
      <c r="BL247" s="59"/>
      <c r="BM247" s="35"/>
      <c r="BN247" s="35"/>
      <c r="BO247" s="35"/>
      <c r="BP247" s="35"/>
      <c r="BQ247" s="44"/>
      <c r="BR247" s="37"/>
      <c r="BS247" s="24"/>
    </row>
    <row r="248" spans="1:71" ht="15.6" customHeight="1" x14ac:dyDescent="0.4">
      <c r="A248" s="24"/>
      <c r="B248" s="24"/>
      <c r="C248" s="32"/>
      <c r="D248" s="89" t="s">
        <v>18</v>
      </c>
      <c r="E248" s="90"/>
      <c r="F248" s="90"/>
      <c r="G248" s="90"/>
      <c r="H248" s="90"/>
      <c r="I248" s="90"/>
      <c r="J248" s="90"/>
      <c r="K248" s="90"/>
      <c r="L248" s="90"/>
      <c r="M248" s="91"/>
      <c r="N248" s="98" t="str">
        <f>IF([10]回答表!X48="●","●","")</f>
        <v/>
      </c>
      <c r="O248" s="99"/>
      <c r="P248" s="99"/>
      <c r="Q248" s="100"/>
      <c r="R248" s="38"/>
      <c r="S248" s="38"/>
      <c r="T248" s="38"/>
      <c r="U248" s="107" t="str">
        <f>IF([10]回答表!X48="●",[10]回答表!B411,IF([10]回答表!AA48="●",[10]回答表!B425,""))</f>
        <v/>
      </c>
      <c r="V248" s="108"/>
      <c r="W248" s="108"/>
      <c r="X248" s="108"/>
      <c r="Y248" s="108"/>
      <c r="Z248" s="108"/>
      <c r="AA248" s="108"/>
      <c r="AB248" s="108"/>
      <c r="AC248" s="108"/>
      <c r="AD248" s="108"/>
      <c r="AE248" s="108"/>
      <c r="AF248" s="108"/>
      <c r="AG248" s="108"/>
      <c r="AH248" s="108"/>
      <c r="AI248" s="108"/>
      <c r="AJ248" s="109"/>
      <c r="AK248" s="49"/>
      <c r="AL248" s="49"/>
      <c r="AM248" s="150" t="s">
        <v>72</v>
      </c>
      <c r="AN248" s="150"/>
      <c r="AO248" s="150"/>
      <c r="AP248" s="150"/>
      <c r="AQ248" s="151" t="str">
        <f>IF([10]回答表!X48="●",[10]回答表!BC418,IF([10]回答表!AA48="●",[10]回答表!BC432,""))</f>
        <v/>
      </c>
      <c r="AR248" s="151"/>
      <c r="AS248" s="151"/>
      <c r="AT248" s="151"/>
      <c r="AU248" s="173" t="s">
        <v>73</v>
      </c>
      <c r="AV248" s="174"/>
      <c r="AW248" s="174"/>
      <c r="AX248" s="175"/>
      <c r="AY248" s="151" t="str">
        <f>IF([10]回答表!X48="●",[10]回答表!BC423,IF([10]回答表!AA48="●",[10]回答表!BC437,""))</f>
        <v/>
      </c>
      <c r="AZ248" s="151"/>
      <c r="BA248" s="151"/>
      <c r="BB248" s="151"/>
      <c r="BC248" s="39"/>
      <c r="BD248" s="34"/>
      <c r="BE248" s="34"/>
      <c r="BF248" s="116" t="str">
        <f>IF([10]回答表!X48="●",[10]回答表!S417,IF([10]回答表!AA48="●",[10]回答表!S431,""))</f>
        <v/>
      </c>
      <c r="BG248" s="117"/>
      <c r="BH248" s="117"/>
      <c r="BI248" s="117"/>
      <c r="BJ248" s="116"/>
      <c r="BK248" s="117"/>
      <c r="BL248" s="117"/>
      <c r="BM248" s="117"/>
      <c r="BN248" s="116"/>
      <c r="BO248" s="117"/>
      <c r="BP248" s="117"/>
      <c r="BQ248" s="118"/>
      <c r="BR248" s="37"/>
      <c r="BS248" s="24"/>
    </row>
    <row r="249" spans="1:71" ht="15.6" customHeight="1" x14ac:dyDescent="0.4">
      <c r="A249" s="24"/>
      <c r="B249" s="24"/>
      <c r="C249" s="32"/>
      <c r="D249" s="92"/>
      <c r="E249" s="93"/>
      <c r="F249" s="93"/>
      <c r="G249" s="93"/>
      <c r="H249" s="93"/>
      <c r="I249" s="93"/>
      <c r="J249" s="93"/>
      <c r="K249" s="93"/>
      <c r="L249" s="93"/>
      <c r="M249" s="94"/>
      <c r="N249" s="101"/>
      <c r="O249" s="102"/>
      <c r="P249" s="102"/>
      <c r="Q249" s="103"/>
      <c r="R249" s="38"/>
      <c r="S249" s="38"/>
      <c r="T249" s="38"/>
      <c r="U249" s="110"/>
      <c r="V249" s="111"/>
      <c r="W249" s="111"/>
      <c r="X249" s="111"/>
      <c r="Y249" s="111"/>
      <c r="Z249" s="111"/>
      <c r="AA249" s="111"/>
      <c r="AB249" s="111"/>
      <c r="AC249" s="111"/>
      <c r="AD249" s="111"/>
      <c r="AE249" s="111"/>
      <c r="AF249" s="111"/>
      <c r="AG249" s="111"/>
      <c r="AH249" s="111"/>
      <c r="AI249" s="111"/>
      <c r="AJ249" s="112"/>
      <c r="AK249" s="49"/>
      <c r="AL249" s="49"/>
      <c r="AM249" s="150"/>
      <c r="AN249" s="150"/>
      <c r="AO249" s="150"/>
      <c r="AP249" s="150"/>
      <c r="AQ249" s="151"/>
      <c r="AR249" s="151"/>
      <c r="AS249" s="151"/>
      <c r="AT249" s="151"/>
      <c r="AU249" s="176"/>
      <c r="AV249" s="177"/>
      <c r="AW249" s="177"/>
      <c r="AX249" s="178"/>
      <c r="AY249" s="151"/>
      <c r="AZ249" s="151"/>
      <c r="BA249" s="151"/>
      <c r="BB249" s="151"/>
      <c r="BC249" s="39"/>
      <c r="BD249" s="34"/>
      <c r="BE249" s="34"/>
      <c r="BF249" s="83"/>
      <c r="BG249" s="84"/>
      <c r="BH249" s="84"/>
      <c r="BI249" s="84"/>
      <c r="BJ249" s="83"/>
      <c r="BK249" s="84"/>
      <c r="BL249" s="84"/>
      <c r="BM249" s="84"/>
      <c r="BN249" s="83"/>
      <c r="BO249" s="84"/>
      <c r="BP249" s="84"/>
      <c r="BQ249" s="87"/>
      <c r="BR249" s="37"/>
      <c r="BS249" s="24"/>
    </row>
    <row r="250" spans="1:71" ht="15.6" customHeight="1" x14ac:dyDescent="0.4">
      <c r="A250" s="24"/>
      <c r="B250" s="24"/>
      <c r="C250" s="32"/>
      <c r="D250" s="92"/>
      <c r="E250" s="93"/>
      <c r="F250" s="93"/>
      <c r="G250" s="93"/>
      <c r="H250" s="93"/>
      <c r="I250" s="93"/>
      <c r="J250" s="93"/>
      <c r="K250" s="93"/>
      <c r="L250" s="93"/>
      <c r="M250" s="94"/>
      <c r="N250" s="101"/>
      <c r="O250" s="102"/>
      <c r="P250" s="102"/>
      <c r="Q250" s="103"/>
      <c r="R250" s="38"/>
      <c r="S250" s="38"/>
      <c r="T250" s="38"/>
      <c r="U250" s="110"/>
      <c r="V250" s="111"/>
      <c r="W250" s="111"/>
      <c r="X250" s="111"/>
      <c r="Y250" s="111"/>
      <c r="Z250" s="111"/>
      <c r="AA250" s="111"/>
      <c r="AB250" s="111"/>
      <c r="AC250" s="111"/>
      <c r="AD250" s="111"/>
      <c r="AE250" s="111"/>
      <c r="AF250" s="111"/>
      <c r="AG250" s="111"/>
      <c r="AH250" s="111"/>
      <c r="AI250" s="111"/>
      <c r="AJ250" s="112"/>
      <c r="AK250" s="49"/>
      <c r="AL250" s="49"/>
      <c r="AM250" s="150" t="s">
        <v>74</v>
      </c>
      <c r="AN250" s="150"/>
      <c r="AO250" s="150"/>
      <c r="AP250" s="150"/>
      <c r="AQ250" s="151" t="str">
        <f>IF([10]回答表!X48="●",[10]回答表!BC419,IF([10]回答表!AA48="●",[10]回答表!BC433,""))</f>
        <v/>
      </c>
      <c r="AR250" s="151"/>
      <c r="AS250" s="151"/>
      <c r="AT250" s="151"/>
      <c r="AU250" s="176"/>
      <c r="AV250" s="177"/>
      <c r="AW250" s="177"/>
      <c r="AX250" s="178"/>
      <c r="AY250" s="151"/>
      <c r="AZ250" s="151"/>
      <c r="BA250" s="151"/>
      <c r="BB250" s="151"/>
      <c r="BC250" s="39"/>
      <c r="BD250" s="34"/>
      <c r="BE250" s="34"/>
      <c r="BF250" s="83"/>
      <c r="BG250" s="84"/>
      <c r="BH250" s="84"/>
      <c r="BI250" s="84"/>
      <c r="BJ250" s="83"/>
      <c r="BK250" s="84"/>
      <c r="BL250" s="84"/>
      <c r="BM250" s="84"/>
      <c r="BN250" s="83"/>
      <c r="BO250" s="84"/>
      <c r="BP250" s="84"/>
      <c r="BQ250" s="87"/>
      <c r="BR250" s="37"/>
      <c r="BS250" s="24"/>
    </row>
    <row r="251" spans="1:71" ht="15.6" customHeight="1" x14ac:dyDescent="0.4">
      <c r="A251" s="24"/>
      <c r="B251" s="24"/>
      <c r="C251" s="32"/>
      <c r="D251" s="95"/>
      <c r="E251" s="96"/>
      <c r="F251" s="96"/>
      <c r="G251" s="96"/>
      <c r="H251" s="96"/>
      <c r="I251" s="96"/>
      <c r="J251" s="96"/>
      <c r="K251" s="96"/>
      <c r="L251" s="96"/>
      <c r="M251" s="97"/>
      <c r="N251" s="104"/>
      <c r="O251" s="105"/>
      <c r="P251" s="105"/>
      <c r="Q251" s="106"/>
      <c r="R251" s="38"/>
      <c r="S251" s="38"/>
      <c r="T251" s="38"/>
      <c r="U251" s="110"/>
      <c r="V251" s="111"/>
      <c r="W251" s="111"/>
      <c r="X251" s="111"/>
      <c r="Y251" s="111"/>
      <c r="Z251" s="111"/>
      <c r="AA251" s="111"/>
      <c r="AB251" s="111"/>
      <c r="AC251" s="111"/>
      <c r="AD251" s="111"/>
      <c r="AE251" s="111"/>
      <c r="AF251" s="111"/>
      <c r="AG251" s="111"/>
      <c r="AH251" s="111"/>
      <c r="AI251" s="111"/>
      <c r="AJ251" s="112"/>
      <c r="AK251" s="49"/>
      <c r="AL251" s="49"/>
      <c r="AM251" s="150"/>
      <c r="AN251" s="150"/>
      <c r="AO251" s="150"/>
      <c r="AP251" s="150"/>
      <c r="AQ251" s="151"/>
      <c r="AR251" s="151"/>
      <c r="AS251" s="151"/>
      <c r="AT251" s="151"/>
      <c r="AU251" s="176"/>
      <c r="AV251" s="177"/>
      <c r="AW251" s="177"/>
      <c r="AX251" s="178"/>
      <c r="AY251" s="151"/>
      <c r="AZ251" s="151"/>
      <c r="BA251" s="151"/>
      <c r="BB251" s="151"/>
      <c r="BC251" s="39"/>
      <c r="BD251" s="34"/>
      <c r="BE251" s="34"/>
      <c r="BF251" s="83" t="str">
        <f>IF([10]回答表!X48="●",[10]回答表!V417,IF([10]回答表!AA48="●",[10]回答表!V431,""))</f>
        <v/>
      </c>
      <c r="BG251" s="84"/>
      <c r="BH251" s="84"/>
      <c r="BI251" s="84"/>
      <c r="BJ251" s="83" t="str">
        <f>IF([10]回答表!X48="●",[10]回答表!V418,IF([10]回答表!AA48="●",[10]回答表!V432,""))</f>
        <v/>
      </c>
      <c r="BK251" s="84"/>
      <c r="BL251" s="84"/>
      <c r="BM251" s="87"/>
      <c r="BN251" s="83" t="str">
        <f>IF([10]回答表!X48="●",[10]回答表!V419,IF([10]回答表!AA48="●",[10]回答表!V433,""))</f>
        <v/>
      </c>
      <c r="BO251" s="84"/>
      <c r="BP251" s="84"/>
      <c r="BQ251" s="87"/>
      <c r="BR251" s="37"/>
      <c r="BS251" s="24"/>
    </row>
    <row r="252" spans="1:71" ht="15.6" customHeight="1" x14ac:dyDescent="0.4">
      <c r="A252" s="24"/>
      <c r="B252" s="24"/>
      <c r="C252" s="32"/>
      <c r="D252" s="50"/>
      <c r="E252" s="50"/>
      <c r="F252" s="50"/>
      <c r="G252" s="50"/>
      <c r="H252" s="50"/>
      <c r="I252" s="50"/>
      <c r="J252" s="50"/>
      <c r="K252" s="50"/>
      <c r="L252" s="50"/>
      <c r="M252" s="50"/>
      <c r="N252" s="52"/>
      <c r="O252" s="52"/>
      <c r="P252" s="52"/>
      <c r="Q252" s="52"/>
      <c r="R252" s="52"/>
      <c r="S252" s="52"/>
      <c r="T252" s="52"/>
      <c r="U252" s="110"/>
      <c r="V252" s="111"/>
      <c r="W252" s="111"/>
      <c r="X252" s="111"/>
      <c r="Y252" s="111"/>
      <c r="Z252" s="111"/>
      <c r="AA252" s="111"/>
      <c r="AB252" s="111"/>
      <c r="AC252" s="111"/>
      <c r="AD252" s="111"/>
      <c r="AE252" s="111"/>
      <c r="AF252" s="111"/>
      <c r="AG252" s="111"/>
      <c r="AH252" s="111"/>
      <c r="AI252" s="111"/>
      <c r="AJ252" s="112"/>
      <c r="AK252" s="49"/>
      <c r="AL252" s="49"/>
      <c r="AM252" s="150" t="s">
        <v>75</v>
      </c>
      <c r="AN252" s="150"/>
      <c r="AO252" s="150"/>
      <c r="AP252" s="150"/>
      <c r="AQ252" s="151" t="str">
        <f>IF([10]回答表!X48="●",[10]回答表!BC420,IF([10]回答表!AA48="●",[10]回答表!BC434,""))</f>
        <v/>
      </c>
      <c r="AR252" s="151"/>
      <c r="AS252" s="151"/>
      <c r="AT252" s="151"/>
      <c r="AU252" s="179"/>
      <c r="AV252" s="180"/>
      <c r="AW252" s="180"/>
      <c r="AX252" s="181"/>
      <c r="AY252" s="151"/>
      <c r="AZ252" s="151"/>
      <c r="BA252" s="151"/>
      <c r="BB252" s="151"/>
      <c r="BC252" s="39"/>
      <c r="BD252" s="39"/>
      <c r="BE252" s="39"/>
      <c r="BF252" s="83"/>
      <c r="BG252" s="84"/>
      <c r="BH252" s="84"/>
      <c r="BI252" s="84"/>
      <c r="BJ252" s="83"/>
      <c r="BK252" s="84"/>
      <c r="BL252" s="84"/>
      <c r="BM252" s="87"/>
      <c r="BN252" s="83"/>
      <c r="BO252" s="84"/>
      <c r="BP252" s="84"/>
      <c r="BQ252" s="87"/>
      <c r="BR252" s="37"/>
      <c r="BS252" s="24"/>
    </row>
    <row r="253" spans="1:71" ht="15.6" customHeight="1" x14ac:dyDescent="0.4">
      <c r="A253" s="24"/>
      <c r="B253" s="24"/>
      <c r="C253" s="32"/>
      <c r="D253" s="50"/>
      <c r="E253" s="50"/>
      <c r="F253" s="50"/>
      <c r="G253" s="50"/>
      <c r="H253" s="50"/>
      <c r="I253" s="50"/>
      <c r="J253" s="50"/>
      <c r="K253" s="50"/>
      <c r="L253" s="50"/>
      <c r="M253" s="50"/>
      <c r="N253" s="52"/>
      <c r="O253" s="52"/>
      <c r="P253" s="52"/>
      <c r="Q253" s="52"/>
      <c r="R253" s="52"/>
      <c r="S253" s="52"/>
      <c r="T253" s="52"/>
      <c r="U253" s="110"/>
      <c r="V253" s="111"/>
      <c r="W253" s="111"/>
      <c r="X253" s="111"/>
      <c r="Y253" s="111"/>
      <c r="Z253" s="111"/>
      <c r="AA253" s="111"/>
      <c r="AB253" s="111"/>
      <c r="AC253" s="111"/>
      <c r="AD253" s="111"/>
      <c r="AE253" s="111"/>
      <c r="AF253" s="111"/>
      <c r="AG253" s="111"/>
      <c r="AH253" s="111"/>
      <c r="AI253" s="111"/>
      <c r="AJ253" s="112"/>
      <c r="AK253" s="49"/>
      <c r="AL253" s="49"/>
      <c r="AM253" s="150"/>
      <c r="AN253" s="150"/>
      <c r="AO253" s="150"/>
      <c r="AP253" s="150"/>
      <c r="AQ253" s="151"/>
      <c r="AR253" s="151"/>
      <c r="AS253" s="151"/>
      <c r="AT253" s="151"/>
      <c r="AU253" s="152" t="s">
        <v>76</v>
      </c>
      <c r="AV253" s="153"/>
      <c r="AW253" s="153"/>
      <c r="AX253" s="154"/>
      <c r="AY253" s="158" t="str">
        <f>IF([10]回答表!X48="●",[10]回答表!BC424,IF([10]回答表!AA48="●",[10]回答表!BC438,""))</f>
        <v/>
      </c>
      <c r="AZ253" s="159"/>
      <c r="BA253" s="159"/>
      <c r="BB253" s="160"/>
      <c r="BC253" s="39"/>
      <c r="BD253" s="34"/>
      <c r="BE253" s="34"/>
      <c r="BF253" s="83"/>
      <c r="BG253" s="84"/>
      <c r="BH253" s="84"/>
      <c r="BI253" s="84"/>
      <c r="BJ253" s="83"/>
      <c r="BK253" s="84"/>
      <c r="BL253" s="84"/>
      <c r="BM253" s="87"/>
      <c r="BN253" s="83"/>
      <c r="BO253" s="84"/>
      <c r="BP253" s="84"/>
      <c r="BQ253" s="87"/>
      <c r="BR253" s="37"/>
      <c r="BS253" s="24"/>
    </row>
    <row r="254" spans="1:71" ht="15.6" customHeight="1" x14ac:dyDescent="0.4">
      <c r="A254" s="24"/>
      <c r="B254" s="24"/>
      <c r="C254" s="32"/>
      <c r="D254" s="134" t="s">
        <v>26</v>
      </c>
      <c r="E254" s="135"/>
      <c r="F254" s="135"/>
      <c r="G254" s="135"/>
      <c r="H254" s="135"/>
      <c r="I254" s="135"/>
      <c r="J254" s="135"/>
      <c r="K254" s="135"/>
      <c r="L254" s="135"/>
      <c r="M254" s="136"/>
      <c r="N254" s="98" t="str">
        <f>IF([10]回答表!AA48="●","●","")</f>
        <v/>
      </c>
      <c r="O254" s="99"/>
      <c r="P254" s="99"/>
      <c r="Q254" s="100"/>
      <c r="R254" s="38"/>
      <c r="S254" s="38"/>
      <c r="T254" s="38"/>
      <c r="U254" s="110"/>
      <c r="V254" s="111"/>
      <c r="W254" s="111"/>
      <c r="X254" s="111"/>
      <c r="Y254" s="111"/>
      <c r="Z254" s="111"/>
      <c r="AA254" s="111"/>
      <c r="AB254" s="111"/>
      <c r="AC254" s="111"/>
      <c r="AD254" s="111"/>
      <c r="AE254" s="111"/>
      <c r="AF254" s="111"/>
      <c r="AG254" s="111"/>
      <c r="AH254" s="111"/>
      <c r="AI254" s="111"/>
      <c r="AJ254" s="112"/>
      <c r="AK254" s="49"/>
      <c r="AL254" s="49"/>
      <c r="AM254" s="150" t="s">
        <v>77</v>
      </c>
      <c r="AN254" s="150"/>
      <c r="AO254" s="150"/>
      <c r="AP254" s="150"/>
      <c r="AQ254" s="170" t="str">
        <f>IF([10]回答表!X48="●",[10]回答表!BC421,IF([10]回答表!AA48="●",[10]回答表!BC435,""))</f>
        <v/>
      </c>
      <c r="AR254" s="151"/>
      <c r="AS254" s="151"/>
      <c r="AT254" s="151"/>
      <c r="AU254" s="164"/>
      <c r="AV254" s="165"/>
      <c r="AW254" s="165"/>
      <c r="AX254" s="166"/>
      <c r="AY254" s="167"/>
      <c r="AZ254" s="168"/>
      <c r="BA254" s="168"/>
      <c r="BB254" s="169"/>
      <c r="BC254" s="39"/>
      <c r="BD254" s="53"/>
      <c r="BE254" s="53"/>
      <c r="BF254" s="83"/>
      <c r="BG254" s="84"/>
      <c r="BH254" s="84"/>
      <c r="BI254" s="84"/>
      <c r="BJ254" s="83"/>
      <c r="BK254" s="84"/>
      <c r="BL254" s="84"/>
      <c r="BM254" s="87"/>
      <c r="BN254" s="83"/>
      <c r="BO254" s="84"/>
      <c r="BP254" s="84"/>
      <c r="BQ254" s="87"/>
      <c r="BR254" s="37"/>
      <c r="BS254" s="24"/>
    </row>
    <row r="255" spans="1:71" ht="15.6" customHeight="1" x14ac:dyDescent="0.4">
      <c r="A255" s="24"/>
      <c r="B255" s="24"/>
      <c r="C255" s="32"/>
      <c r="D255" s="137"/>
      <c r="E255" s="138"/>
      <c r="F255" s="138"/>
      <c r="G255" s="138"/>
      <c r="H255" s="138"/>
      <c r="I255" s="138"/>
      <c r="J255" s="138"/>
      <c r="K255" s="138"/>
      <c r="L255" s="138"/>
      <c r="M255" s="139"/>
      <c r="N255" s="101"/>
      <c r="O255" s="102"/>
      <c r="P255" s="102"/>
      <c r="Q255" s="103"/>
      <c r="R255" s="38"/>
      <c r="S255" s="38"/>
      <c r="T255" s="38"/>
      <c r="U255" s="110"/>
      <c r="V255" s="111"/>
      <c r="W255" s="111"/>
      <c r="X255" s="111"/>
      <c r="Y255" s="111"/>
      <c r="Z255" s="111"/>
      <c r="AA255" s="111"/>
      <c r="AB255" s="111"/>
      <c r="AC255" s="111"/>
      <c r="AD255" s="111"/>
      <c r="AE255" s="111"/>
      <c r="AF255" s="111"/>
      <c r="AG255" s="111"/>
      <c r="AH255" s="111"/>
      <c r="AI255" s="111"/>
      <c r="AJ255" s="112"/>
      <c r="AK255" s="49"/>
      <c r="AL255" s="49"/>
      <c r="AM255" s="150"/>
      <c r="AN255" s="150"/>
      <c r="AO255" s="150"/>
      <c r="AP255" s="150"/>
      <c r="AQ255" s="151"/>
      <c r="AR255" s="151"/>
      <c r="AS255" s="151"/>
      <c r="AT255" s="151"/>
      <c r="AU255" s="155"/>
      <c r="AV255" s="156"/>
      <c r="AW255" s="156"/>
      <c r="AX255" s="157"/>
      <c r="AY255" s="161"/>
      <c r="AZ255" s="162"/>
      <c r="BA255" s="162"/>
      <c r="BB255" s="163"/>
      <c r="BC255" s="39"/>
      <c r="BD255" s="53"/>
      <c r="BE255" s="53"/>
      <c r="BF255" s="83" t="s">
        <v>23</v>
      </c>
      <c r="BG255" s="84"/>
      <c r="BH255" s="84"/>
      <c r="BI255" s="84"/>
      <c r="BJ255" s="83" t="s">
        <v>24</v>
      </c>
      <c r="BK255" s="84"/>
      <c r="BL255" s="84"/>
      <c r="BM255" s="84"/>
      <c r="BN255" s="83" t="s">
        <v>25</v>
      </c>
      <c r="BO255" s="84"/>
      <c r="BP255" s="84"/>
      <c r="BQ255" s="87"/>
      <c r="BR255" s="37"/>
      <c r="BS255" s="24"/>
    </row>
    <row r="256" spans="1:71" ht="15.6" customHeight="1" x14ac:dyDescent="0.4">
      <c r="A256" s="24"/>
      <c r="B256" s="24"/>
      <c r="C256" s="32"/>
      <c r="D256" s="137"/>
      <c r="E256" s="138"/>
      <c r="F256" s="138"/>
      <c r="G256" s="138"/>
      <c r="H256" s="138"/>
      <c r="I256" s="138"/>
      <c r="J256" s="138"/>
      <c r="K256" s="138"/>
      <c r="L256" s="138"/>
      <c r="M256" s="139"/>
      <c r="N256" s="101"/>
      <c r="O256" s="102"/>
      <c r="P256" s="102"/>
      <c r="Q256" s="103"/>
      <c r="R256" s="38"/>
      <c r="S256" s="38"/>
      <c r="T256" s="38"/>
      <c r="U256" s="110"/>
      <c r="V256" s="111"/>
      <c r="W256" s="111"/>
      <c r="X256" s="111"/>
      <c r="Y256" s="111"/>
      <c r="Z256" s="111"/>
      <c r="AA256" s="111"/>
      <c r="AB256" s="111"/>
      <c r="AC256" s="111"/>
      <c r="AD256" s="111"/>
      <c r="AE256" s="111"/>
      <c r="AF256" s="111"/>
      <c r="AG256" s="111"/>
      <c r="AH256" s="111"/>
      <c r="AI256" s="111"/>
      <c r="AJ256" s="112"/>
      <c r="AK256" s="49"/>
      <c r="AL256" s="49"/>
      <c r="AM256" s="150" t="s">
        <v>78</v>
      </c>
      <c r="AN256" s="150"/>
      <c r="AO256" s="150"/>
      <c r="AP256" s="150"/>
      <c r="AQ256" s="151" t="str">
        <f>IF([10]回答表!X48="●",[10]回答表!BC422,IF([10]回答表!AA48="●",[10]回答表!BC436,""))</f>
        <v/>
      </c>
      <c r="AR256" s="151"/>
      <c r="AS256" s="151"/>
      <c r="AT256" s="151"/>
      <c r="AU256" s="152" t="s">
        <v>79</v>
      </c>
      <c r="AV256" s="153"/>
      <c r="AW256" s="153"/>
      <c r="AX256" s="154"/>
      <c r="AY256" s="158" t="str">
        <f>IF([10]回答表!X48="●",[10]回答表!BC425,IF([10]回答表!AA48="●",[10]回答表!BC439,""))</f>
        <v/>
      </c>
      <c r="AZ256" s="159"/>
      <c r="BA256" s="159"/>
      <c r="BB256" s="160"/>
      <c r="BC256" s="39"/>
      <c r="BD256" s="53"/>
      <c r="BE256" s="53"/>
      <c r="BF256" s="83"/>
      <c r="BG256" s="84"/>
      <c r="BH256" s="84"/>
      <c r="BI256" s="84"/>
      <c r="BJ256" s="83"/>
      <c r="BK256" s="84"/>
      <c r="BL256" s="84"/>
      <c r="BM256" s="84"/>
      <c r="BN256" s="83"/>
      <c r="BO256" s="84"/>
      <c r="BP256" s="84"/>
      <c r="BQ256" s="87"/>
      <c r="BR256" s="37"/>
      <c r="BS256" s="24"/>
    </row>
    <row r="257" spans="1:71" ht="15.6" customHeight="1" x14ac:dyDescent="0.4">
      <c r="A257" s="24"/>
      <c r="B257" s="24"/>
      <c r="C257" s="32"/>
      <c r="D257" s="140"/>
      <c r="E257" s="141"/>
      <c r="F257" s="141"/>
      <c r="G257" s="141"/>
      <c r="H257" s="141"/>
      <c r="I257" s="141"/>
      <c r="J257" s="141"/>
      <c r="K257" s="141"/>
      <c r="L257" s="141"/>
      <c r="M257" s="142"/>
      <c r="N257" s="104"/>
      <c r="O257" s="105"/>
      <c r="P257" s="105"/>
      <c r="Q257" s="106"/>
      <c r="R257" s="38"/>
      <c r="S257" s="38"/>
      <c r="T257" s="38"/>
      <c r="U257" s="113"/>
      <c r="V257" s="114"/>
      <c r="W257" s="114"/>
      <c r="X257" s="114"/>
      <c r="Y257" s="114"/>
      <c r="Z257" s="114"/>
      <c r="AA257" s="114"/>
      <c r="AB257" s="114"/>
      <c r="AC257" s="114"/>
      <c r="AD257" s="114"/>
      <c r="AE257" s="114"/>
      <c r="AF257" s="114"/>
      <c r="AG257" s="114"/>
      <c r="AH257" s="114"/>
      <c r="AI257" s="114"/>
      <c r="AJ257" s="115"/>
      <c r="AK257" s="49"/>
      <c r="AL257" s="49"/>
      <c r="AM257" s="150"/>
      <c r="AN257" s="150"/>
      <c r="AO257" s="150"/>
      <c r="AP257" s="150"/>
      <c r="AQ257" s="151"/>
      <c r="AR257" s="151"/>
      <c r="AS257" s="151"/>
      <c r="AT257" s="151"/>
      <c r="AU257" s="155"/>
      <c r="AV257" s="156"/>
      <c r="AW257" s="156"/>
      <c r="AX257" s="157"/>
      <c r="AY257" s="161"/>
      <c r="AZ257" s="162"/>
      <c r="BA257" s="162"/>
      <c r="BB257" s="163"/>
      <c r="BC257" s="39"/>
      <c r="BD257" s="53"/>
      <c r="BE257" s="53"/>
      <c r="BF257" s="85"/>
      <c r="BG257" s="86"/>
      <c r="BH257" s="86"/>
      <c r="BI257" s="86"/>
      <c r="BJ257" s="85"/>
      <c r="BK257" s="86"/>
      <c r="BL257" s="86"/>
      <c r="BM257" s="86"/>
      <c r="BN257" s="85"/>
      <c r="BO257" s="86"/>
      <c r="BP257" s="86"/>
      <c r="BQ257" s="88"/>
      <c r="BR257" s="37"/>
      <c r="BS257" s="24"/>
    </row>
    <row r="258" spans="1:71" ht="15.6" customHeight="1" x14ac:dyDescent="0.5">
      <c r="A258" s="24"/>
      <c r="B258" s="24"/>
      <c r="C258" s="32"/>
      <c r="D258" s="50"/>
      <c r="E258" s="50"/>
      <c r="F258" s="50"/>
      <c r="G258" s="50"/>
      <c r="H258" s="50"/>
      <c r="I258" s="50"/>
      <c r="J258" s="50"/>
      <c r="K258" s="50"/>
      <c r="L258" s="50"/>
      <c r="M258" s="50"/>
      <c r="N258" s="38"/>
      <c r="O258" s="38"/>
      <c r="P258" s="38"/>
      <c r="Q258" s="38"/>
      <c r="R258" s="38"/>
      <c r="S258" s="38"/>
      <c r="T258" s="38"/>
      <c r="U258" s="38"/>
      <c r="V258" s="38"/>
      <c r="W258" s="38"/>
      <c r="X258" s="18"/>
      <c r="Y258" s="18"/>
      <c r="Z258" s="18"/>
      <c r="AA258" s="35"/>
      <c r="AB258" s="35"/>
      <c r="AC258" s="35"/>
      <c r="AD258" s="35"/>
      <c r="AE258" s="35"/>
      <c r="AF258" s="35"/>
      <c r="AG258" s="35"/>
      <c r="AH258" s="35"/>
      <c r="AI258" s="35"/>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37"/>
      <c r="BS258" s="24"/>
    </row>
    <row r="259" spans="1:71" ht="18.600000000000001" customHeight="1" x14ac:dyDescent="0.5">
      <c r="A259" s="24"/>
      <c r="B259" s="24"/>
      <c r="C259" s="32"/>
      <c r="D259" s="50"/>
      <c r="E259" s="50"/>
      <c r="F259" s="50"/>
      <c r="G259" s="50"/>
      <c r="H259" s="50"/>
      <c r="I259" s="50"/>
      <c r="J259" s="50"/>
      <c r="K259" s="50"/>
      <c r="L259" s="50"/>
      <c r="M259" s="50"/>
      <c r="N259" s="38"/>
      <c r="O259" s="38"/>
      <c r="P259" s="38"/>
      <c r="Q259" s="38"/>
      <c r="R259" s="38"/>
      <c r="S259" s="38"/>
      <c r="T259" s="38"/>
      <c r="U259" s="42" t="s">
        <v>31</v>
      </c>
      <c r="V259" s="38"/>
      <c r="W259" s="38"/>
      <c r="X259" s="38"/>
      <c r="Y259" s="38"/>
      <c r="Z259" s="38"/>
      <c r="AA259" s="35"/>
      <c r="AB259" s="43"/>
      <c r="AC259" s="35"/>
      <c r="AD259" s="35"/>
      <c r="AE259" s="35"/>
      <c r="AF259" s="35"/>
      <c r="AG259" s="35"/>
      <c r="AH259" s="35"/>
      <c r="AI259" s="35"/>
      <c r="AJ259" s="35"/>
      <c r="AK259" s="35"/>
      <c r="AL259" s="35"/>
      <c r="AM259" s="42" t="s">
        <v>32</v>
      </c>
      <c r="AN259" s="35"/>
      <c r="AO259" s="35"/>
      <c r="AP259" s="35"/>
      <c r="AQ259" s="35"/>
      <c r="AR259" s="35"/>
      <c r="AS259" s="35"/>
      <c r="AT259" s="35"/>
      <c r="AU259" s="35"/>
      <c r="AV259" s="35"/>
      <c r="AW259" s="35"/>
      <c r="AX259" s="35"/>
      <c r="AY259" s="35"/>
      <c r="AZ259" s="35"/>
      <c r="BA259" s="35"/>
      <c r="BB259" s="34"/>
      <c r="BC259" s="34"/>
      <c r="BD259" s="34"/>
      <c r="BE259" s="34"/>
      <c r="BF259" s="34"/>
      <c r="BG259" s="34"/>
      <c r="BH259" s="34"/>
      <c r="BI259" s="34"/>
      <c r="BJ259" s="34"/>
      <c r="BK259" s="34"/>
      <c r="BL259" s="34"/>
      <c r="BM259" s="34"/>
      <c r="BN259" s="34"/>
      <c r="BO259" s="34"/>
      <c r="BP259" s="34"/>
      <c r="BQ259" s="18"/>
      <c r="BR259" s="37"/>
      <c r="BS259" s="24"/>
    </row>
    <row r="260" spans="1:71" ht="15.6" customHeight="1" x14ac:dyDescent="0.4">
      <c r="A260" s="24"/>
      <c r="B260" s="24"/>
      <c r="C260" s="32"/>
      <c r="D260" s="89" t="s">
        <v>33</v>
      </c>
      <c r="E260" s="90"/>
      <c r="F260" s="90"/>
      <c r="G260" s="90"/>
      <c r="H260" s="90"/>
      <c r="I260" s="90"/>
      <c r="J260" s="90"/>
      <c r="K260" s="90"/>
      <c r="L260" s="90"/>
      <c r="M260" s="91"/>
      <c r="N260" s="98" t="str">
        <f>IF([10]回答表!AD48="●","●","")</f>
        <v/>
      </c>
      <c r="O260" s="99"/>
      <c r="P260" s="99"/>
      <c r="Q260" s="100"/>
      <c r="R260" s="38"/>
      <c r="S260" s="38"/>
      <c r="T260" s="38"/>
      <c r="U260" s="107" t="str">
        <f>IF([10]回答表!AD48="●",[10]回答表!B439,"")</f>
        <v/>
      </c>
      <c r="V260" s="108"/>
      <c r="W260" s="108"/>
      <c r="X260" s="108"/>
      <c r="Y260" s="108"/>
      <c r="Z260" s="108"/>
      <c r="AA260" s="108"/>
      <c r="AB260" s="108"/>
      <c r="AC260" s="108"/>
      <c r="AD260" s="108"/>
      <c r="AE260" s="108"/>
      <c r="AF260" s="108"/>
      <c r="AG260" s="108"/>
      <c r="AH260" s="108"/>
      <c r="AI260" s="108"/>
      <c r="AJ260" s="109"/>
      <c r="AK260" s="55"/>
      <c r="AL260" s="55"/>
      <c r="AM260" s="107" t="str">
        <f>IF([10]回答表!AD48="●",[10]回答表!B445,"")</f>
        <v/>
      </c>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9"/>
      <c r="BR260" s="37"/>
      <c r="BS260" s="24"/>
    </row>
    <row r="261" spans="1:71" ht="15.6" customHeight="1" x14ac:dyDescent="0.4">
      <c r="C261" s="32"/>
      <c r="D261" s="92"/>
      <c r="E261" s="93"/>
      <c r="F261" s="93"/>
      <c r="G261" s="93"/>
      <c r="H261" s="93"/>
      <c r="I261" s="93"/>
      <c r="J261" s="93"/>
      <c r="K261" s="93"/>
      <c r="L261" s="93"/>
      <c r="M261" s="94"/>
      <c r="N261" s="101"/>
      <c r="O261" s="102"/>
      <c r="P261" s="102"/>
      <c r="Q261" s="103"/>
      <c r="R261" s="38"/>
      <c r="S261" s="38"/>
      <c r="T261" s="38"/>
      <c r="U261" s="110"/>
      <c r="V261" s="111"/>
      <c r="W261" s="111"/>
      <c r="X261" s="111"/>
      <c r="Y261" s="111"/>
      <c r="Z261" s="111"/>
      <c r="AA261" s="111"/>
      <c r="AB261" s="111"/>
      <c r="AC261" s="111"/>
      <c r="AD261" s="111"/>
      <c r="AE261" s="111"/>
      <c r="AF261" s="111"/>
      <c r="AG261" s="111"/>
      <c r="AH261" s="111"/>
      <c r="AI261" s="111"/>
      <c r="AJ261" s="112"/>
      <c r="AK261" s="55"/>
      <c r="AL261" s="55"/>
      <c r="AM261" s="110"/>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2"/>
      <c r="BR261" s="37"/>
    </row>
    <row r="262" spans="1:71" ht="15.6" customHeight="1" x14ac:dyDescent="0.4">
      <c r="C262" s="32"/>
      <c r="D262" s="92"/>
      <c r="E262" s="93"/>
      <c r="F262" s="93"/>
      <c r="G262" s="93"/>
      <c r="H262" s="93"/>
      <c r="I262" s="93"/>
      <c r="J262" s="93"/>
      <c r="K262" s="93"/>
      <c r="L262" s="93"/>
      <c r="M262" s="94"/>
      <c r="N262" s="101"/>
      <c r="O262" s="102"/>
      <c r="P262" s="102"/>
      <c r="Q262" s="103"/>
      <c r="R262" s="38"/>
      <c r="S262" s="38"/>
      <c r="T262" s="38"/>
      <c r="U262" s="110"/>
      <c r="V262" s="111"/>
      <c r="W262" s="111"/>
      <c r="X262" s="111"/>
      <c r="Y262" s="111"/>
      <c r="Z262" s="111"/>
      <c r="AA262" s="111"/>
      <c r="AB262" s="111"/>
      <c r="AC262" s="111"/>
      <c r="AD262" s="111"/>
      <c r="AE262" s="111"/>
      <c r="AF262" s="111"/>
      <c r="AG262" s="111"/>
      <c r="AH262" s="111"/>
      <c r="AI262" s="111"/>
      <c r="AJ262" s="112"/>
      <c r="AK262" s="55"/>
      <c r="AL262" s="55"/>
      <c r="AM262" s="110"/>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2"/>
      <c r="BR262" s="37"/>
    </row>
    <row r="263" spans="1:71" ht="15.6" customHeight="1" x14ac:dyDescent="0.4">
      <c r="C263" s="32"/>
      <c r="D263" s="95"/>
      <c r="E263" s="96"/>
      <c r="F263" s="96"/>
      <c r="G263" s="96"/>
      <c r="H263" s="96"/>
      <c r="I263" s="96"/>
      <c r="J263" s="96"/>
      <c r="K263" s="96"/>
      <c r="L263" s="96"/>
      <c r="M263" s="97"/>
      <c r="N263" s="104"/>
      <c r="O263" s="105"/>
      <c r="P263" s="105"/>
      <c r="Q263" s="106"/>
      <c r="R263" s="38"/>
      <c r="S263" s="38"/>
      <c r="T263" s="38"/>
      <c r="U263" s="113"/>
      <c r="V263" s="114"/>
      <c r="W263" s="114"/>
      <c r="X263" s="114"/>
      <c r="Y263" s="114"/>
      <c r="Z263" s="114"/>
      <c r="AA263" s="114"/>
      <c r="AB263" s="114"/>
      <c r="AC263" s="114"/>
      <c r="AD263" s="114"/>
      <c r="AE263" s="114"/>
      <c r="AF263" s="114"/>
      <c r="AG263" s="114"/>
      <c r="AH263" s="114"/>
      <c r="AI263" s="114"/>
      <c r="AJ263" s="115"/>
      <c r="AK263" s="55"/>
      <c r="AL263" s="55"/>
      <c r="AM263" s="113"/>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5"/>
      <c r="BR263" s="37"/>
    </row>
    <row r="264" spans="1:71" ht="15.6" customHeight="1" x14ac:dyDescent="0.4">
      <c r="C264" s="56"/>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8"/>
    </row>
    <row r="265" spans="1:71" ht="15.6" customHeight="1" x14ac:dyDescent="0.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row>
    <row r="266" spans="1:71" ht="15.6" customHeight="1" x14ac:dyDescent="0.4">
      <c r="C266" s="26"/>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143"/>
      <c r="AS266" s="143"/>
      <c r="AT266" s="143"/>
      <c r="AU266" s="143"/>
      <c r="AV266" s="143"/>
      <c r="AW266" s="143"/>
      <c r="AX266" s="143"/>
      <c r="AY266" s="143"/>
      <c r="AZ266" s="143"/>
      <c r="BA266" s="143"/>
      <c r="BB266" s="143"/>
      <c r="BC266" s="28"/>
      <c r="BD266" s="29"/>
      <c r="BE266" s="29"/>
      <c r="BF266" s="29"/>
      <c r="BG266" s="29"/>
      <c r="BH266" s="29"/>
      <c r="BI266" s="29"/>
      <c r="BJ266" s="29"/>
      <c r="BK266" s="29"/>
      <c r="BL266" s="29"/>
      <c r="BM266" s="29"/>
      <c r="BN266" s="29"/>
      <c r="BO266" s="29"/>
      <c r="BP266" s="29"/>
      <c r="BQ266" s="29"/>
      <c r="BR266" s="30"/>
    </row>
    <row r="267" spans="1:71" ht="15.6" customHeight="1" x14ac:dyDescent="0.5">
      <c r="C267" s="32"/>
      <c r="D267" s="144" t="s">
        <v>14</v>
      </c>
      <c r="E267" s="145"/>
      <c r="F267" s="145"/>
      <c r="G267" s="145"/>
      <c r="H267" s="145"/>
      <c r="I267" s="145"/>
      <c r="J267" s="145"/>
      <c r="K267" s="145"/>
      <c r="L267" s="145"/>
      <c r="M267" s="145"/>
      <c r="N267" s="145"/>
      <c r="O267" s="145"/>
      <c r="P267" s="145"/>
      <c r="Q267" s="146"/>
      <c r="R267" s="89" t="s">
        <v>80</v>
      </c>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1"/>
      <c r="BC267" s="33"/>
      <c r="BD267" s="34"/>
      <c r="BE267" s="34"/>
      <c r="BF267" s="34"/>
      <c r="BG267" s="34"/>
      <c r="BH267" s="34"/>
      <c r="BI267" s="34"/>
      <c r="BJ267" s="34"/>
      <c r="BK267" s="34"/>
      <c r="BL267" s="34"/>
      <c r="BM267" s="34"/>
      <c r="BN267" s="35"/>
      <c r="BO267" s="35"/>
      <c r="BP267" s="35"/>
      <c r="BQ267" s="36"/>
      <c r="BR267" s="37"/>
    </row>
    <row r="268" spans="1:71" ht="15.6" customHeight="1" x14ac:dyDescent="0.5">
      <c r="C268" s="32"/>
      <c r="D268" s="147"/>
      <c r="E268" s="148"/>
      <c r="F268" s="148"/>
      <c r="G268" s="148"/>
      <c r="H268" s="148"/>
      <c r="I268" s="148"/>
      <c r="J268" s="148"/>
      <c r="K268" s="148"/>
      <c r="L268" s="148"/>
      <c r="M268" s="148"/>
      <c r="N268" s="148"/>
      <c r="O268" s="148"/>
      <c r="P268" s="148"/>
      <c r="Q268" s="149"/>
      <c r="R268" s="95"/>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7"/>
      <c r="BC268" s="33"/>
      <c r="BD268" s="34"/>
      <c r="BE268" s="34"/>
      <c r="BF268" s="34"/>
      <c r="BG268" s="34"/>
      <c r="BH268" s="34"/>
      <c r="BI268" s="34"/>
      <c r="BJ268" s="34"/>
      <c r="BK268" s="34"/>
      <c r="BL268" s="34"/>
      <c r="BM268" s="34"/>
      <c r="BN268" s="35"/>
      <c r="BO268" s="35"/>
      <c r="BP268" s="35"/>
      <c r="BQ268" s="36"/>
      <c r="BR268" s="37"/>
    </row>
    <row r="269" spans="1:71" ht="15.6" customHeight="1" x14ac:dyDescent="0.5">
      <c r="C269" s="32"/>
      <c r="D269" s="38"/>
      <c r="E269" s="38"/>
      <c r="F269" s="38"/>
      <c r="G269" s="38"/>
      <c r="H269" s="38"/>
      <c r="I269" s="38"/>
      <c r="J269" s="38"/>
      <c r="K269" s="38"/>
      <c r="L269" s="38"/>
      <c r="M269" s="38"/>
      <c r="N269" s="38"/>
      <c r="O269" s="38"/>
      <c r="P269" s="38"/>
      <c r="Q269" s="38"/>
      <c r="R269" s="38"/>
      <c r="S269" s="38"/>
      <c r="T269" s="38"/>
      <c r="U269" s="38"/>
      <c r="V269" s="38"/>
      <c r="W269" s="38"/>
      <c r="X269" s="18"/>
      <c r="Y269" s="18"/>
      <c r="Z269" s="18"/>
      <c r="AA269" s="34"/>
      <c r="AB269" s="39"/>
      <c r="AC269" s="39"/>
      <c r="AD269" s="39"/>
      <c r="AE269" s="39"/>
      <c r="AF269" s="39"/>
      <c r="AG269" s="39"/>
      <c r="AH269" s="39"/>
      <c r="AI269" s="39"/>
      <c r="AJ269" s="39"/>
      <c r="AK269" s="39"/>
      <c r="AL269" s="39"/>
      <c r="AM269" s="39"/>
      <c r="AN269" s="36"/>
      <c r="AO269" s="39"/>
      <c r="AP269" s="40"/>
      <c r="AQ269" s="40"/>
      <c r="AR269" s="41"/>
      <c r="AS269" s="41"/>
      <c r="AT269" s="41"/>
      <c r="AU269" s="41"/>
      <c r="AV269" s="41"/>
      <c r="AW269" s="41"/>
      <c r="AX269" s="41"/>
      <c r="AY269" s="41"/>
      <c r="AZ269" s="41"/>
      <c r="BA269" s="41"/>
      <c r="BB269" s="41"/>
      <c r="BC269" s="33"/>
      <c r="BD269" s="34"/>
      <c r="BE269" s="34"/>
      <c r="BF269" s="34"/>
      <c r="BG269" s="34"/>
      <c r="BH269" s="34"/>
      <c r="BI269" s="34"/>
      <c r="BJ269" s="34"/>
      <c r="BK269" s="34"/>
      <c r="BL269" s="34"/>
      <c r="BM269" s="34"/>
      <c r="BN269" s="35"/>
      <c r="BO269" s="35"/>
      <c r="BP269" s="35"/>
      <c r="BQ269" s="36"/>
      <c r="BR269" s="37"/>
    </row>
    <row r="270" spans="1:71" ht="19.350000000000001" customHeight="1" x14ac:dyDescent="0.5">
      <c r="A270" s="24"/>
      <c r="B270" s="24"/>
      <c r="C270" s="32"/>
      <c r="D270" s="38"/>
      <c r="E270" s="38"/>
      <c r="F270" s="38"/>
      <c r="G270" s="38"/>
      <c r="H270" s="38"/>
      <c r="I270" s="38"/>
      <c r="J270" s="38"/>
      <c r="K270" s="38"/>
      <c r="L270" s="38"/>
      <c r="M270" s="38"/>
      <c r="N270" s="38"/>
      <c r="O270" s="38"/>
      <c r="P270" s="38"/>
      <c r="Q270" s="38"/>
      <c r="R270" s="38"/>
      <c r="S270" s="38"/>
      <c r="T270" s="38"/>
      <c r="U270" s="42" t="s">
        <v>35</v>
      </c>
      <c r="V270" s="38"/>
      <c r="W270" s="38"/>
      <c r="X270" s="38"/>
      <c r="Y270" s="38"/>
      <c r="Z270" s="38"/>
      <c r="AA270" s="35"/>
      <c r="AB270" s="43"/>
      <c r="AC270" s="43"/>
      <c r="AD270" s="43"/>
      <c r="AE270" s="43"/>
      <c r="AF270" s="43"/>
      <c r="AG270" s="43"/>
      <c r="AH270" s="43"/>
      <c r="AI270" s="43"/>
      <c r="AJ270" s="43"/>
      <c r="AK270" s="43"/>
      <c r="AL270" s="43"/>
      <c r="AM270" s="42" t="s">
        <v>81</v>
      </c>
      <c r="AN270" s="44"/>
      <c r="AO270" s="43"/>
      <c r="AP270" s="45"/>
      <c r="AQ270" s="45"/>
      <c r="AR270" s="46"/>
      <c r="AS270" s="46"/>
      <c r="AT270" s="46"/>
      <c r="AU270" s="46"/>
      <c r="AV270" s="46"/>
      <c r="AW270" s="46"/>
      <c r="AX270" s="46"/>
      <c r="AY270" s="46"/>
      <c r="AZ270" s="46"/>
      <c r="BA270" s="46"/>
      <c r="BB270" s="46"/>
      <c r="BC270" s="47"/>
      <c r="BD270" s="35"/>
      <c r="BE270" s="35"/>
      <c r="BF270" s="48" t="s">
        <v>17</v>
      </c>
      <c r="BG270" s="59"/>
      <c r="BH270" s="59"/>
      <c r="BI270" s="59"/>
      <c r="BJ270" s="59"/>
      <c r="BK270" s="59"/>
      <c r="BL270" s="59"/>
      <c r="BM270" s="35"/>
      <c r="BN270" s="35"/>
      <c r="BO270" s="35"/>
      <c r="BP270" s="35"/>
      <c r="BQ270" s="44"/>
      <c r="BR270" s="37"/>
      <c r="BS270" s="24"/>
    </row>
    <row r="271" spans="1:71" ht="15.6" customHeight="1" x14ac:dyDescent="0.4">
      <c r="A271" s="24"/>
      <c r="B271" s="24"/>
      <c r="C271" s="32"/>
      <c r="D271" s="89" t="s">
        <v>18</v>
      </c>
      <c r="E271" s="90"/>
      <c r="F271" s="90"/>
      <c r="G271" s="90"/>
      <c r="H271" s="90"/>
      <c r="I271" s="90"/>
      <c r="J271" s="90"/>
      <c r="K271" s="90"/>
      <c r="L271" s="90"/>
      <c r="M271" s="91"/>
      <c r="N271" s="98" t="str">
        <f>IF([10]回答表!X49="●","●","")</f>
        <v/>
      </c>
      <c r="O271" s="99"/>
      <c r="P271" s="99"/>
      <c r="Q271" s="100"/>
      <c r="R271" s="38"/>
      <c r="S271" s="38"/>
      <c r="T271" s="38"/>
      <c r="U271" s="107" t="str">
        <f>IF([10]回答表!X49="●",[10]回答表!B458,IF([10]回答表!AA49="●",[10]回答表!B475,""))</f>
        <v/>
      </c>
      <c r="V271" s="108"/>
      <c r="W271" s="108"/>
      <c r="X271" s="108"/>
      <c r="Y271" s="108"/>
      <c r="Z271" s="108"/>
      <c r="AA271" s="108"/>
      <c r="AB271" s="108"/>
      <c r="AC271" s="108"/>
      <c r="AD271" s="108"/>
      <c r="AE271" s="108"/>
      <c r="AF271" s="108"/>
      <c r="AG271" s="108"/>
      <c r="AH271" s="108"/>
      <c r="AI271" s="108"/>
      <c r="AJ271" s="109"/>
      <c r="AK271" s="49"/>
      <c r="AL271" s="49"/>
      <c r="AM271" s="128" t="s">
        <v>82</v>
      </c>
      <c r="AN271" s="129"/>
      <c r="AO271" s="129"/>
      <c r="AP271" s="129"/>
      <c r="AQ271" s="129"/>
      <c r="AR271" s="129"/>
      <c r="AS271" s="129"/>
      <c r="AT271" s="130"/>
      <c r="AU271" s="128" t="s">
        <v>83</v>
      </c>
      <c r="AV271" s="129"/>
      <c r="AW271" s="129"/>
      <c r="AX271" s="129"/>
      <c r="AY271" s="129"/>
      <c r="AZ271" s="129"/>
      <c r="BA271" s="129"/>
      <c r="BB271" s="130"/>
      <c r="BC271" s="39"/>
      <c r="BD271" s="34"/>
      <c r="BE271" s="34"/>
      <c r="BF271" s="116" t="str">
        <f>IF([10]回答表!X49="●",[10]回答表!B468,IF([10]回答表!AA49="●",[10]回答表!B485,""))</f>
        <v/>
      </c>
      <c r="BG271" s="117"/>
      <c r="BH271" s="117"/>
      <c r="BI271" s="117"/>
      <c r="BJ271" s="116"/>
      <c r="BK271" s="117"/>
      <c r="BL271" s="117"/>
      <c r="BM271" s="117"/>
      <c r="BN271" s="116"/>
      <c r="BO271" s="117"/>
      <c r="BP271" s="117"/>
      <c r="BQ271" s="118"/>
      <c r="BR271" s="37"/>
      <c r="BS271" s="24"/>
    </row>
    <row r="272" spans="1:71" ht="15.6" customHeight="1" x14ac:dyDescent="0.4">
      <c r="A272" s="24"/>
      <c r="B272" s="24"/>
      <c r="C272" s="32"/>
      <c r="D272" s="92"/>
      <c r="E272" s="93"/>
      <c r="F272" s="93"/>
      <c r="G272" s="93"/>
      <c r="H272" s="93"/>
      <c r="I272" s="93"/>
      <c r="J272" s="93"/>
      <c r="K272" s="93"/>
      <c r="L272" s="93"/>
      <c r="M272" s="94"/>
      <c r="N272" s="101"/>
      <c r="O272" s="102"/>
      <c r="P272" s="102"/>
      <c r="Q272" s="103"/>
      <c r="R272" s="38"/>
      <c r="S272" s="38"/>
      <c r="T272" s="38"/>
      <c r="U272" s="110"/>
      <c r="V272" s="111"/>
      <c r="W272" s="111"/>
      <c r="X272" s="111"/>
      <c r="Y272" s="111"/>
      <c r="Z272" s="111"/>
      <c r="AA272" s="111"/>
      <c r="AB272" s="111"/>
      <c r="AC272" s="111"/>
      <c r="AD272" s="111"/>
      <c r="AE272" s="111"/>
      <c r="AF272" s="111"/>
      <c r="AG272" s="111"/>
      <c r="AH272" s="111"/>
      <c r="AI272" s="111"/>
      <c r="AJ272" s="112"/>
      <c r="AK272" s="49"/>
      <c r="AL272" s="49"/>
      <c r="AM272" s="131"/>
      <c r="AN272" s="132"/>
      <c r="AO272" s="132"/>
      <c r="AP272" s="132"/>
      <c r="AQ272" s="132"/>
      <c r="AR272" s="132"/>
      <c r="AS272" s="132"/>
      <c r="AT272" s="133"/>
      <c r="AU272" s="131"/>
      <c r="AV272" s="132"/>
      <c r="AW272" s="132"/>
      <c r="AX272" s="132"/>
      <c r="AY272" s="132"/>
      <c r="AZ272" s="132"/>
      <c r="BA272" s="132"/>
      <c r="BB272" s="133"/>
      <c r="BC272" s="39"/>
      <c r="BD272" s="34"/>
      <c r="BE272" s="34"/>
      <c r="BF272" s="83"/>
      <c r="BG272" s="84"/>
      <c r="BH272" s="84"/>
      <c r="BI272" s="84"/>
      <c r="BJ272" s="83"/>
      <c r="BK272" s="84"/>
      <c r="BL272" s="84"/>
      <c r="BM272" s="84"/>
      <c r="BN272" s="83"/>
      <c r="BO272" s="84"/>
      <c r="BP272" s="84"/>
      <c r="BQ272" s="87"/>
      <c r="BR272" s="37"/>
      <c r="BS272" s="24"/>
    </row>
    <row r="273" spans="1:71" ht="15.6" customHeight="1" x14ac:dyDescent="0.4">
      <c r="A273" s="24"/>
      <c r="B273" s="24"/>
      <c r="C273" s="32"/>
      <c r="D273" s="92"/>
      <c r="E273" s="93"/>
      <c r="F273" s="93"/>
      <c r="G273" s="93"/>
      <c r="H273" s="93"/>
      <c r="I273" s="93"/>
      <c r="J273" s="93"/>
      <c r="K273" s="93"/>
      <c r="L273" s="93"/>
      <c r="M273" s="94"/>
      <c r="N273" s="101"/>
      <c r="O273" s="102"/>
      <c r="P273" s="102"/>
      <c r="Q273" s="103"/>
      <c r="R273" s="38"/>
      <c r="S273" s="38"/>
      <c r="T273" s="38"/>
      <c r="U273" s="110"/>
      <c r="V273" s="111"/>
      <c r="W273" s="111"/>
      <c r="X273" s="111"/>
      <c r="Y273" s="111"/>
      <c r="Z273" s="111"/>
      <c r="AA273" s="111"/>
      <c r="AB273" s="111"/>
      <c r="AC273" s="111"/>
      <c r="AD273" s="111"/>
      <c r="AE273" s="111"/>
      <c r="AF273" s="111"/>
      <c r="AG273" s="111"/>
      <c r="AH273" s="111"/>
      <c r="AI273" s="111"/>
      <c r="AJ273" s="112"/>
      <c r="AK273" s="49"/>
      <c r="AL273" s="49"/>
      <c r="AM273" s="119" t="str">
        <f>IF([10]回答表!X49="●",[10]回答表!G464,IF([10]回答表!AA49="●",[10]回答表!G481,""))</f>
        <v/>
      </c>
      <c r="AN273" s="120"/>
      <c r="AO273" s="120"/>
      <c r="AP273" s="120"/>
      <c r="AQ273" s="120"/>
      <c r="AR273" s="120"/>
      <c r="AS273" s="120"/>
      <c r="AT273" s="121"/>
      <c r="AU273" s="119" t="str">
        <f>IF([10]回答表!X49="●",[10]回答表!G465,IF([10]回答表!AA49="●",[10]回答表!G482,""))</f>
        <v/>
      </c>
      <c r="AV273" s="120"/>
      <c r="AW273" s="120"/>
      <c r="AX273" s="120"/>
      <c r="AY273" s="120"/>
      <c r="AZ273" s="120"/>
      <c r="BA273" s="120"/>
      <c r="BB273" s="121"/>
      <c r="BC273" s="39"/>
      <c r="BD273" s="34"/>
      <c r="BE273" s="34"/>
      <c r="BF273" s="83"/>
      <c r="BG273" s="84"/>
      <c r="BH273" s="84"/>
      <c r="BI273" s="84"/>
      <c r="BJ273" s="83"/>
      <c r="BK273" s="84"/>
      <c r="BL273" s="84"/>
      <c r="BM273" s="84"/>
      <c r="BN273" s="83"/>
      <c r="BO273" s="84"/>
      <c r="BP273" s="84"/>
      <c r="BQ273" s="87"/>
      <c r="BR273" s="37"/>
      <c r="BS273" s="24"/>
    </row>
    <row r="274" spans="1:71" ht="15.6" customHeight="1" x14ac:dyDescent="0.4">
      <c r="A274" s="24"/>
      <c r="B274" s="24"/>
      <c r="C274" s="32"/>
      <c r="D274" s="95"/>
      <c r="E274" s="96"/>
      <c r="F274" s="96"/>
      <c r="G274" s="96"/>
      <c r="H274" s="96"/>
      <c r="I274" s="96"/>
      <c r="J274" s="96"/>
      <c r="K274" s="96"/>
      <c r="L274" s="96"/>
      <c r="M274" s="97"/>
      <c r="N274" s="104"/>
      <c r="O274" s="105"/>
      <c r="P274" s="105"/>
      <c r="Q274" s="106"/>
      <c r="R274" s="38"/>
      <c r="S274" s="38"/>
      <c r="T274" s="38"/>
      <c r="U274" s="110"/>
      <c r="V274" s="111"/>
      <c r="W274" s="111"/>
      <c r="X274" s="111"/>
      <c r="Y274" s="111"/>
      <c r="Z274" s="111"/>
      <c r="AA274" s="111"/>
      <c r="AB274" s="111"/>
      <c r="AC274" s="111"/>
      <c r="AD274" s="111"/>
      <c r="AE274" s="111"/>
      <c r="AF274" s="111"/>
      <c r="AG274" s="111"/>
      <c r="AH274" s="111"/>
      <c r="AI274" s="111"/>
      <c r="AJ274" s="112"/>
      <c r="AK274" s="49"/>
      <c r="AL274" s="49"/>
      <c r="AM274" s="122"/>
      <c r="AN274" s="123"/>
      <c r="AO274" s="123"/>
      <c r="AP274" s="123"/>
      <c r="AQ274" s="123"/>
      <c r="AR274" s="123"/>
      <c r="AS274" s="123"/>
      <c r="AT274" s="124"/>
      <c r="AU274" s="122"/>
      <c r="AV274" s="123"/>
      <c r="AW274" s="123"/>
      <c r="AX274" s="123"/>
      <c r="AY274" s="123"/>
      <c r="AZ274" s="123"/>
      <c r="BA274" s="123"/>
      <c r="BB274" s="124"/>
      <c r="BC274" s="39"/>
      <c r="BD274" s="34"/>
      <c r="BE274" s="34"/>
      <c r="BF274" s="83" t="str">
        <f>IF([10]回答表!X49="●",[10]回答表!E468,IF([10]回答表!AA49="●",[10]回答表!E485,""))</f>
        <v/>
      </c>
      <c r="BG274" s="84"/>
      <c r="BH274" s="84"/>
      <c r="BI274" s="84"/>
      <c r="BJ274" s="83" t="str">
        <f>IF([10]回答表!X49="●",[10]回答表!E469,IF([10]回答表!AA49="●",[10]回答表!E486,""))</f>
        <v/>
      </c>
      <c r="BK274" s="84"/>
      <c r="BL274" s="84"/>
      <c r="BM274" s="87"/>
      <c r="BN274" s="83" t="str">
        <f>IF([10]回答表!X49="●",[10]回答表!E470,IF([10]回答表!AA49="●",[10]回答表!E487,""))</f>
        <v/>
      </c>
      <c r="BO274" s="84"/>
      <c r="BP274" s="84"/>
      <c r="BQ274" s="87"/>
      <c r="BR274" s="37"/>
      <c r="BS274" s="24"/>
    </row>
    <row r="275" spans="1:71" ht="15.6" customHeight="1" x14ac:dyDescent="0.4">
      <c r="A275" s="24"/>
      <c r="B275" s="24"/>
      <c r="C275" s="32"/>
      <c r="D275" s="50"/>
      <c r="E275" s="50"/>
      <c r="F275" s="50"/>
      <c r="G275" s="50"/>
      <c r="H275" s="50"/>
      <c r="I275" s="50"/>
      <c r="J275" s="50"/>
      <c r="K275" s="50"/>
      <c r="L275" s="50"/>
      <c r="M275" s="50"/>
      <c r="N275" s="52"/>
      <c r="O275" s="52"/>
      <c r="P275" s="52"/>
      <c r="Q275" s="52"/>
      <c r="R275" s="52"/>
      <c r="S275" s="52"/>
      <c r="T275" s="52"/>
      <c r="U275" s="110"/>
      <c r="V275" s="111"/>
      <c r="W275" s="111"/>
      <c r="X275" s="111"/>
      <c r="Y275" s="111"/>
      <c r="Z275" s="111"/>
      <c r="AA275" s="111"/>
      <c r="AB275" s="111"/>
      <c r="AC275" s="111"/>
      <c r="AD275" s="111"/>
      <c r="AE275" s="111"/>
      <c r="AF275" s="111"/>
      <c r="AG275" s="111"/>
      <c r="AH275" s="111"/>
      <c r="AI275" s="111"/>
      <c r="AJ275" s="112"/>
      <c r="AK275" s="49"/>
      <c r="AL275" s="49"/>
      <c r="AM275" s="125"/>
      <c r="AN275" s="126"/>
      <c r="AO275" s="126"/>
      <c r="AP275" s="126"/>
      <c r="AQ275" s="126"/>
      <c r="AR275" s="126"/>
      <c r="AS275" s="126"/>
      <c r="AT275" s="127"/>
      <c r="AU275" s="125"/>
      <c r="AV275" s="126"/>
      <c r="AW275" s="126"/>
      <c r="AX275" s="126"/>
      <c r="AY275" s="126"/>
      <c r="AZ275" s="126"/>
      <c r="BA275" s="126"/>
      <c r="BB275" s="127"/>
      <c r="BC275" s="39"/>
      <c r="BD275" s="39"/>
      <c r="BE275" s="39"/>
      <c r="BF275" s="83"/>
      <c r="BG275" s="84"/>
      <c r="BH275" s="84"/>
      <c r="BI275" s="84"/>
      <c r="BJ275" s="83"/>
      <c r="BK275" s="84"/>
      <c r="BL275" s="84"/>
      <c r="BM275" s="87"/>
      <c r="BN275" s="83"/>
      <c r="BO275" s="84"/>
      <c r="BP275" s="84"/>
      <c r="BQ275" s="87"/>
      <c r="BR275" s="37"/>
      <c r="BS275" s="24"/>
    </row>
    <row r="276" spans="1:71" ht="15.6" customHeight="1" x14ac:dyDescent="0.4">
      <c r="A276" s="24"/>
      <c r="B276" s="24"/>
      <c r="C276" s="32"/>
      <c r="D276" s="50"/>
      <c r="E276" s="50"/>
      <c r="F276" s="50"/>
      <c r="G276" s="50"/>
      <c r="H276" s="50"/>
      <c r="I276" s="50"/>
      <c r="J276" s="50"/>
      <c r="K276" s="50"/>
      <c r="L276" s="50"/>
      <c r="M276" s="50"/>
      <c r="N276" s="52"/>
      <c r="O276" s="52"/>
      <c r="P276" s="52"/>
      <c r="Q276" s="52"/>
      <c r="R276" s="52"/>
      <c r="S276" s="52"/>
      <c r="T276" s="52"/>
      <c r="U276" s="110"/>
      <c r="V276" s="111"/>
      <c r="W276" s="111"/>
      <c r="X276" s="111"/>
      <c r="Y276" s="111"/>
      <c r="Z276" s="111"/>
      <c r="AA276" s="111"/>
      <c r="AB276" s="111"/>
      <c r="AC276" s="111"/>
      <c r="AD276" s="111"/>
      <c r="AE276" s="111"/>
      <c r="AF276" s="111"/>
      <c r="AG276" s="111"/>
      <c r="AH276" s="111"/>
      <c r="AI276" s="111"/>
      <c r="AJ276" s="112"/>
      <c r="AK276" s="49"/>
      <c r="AL276" s="49"/>
      <c r="AM276" s="34"/>
      <c r="AN276" s="34"/>
      <c r="AO276" s="34"/>
      <c r="AP276" s="34"/>
      <c r="AQ276" s="34"/>
      <c r="AR276" s="34"/>
      <c r="AS276" s="34"/>
      <c r="AT276" s="34"/>
      <c r="AU276" s="34"/>
      <c r="AV276" s="34"/>
      <c r="AW276" s="34"/>
      <c r="AX276" s="34"/>
      <c r="AY276" s="34"/>
      <c r="AZ276" s="34"/>
      <c r="BA276" s="34"/>
      <c r="BB276" s="34"/>
      <c r="BC276" s="39"/>
      <c r="BD276" s="34"/>
      <c r="BE276" s="34"/>
      <c r="BF276" s="83"/>
      <c r="BG276" s="84"/>
      <c r="BH276" s="84"/>
      <c r="BI276" s="84"/>
      <c r="BJ276" s="83"/>
      <c r="BK276" s="84"/>
      <c r="BL276" s="84"/>
      <c r="BM276" s="87"/>
      <c r="BN276" s="83"/>
      <c r="BO276" s="84"/>
      <c r="BP276" s="84"/>
      <c r="BQ276" s="87"/>
      <c r="BR276" s="37"/>
      <c r="BS276" s="24"/>
    </row>
    <row r="277" spans="1:71" ht="15.6" customHeight="1" x14ac:dyDescent="0.4">
      <c r="A277" s="24"/>
      <c r="B277" s="24"/>
      <c r="C277" s="32"/>
      <c r="D277" s="134" t="s">
        <v>26</v>
      </c>
      <c r="E277" s="135"/>
      <c r="F277" s="135"/>
      <c r="G277" s="135"/>
      <c r="H277" s="135"/>
      <c r="I277" s="135"/>
      <c r="J277" s="135"/>
      <c r="K277" s="135"/>
      <c r="L277" s="135"/>
      <c r="M277" s="136"/>
      <c r="N277" s="98" t="str">
        <f>IF([10]回答表!AA49="●","●","")</f>
        <v/>
      </c>
      <c r="O277" s="99"/>
      <c r="P277" s="99"/>
      <c r="Q277" s="100"/>
      <c r="R277" s="38"/>
      <c r="S277" s="38"/>
      <c r="T277" s="38"/>
      <c r="U277" s="110"/>
      <c r="V277" s="111"/>
      <c r="W277" s="111"/>
      <c r="X277" s="111"/>
      <c r="Y277" s="111"/>
      <c r="Z277" s="111"/>
      <c r="AA277" s="111"/>
      <c r="AB277" s="111"/>
      <c r="AC277" s="111"/>
      <c r="AD277" s="111"/>
      <c r="AE277" s="111"/>
      <c r="AF277" s="111"/>
      <c r="AG277" s="111"/>
      <c r="AH277" s="111"/>
      <c r="AI277" s="111"/>
      <c r="AJ277" s="112"/>
      <c r="AK277" s="49"/>
      <c r="AL277" s="49"/>
      <c r="AM277" s="34"/>
      <c r="AN277" s="34"/>
      <c r="AO277" s="34"/>
      <c r="AP277" s="34"/>
      <c r="AQ277" s="34"/>
      <c r="AR277" s="34"/>
      <c r="AS277" s="34"/>
      <c r="AT277" s="34"/>
      <c r="AU277" s="34"/>
      <c r="AV277" s="34"/>
      <c r="AW277" s="34"/>
      <c r="AX277" s="34"/>
      <c r="AY277" s="34"/>
      <c r="AZ277" s="34"/>
      <c r="BA277" s="34"/>
      <c r="BB277" s="34"/>
      <c r="BC277" s="39"/>
      <c r="BD277" s="53"/>
      <c r="BE277" s="53"/>
      <c r="BF277" s="83"/>
      <c r="BG277" s="84"/>
      <c r="BH277" s="84"/>
      <c r="BI277" s="84"/>
      <c r="BJ277" s="83"/>
      <c r="BK277" s="84"/>
      <c r="BL277" s="84"/>
      <c r="BM277" s="87"/>
      <c r="BN277" s="83"/>
      <c r="BO277" s="84"/>
      <c r="BP277" s="84"/>
      <c r="BQ277" s="87"/>
      <c r="BR277" s="37"/>
      <c r="BS277" s="24"/>
    </row>
    <row r="278" spans="1:71" ht="15.6" customHeight="1" x14ac:dyDescent="0.4">
      <c r="A278" s="24"/>
      <c r="B278" s="24"/>
      <c r="C278" s="32"/>
      <c r="D278" s="137"/>
      <c r="E278" s="138"/>
      <c r="F278" s="138"/>
      <c r="G278" s="138"/>
      <c r="H278" s="138"/>
      <c r="I278" s="138"/>
      <c r="J278" s="138"/>
      <c r="K278" s="138"/>
      <c r="L278" s="138"/>
      <c r="M278" s="139"/>
      <c r="N278" s="101"/>
      <c r="O278" s="102"/>
      <c r="P278" s="102"/>
      <c r="Q278" s="103"/>
      <c r="R278" s="38"/>
      <c r="S278" s="38"/>
      <c r="T278" s="38"/>
      <c r="U278" s="110"/>
      <c r="V278" s="111"/>
      <c r="W278" s="111"/>
      <c r="X278" s="111"/>
      <c r="Y278" s="111"/>
      <c r="Z278" s="111"/>
      <c r="AA278" s="111"/>
      <c r="AB278" s="111"/>
      <c r="AC278" s="111"/>
      <c r="AD278" s="111"/>
      <c r="AE278" s="111"/>
      <c r="AF278" s="111"/>
      <c r="AG278" s="111"/>
      <c r="AH278" s="111"/>
      <c r="AI278" s="111"/>
      <c r="AJ278" s="112"/>
      <c r="AK278" s="49"/>
      <c r="AL278" s="49"/>
      <c r="AM278" s="34"/>
      <c r="AN278" s="34"/>
      <c r="AO278" s="34"/>
      <c r="AP278" s="34"/>
      <c r="AQ278" s="34"/>
      <c r="AR278" s="34"/>
      <c r="AS278" s="34"/>
      <c r="AT278" s="34"/>
      <c r="AU278" s="34"/>
      <c r="AV278" s="34"/>
      <c r="AW278" s="34"/>
      <c r="AX278" s="34"/>
      <c r="AY278" s="34"/>
      <c r="AZ278" s="34"/>
      <c r="BA278" s="34"/>
      <c r="BB278" s="34"/>
      <c r="BC278" s="39"/>
      <c r="BD278" s="53"/>
      <c r="BE278" s="53"/>
      <c r="BF278" s="83" t="s">
        <v>23</v>
      </c>
      <c r="BG278" s="84"/>
      <c r="BH278" s="84"/>
      <c r="BI278" s="84"/>
      <c r="BJ278" s="83" t="s">
        <v>24</v>
      </c>
      <c r="BK278" s="84"/>
      <c r="BL278" s="84"/>
      <c r="BM278" s="84"/>
      <c r="BN278" s="83" t="s">
        <v>25</v>
      </c>
      <c r="BO278" s="84"/>
      <c r="BP278" s="84"/>
      <c r="BQ278" s="87"/>
      <c r="BR278" s="37"/>
      <c r="BS278" s="24"/>
    </row>
    <row r="279" spans="1:71" ht="15.6" customHeight="1" x14ac:dyDescent="0.4">
      <c r="A279" s="24"/>
      <c r="B279" s="24"/>
      <c r="C279" s="32"/>
      <c r="D279" s="137"/>
      <c r="E279" s="138"/>
      <c r="F279" s="138"/>
      <c r="G279" s="138"/>
      <c r="H279" s="138"/>
      <c r="I279" s="138"/>
      <c r="J279" s="138"/>
      <c r="K279" s="138"/>
      <c r="L279" s="138"/>
      <c r="M279" s="139"/>
      <c r="N279" s="101"/>
      <c r="O279" s="102"/>
      <c r="P279" s="102"/>
      <c r="Q279" s="103"/>
      <c r="R279" s="38"/>
      <c r="S279" s="38"/>
      <c r="T279" s="38"/>
      <c r="U279" s="110"/>
      <c r="V279" s="111"/>
      <c r="W279" s="111"/>
      <c r="X279" s="111"/>
      <c r="Y279" s="111"/>
      <c r="Z279" s="111"/>
      <c r="AA279" s="111"/>
      <c r="AB279" s="111"/>
      <c r="AC279" s="111"/>
      <c r="AD279" s="111"/>
      <c r="AE279" s="111"/>
      <c r="AF279" s="111"/>
      <c r="AG279" s="111"/>
      <c r="AH279" s="111"/>
      <c r="AI279" s="111"/>
      <c r="AJ279" s="112"/>
      <c r="AK279" s="49"/>
      <c r="AL279" s="49"/>
      <c r="AM279" s="34"/>
      <c r="AN279" s="34"/>
      <c r="AO279" s="34"/>
      <c r="AP279" s="34"/>
      <c r="AQ279" s="34"/>
      <c r="AR279" s="34"/>
      <c r="AS279" s="34"/>
      <c r="AT279" s="34"/>
      <c r="AU279" s="34"/>
      <c r="AV279" s="34"/>
      <c r="AW279" s="34"/>
      <c r="AX279" s="34"/>
      <c r="AY279" s="34"/>
      <c r="AZ279" s="34"/>
      <c r="BA279" s="34"/>
      <c r="BB279" s="34"/>
      <c r="BC279" s="39"/>
      <c r="BD279" s="53"/>
      <c r="BE279" s="53"/>
      <c r="BF279" s="83"/>
      <c r="BG279" s="84"/>
      <c r="BH279" s="84"/>
      <c r="BI279" s="84"/>
      <c r="BJ279" s="83"/>
      <c r="BK279" s="84"/>
      <c r="BL279" s="84"/>
      <c r="BM279" s="84"/>
      <c r="BN279" s="83"/>
      <c r="BO279" s="84"/>
      <c r="BP279" s="84"/>
      <c r="BQ279" s="87"/>
      <c r="BR279" s="37"/>
      <c r="BS279" s="24"/>
    </row>
    <row r="280" spans="1:71" ht="15.6" customHeight="1" x14ac:dyDescent="0.4">
      <c r="A280" s="24"/>
      <c r="B280" s="24"/>
      <c r="C280" s="32"/>
      <c r="D280" s="140"/>
      <c r="E280" s="141"/>
      <c r="F280" s="141"/>
      <c r="G280" s="141"/>
      <c r="H280" s="141"/>
      <c r="I280" s="141"/>
      <c r="J280" s="141"/>
      <c r="K280" s="141"/>
      <c r="L280" s="141"/>
      <c r="M280" s="142"/>
      <c r="N280" s="104"/>
      <c r="O280" s="105"/>
      <c r="P280" s="105"/>
      <c r="Q280" s="106"/>
      <c r="R280" s="38"/>
      <c r="S280" s="38"/>
      <c r="T280" s="38"/>
      <c r="U280" s="113"/>
      <c r="V280" s="114"/>
      <c r="W280" s="114"/>
      <c r="X280" s="114"/>
      <c r="Y280" s="114"/>
      <c r="Z280" s="114"/>
      <c r="AA280" s="114"/>
      <c r="AB280" s="114"/>
      <c r="AC280" s="114"/>
      <c r="AD280" s="114"/>
      <c r="AE280" s="114"/>
      <c r="AF280" s="114"/>
      <c r="AG280" s="114"/>
      <c r="AH280" s="114"/>
      <c r="AI280" s="114"/>
      <c r="AJ280" s="115"/>
      <c r="AK280" s="49"/>
      <c r="AL280" s="49"/>
      <c r="AM280" s="34"/>
      <c r="AN280" s="34"/>
      <c r="AO280" s="34"/>
      <c r="AP280" s="34"/>
      <c r="AQ280" s="34"/>
      <c r="AR280" s="34"/>
      <c r="AS280" s="34"/>
      <c r="AT280" s="34"/>
      <c r="AU280" s="34"/>
      <c r="AV280" s="34"/>
      <c r="AW280" s="34"/>
      <c r="AX280" s="34"/>
      <c r="AY280" s="34"/>
      <c r="AZ280" s="34"/>
      <c r="BA280" s="34"/>
      <c r="BB280" s="34"/>
      <c r="BC280" s="39"/>
      <c r="BD280" s="53"/>
      <c r="BE280" s="53"/>
      <c r="BF280" s="85"/>
      <c r="BG280" s="86"/>
      <c r="BH280" s="86"/>
      <c r="BI280" s="86"/>
      <c r="BJ280" s="85"/>
      <c r="BK280" s="86"/>
      <c r="BL280" s="86"/>
      <c r="BM280" s="86"/>
      <c r="BN280" s="85"/>
      <c r="BO280" s="86"/>
      <c r="BP280" s="86"/>
      <c r="BQ280" s="88"/>
      <c r="BR280" s="37"/>
      <c r="BS280" s="24"/>
    </row>
    <row r="281" spans="1:71" ht="15.6" customHeight="1" x14ac:dyDescent="0.5">
      <c r="A281" s="24"/>
      <c r="B281" s="24"/>
      <c r="C281" s="32"/>
      <c r="D281" s="50"/>
      <c r="E281" s="50"/>
      <c r="F281" s="50"/>
      <c r="G281" s="50"/>
      <c r="H281" s="50"/>
      <c r="I281" s="50"/>
      <c r="J281" s="50"/>
      <c r="K281" s="50"/>
      <c r="L281" s="50"/>
      <c r="M281" s="50"/>
      <c r="N281" s="38"/>
      <c r="O281" s="38"/>
      <c r="P281" s="38"/>
      <c r="Q281" s="38"/>
      <c r="R281" s="38"/>
      <c r="S281" s="38"/>
      <c r="T281" s="38"/>
      <c r="U281" s="38"/>
      <c r="V281" s="38"/>
      <c r="W281" s="38"/>
      <c r="X281" s="18"/>
      <c r="Y281" s="18"/>
      <c r="Z281" s="18"/>
      <c r="AA281" s="35"/>
      <c r="AB281" s="35"/>
      <c r="AC281" s="35"/>
      <c r="AD281" s="35"/>
      <c r="AE281" s="35"/>
      <c r="AF281" s="35"/>
      <c r="AG281" s="35"/>
      <c r="AH281" s="35"/>
      <c r="AI281" s="35"/>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37"/>
      <c r="BS281" s="24"/>
    </row>
    <row r="282" spans="1:71" ht="19.350000000000001" customHeight="1" x14ac:dyDescent="0.5">
      <c r="A282" s="24"/>
      <c r="B282" s="24"/>
      <c r="C282" s="32"/>
      <c r="D282" s="50"/>
      <c r="E282" s="50"/>
      <c r="F282" s="50"/>
      <c r="G282" s="50"/>
      <c r="H282" s="50"/>
      <c r="I282" s="50"/>
      <c r="J282" s="50"/>
      <c r="K282" s="50"/>
      <c r="L282" s="50"/>
      <c r="M282" s="50"/>
      <c r="N282" s="38"/>
      <c r="O282" s="38"/>
      <c r="P282" s="38"/>
      <c r="Q282" s="38"/>
      <c r="R282" s="38"/>
      <c r="S282" s="38"/>
      <c r="T282" s="38"/>
      <c r="U282" s="42" t="s">
        <v>31</v>
      </c>
      <c r="V282" s="38"/>
      <c r="W282" s="38"/>
      <c r="X282" s="38"/>
      <c r="Y282" s="38"/>
      <c r="Z282" s="38"/>
      <c r="AA282" s="35"/>
      <c r="AB282" s="43"/>
      <c r="AC282" s="35"/>
      <c r="AD282" s="35"/>
      <c r="AE282" s="35"/>
      <c r="AF282" s="35"/>
      <c r="AG282" s="35"/>
      <c r="AH282" s="35"/>
      <c r="AI282" s="35"/>
      <c r="AJ282" s="35"/>
      <c r="AK282" s="35"/>
      <c r="AL282" s="35"/>
      <c r="AM282" s="42" t="s">
        <v>32</v>
      </c>
      <c r="AN282" s="35"/>
      <c r="AO282" s="35"/>
      <c r="AP282" s="35"/>
      <c r="AQ282" s="35"/>
      <c r="AR282" s="35"/>
      <c r="AS282" s="35"/>
      <c r="AT282" s="35"/>
      <c r="AU282" s="35"/>
      <c r="AV282" s="35"/>
      <c r="AW282" s="35"/>
      <c r="AX282" s="35"/>
      <c r="AY282" s="35"/>
      <c r="AZ282" s="35"/>
      <c r="BA282" s="34"/>
      <c r="BB282" s="34"/>
      <c r="BC282" s="34"/>
      <c r="BD282" s="34"/>
      <c r="BE282" s="34"/>
      <c r="BF282" s="34"/>
      <c r="BG282" s="34"/>
      <c r="BH282" s="34"/>
      <c r="BI282" s="34"/>
      <c r="BJ282" s="34"/>
      <c r="BK282" s="34"/>
      <c r="BL282" s="34"/>
      <c r="BM282" s="34"/>
      <c r="BN282" s="34"/>
      <c r="BO282" s="34"/>
      <c r="BP282" s="34"/>
      <c r="BQ282" s="18"/>
      <c r="BR282" s="37"/>
      <c r="BS282" s="24"/>
    </row>
    <row r="283" spans="1:71" ht="15.6" customHeight="1" x14ac:dyDescent="0.4">
      <c r="A283" s="24"/>
      <c r="B283" s="24"/>
      <c r="C283" s="32"/>
      <c r="D283" s="89" t="s">
        <v>33</v>
      </c>
      <c r="E283" s="90"/>
      <c r="F283" s="90"/>
      <c r="G283" s="90"/>
      <c r="H283" s="90"/>
      <c r="I283" s="90"/>
      <c r="J283" s="90"/>
      <c r="K283" s="90"/>
      <c r="L283" s="90"/>
      <c r="M283" s="91"/>
      <c r="N283" s="98" t="str">
        <f>IF([10]回答表!AD49="●","●","")</f>
        <v/>
      </c>
      <c r="O283" s="99"/>
      <c r="P283" s="99"/>
      <c r="Q283" s="100"/>
      <c r="R283" s="38"/>
      <c r="S283" s="38"/>
      <c r="T283" s="38"/>
      <c r="U283" s="107" t="str">
        <f>IF([10]回答表!AD49="●",[10]回答表!B492,"")</f>
        <v/>
      </c>
      <c r="V283" s="108"/>
      <c r="W283" s="108"/>
      <c r="X283" s="108"/>
      <c r="Y283" s="108"/>
      <c r="Z283" s="108"/>
      <c r="AA283" s="108"/>
      <c r="AB283" s="108"/>
      <c r="AC283" s="108"/>
      <c r="AD283" s="108"/>
      <c r="AE283" s="108"/>
      <c r="AF283" s="108"/>
      <c r="AG283" s="108"/>
      <c r="AH283" s="108"/>
      <c r="AI283" s="108"/>
      <c r="AJ283" s="109"/>
      <c r="AK283" s="49"/>
      <c r="AL283" s="49"/>
      <c r="AM283" s="107" t="str">
        <f>IF([10]回答表!AD49="●",[10]回答表!B498,"")</f>
        <v/>
      </c>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9"/>
      <c r="BR283" s="37"/>
      <c r="BS283" s="24"/>
    </row>
    <row r="284" spans="1:71" ht="15.6" customHeight="1" x14ac:dyDescent="0.4">
      <c r="A284" s="24"/>
      <c r="B284" s="24"/>
      <c r="C284" s="32"/>
      <c r="D284" s="92"/>
      <c r="E284" s="93"/>
      <c r="F284" s="93"/>
      <c r="G284" s="93"/>
      <c r="H284" s="93"/>
      <c r="I284" s="93"/>
      <c r="J284" s="93"/>
      <c r="K284" s="93"/>
      <c r="L284" s="93"/>
      <c r="M284" s="94"/>
      <c r="N284" s="101"/>
      <c r="O284" s="102"/>
      <c r="P284" s="102"/>
      <c r="Q284" s="103"/>
      <c r="R284" s="38"/>
      <c r="S284" s="38"/>
      <c r="T284" s="38"/>
      <c r="U284" s="110"/>
      <c r="V284" s="111"/>
      <c r="W284" s="111"/>
      <c r="X284" s="111"/>
      <c r="Y284" s="111"/>
      <c r="Z284" s="111"/>
      <c r="AA284" s="111"/>
      <c r="AB284" s="111"/>
      <c r="AC284" s="111"/>
      <c r="AD284" s="111"/>
      <c r="AE284" s="111"/>
      <c r="AF284" s="111"/>
      <c r="AG284" s="111"/>
      <c r="AH284" s="111"/>
      <c r="AI284" s="111"/>
      <c r="AJ284" s="112"/>
      <c r="AK284" s="49"/>
      <c r="AL284" s="49"/>
      <c r="AM284" s="110"/>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2"/>
      <c r="BR284" s="37"/>
      <c r="BS284" s="24"/>
    </row>
    <row r="285" spans="1:71" ht="15.6" customHeight="1" x14ac:dyDescent="0.4">
      <c r="A285" s="24"/>
      <c r="B285" s="24"/>
      <c r="C285" s="32"/>
      <c r="D285" s="92"/>
      <c r="E285" s="93"/>
      <c r="F285" s="93"/>
      <c r="G285" s="93"/>
      <c r="H285" s="93"/>
      <c r="I285" s="93"/>
      <c r="J285" s="93"/>
      <c r="K285" s="93"/>
      <c r="L285" s="93"/>
      <c r="M285" s="94"/>
      <c r="N285" s="101"/>
      <c r="O285" s="102"/>
      <c r="P285" s="102"/>
      <c r="Q285" s="103"/>
      <c r="R285" s="38"/>
      <c r="S285" s="38"/>
      <c r="T285" s="38"/>
      <c r="U285" s="110"/>
      <c r="V285" s="111"/>
      <c r="W285" s="111"/>
      <c r="X285" s="111"/>
      <c r="Y285" s="111"/>
      <c r="Z285" s="111"/>
      <c r="AA285" s="111"/>
      <c r="AB285" s="111"/>
      <c r="AC285" s="111"/>
      <c r="AD285" s="111"/>
      <c r="AE285" s="111"/>
      <c r="AF285" s="111"/>
      <c r="AG285" s="111"/>
      <c r="AH285" s="111"/>
      <c r="AI285" s="111"/>
      <c r="AJ285" s="112"/>
      <c r="AK285" s="49"/>
      <c r="AL285" s="49"/>
      <c r="AM285" s="110"/>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2"/>
      <c r="BR285" s="37"/>
      <c r="BS285" s="24"/>
    </row>
    <row r="286" spans="1:71" ht="15.6" customHeight="1" x14ac:dyDescent="0.4">
      <c r="C286" s="32"/>
      <c r="D286" s="95"/>
      <c r="E286" s="96"/>
      <c r="F286" s="96"/>
      <c r="G286" s="96"/>
      <c r="H286" s="96"/>
      <c r="I286" s="96"/>
      <c r="J286" s="96"/>
      <c r="K286" s="96"/>
      <c r="L286" s="96"/>
      <c r="M286" s="97"/>
      <c r="N286" s="104"/>
      <c r="O286" s="105"/>
      <c r="P286" s="105"/>
      <c r="Q286" s="106"/>
      <c r="R286" s="38"/>
      <c r="S286" s="38"/>
      <c r="T286" s="38"/>
      <c r="U286" s="113"/>
      <c r="V286" s="114"/>
      <c r="W286" s="114"/>
      <c r="X286" s="114"/>
      <c r="Y286" s="114"/>
      <c r="Z286" s="114"/>
      <c r="AA286" s="114"/>
      <c r="AB286" s="114"/>
      <c r="AC286" s="114"/>
      <c r="AD286" s="114"/>
      <c r="AE286" s="114"/>
      <c r="AF286" s="114"/>
      <c r="AG286" s="114"/>
      <c r="AH286" s="114"/>
      <c r="AI286" s="114"/>
      <c r="AJ286" s="115"/>
      <c r="AK286" s="49"/>
      <c r="AL286" s="49"/>
      <c r="AM286" s="113"/>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5"/>
      <c r="BR286" s="37"/>
    </row>
    <row r="287" spans="1:71" ht="15.6" customHeight="1" x14ac:dyDescent="0.4">
      <c r="C287" s="56"/>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8"/>
    </row>
    <row r="288" spans="1:71" ht="15.6" customHeight="1" x14ac:dyDescent="0.4">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row>
    <row r="289" spans="3:70" ht="15.6" customHeight="1" x14ac:dyDescent="0.4"/>
    <row r="290" spans="3:70" ht="15.6" customHeight="1" x14ac:dyDescent="0.4"/>
    <row r="291" spans="3:70" ht="15.6" customHeight="1" x14ac:dyDescent="0.4"/>
    <row r="292" spans="3:70" ht="21.95" customHeight="1" x14ac:dyDescent="0.4">
      <c r="C292" s="73" t="s">
        <v>84</v>
      </c>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row>
    <row r="293" spans="3:70" ht="21.95" customHeight="1" x14ac:dyDescent="0.4">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row>
    <row r="294" spans="3:70" ht="21.95" customHeight="1" x14ac:dyDescent="0.4">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row>
    <row r="295" spans="3:70" ht="15.6" customHeight="1" x14ac:dyDescent="0.4">
      <c r="C295" s="65"/>
      <c r="D295" s="66"/>
      <c r="E295" s="66"/>
      <c r="F295" s="66"/>
      <c r="G295" s="66"/>
      <c r="H295" s="66"/>
      <c r="I295" s="66"/>
      <c r="J295" s="66"/>
      <c r="K295" s="66"/>
      <c r="L295" s="66"/>
      <c r="M295" s="66"/>
      <c r="N295" s="66"/>
      <c r="O295" s="66"/>
      <c r="P295" s="66"/>
      <c r="Q295" s="66"/>
      <c r="R295" s="66"/>
      <c r="S295" s="66"/>
      <c r="T295" s="66"/>
      <c r="U295" s="66"/>
      <c r="V295" s="66"/>
      <c r="W295" s="66"/>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67"/>
    </row>
    <row r="296" spans="3:70" ht="18.95" customHeight="1" x14ac:dyDescent="0.4">
      <c r="C296" s="68"/>
      <c r="D296" s="74" t="str">
        <f>IF([10]回答表!R50="●",[10]回答表!B511,"")</f>
        <v>　現行の経営体制・手法で健全な事業運営が実施できているため。
　現状の事業規模と将来的な規模拡大の可能性を鑑み、抜本的な改革の検討に至らないため。</v>
      </c>
      <c r="E296" s="75"/>
      <c r="F296" s="75"/>
      <c r="G296" s="75"/>
      <c r="H296" s="75"/>
      <c r="I296" s="75"/>
      <c r="J296" s="75"/>
      <c r="K296" s="75"/>
      <c r="L296" s="75"/>
      <c r="M296" s="75"/>
      <c r="N296" s="75"/>
      <c r="O296" s="75"/>
      <c r="P296" s="75"/>
      <c r="Q296" s="75"/>
      <c r="R296" s="75"/>
      <c r="S296" s="75"/>
      <c r="T296" s="75"/>
      <c r="U296" s="75"/>
      <c r="V296" s="75"/>
      <c r="W296" s="75"/>
      <c r="X296" s="75"/>
      <c r="Y296" s="75"/>
      <c r="Z296" s="75"/>
      <c r="AA296" s="75"/>
      <c r="AB296" s="75"/>
      <c r="AC296" s="75"/>
      <c r="AD296" s="75"/>
      <c r="AE296" s="75"/>
      <c r="AF296" s="75"/>
      <c r="AG296" s="75"/>
      <c r="AH296" s="75"/>
      <c r="AI296" s="75"/>
      <c r="AJ296" s="75"/>
      <c r="AK296" s="75"/>
      <c r="AL296" s="75"/>
      <c r="AM296" s="75"/>
      <c r="AN296" s="75"/>
      <c r="AO296" s="75"/>
      <c r="AP296" s="75"/>
      <c r="AQ296" s="75"/>
      <c r="AR296" s="75"/>
      <c r="AS296" s="75"/>
      <c r="AT296" s="75"/>
      <c r="AU296" s="75"/>
      <c r="AV296" s="75"/>
      <c r="AW296" s="75"/>
      <c r="AX296" s="75"/>
      <c r="AY296" s="75"/>
      <c r="AZ296" s="75"/>
      <c r="BA296" s="75"/>
      <c r="BB296" s="75"/>
      <c r="BC296" s="75"/>
      <c r="BD296" s="75"/>
      <c r="BE296" s="75"/>
      <c r="BF296" s="75"/>
      <c r="BG296" s="75"/>
      <c r="BH296" s="75"/>
      <c r="BI296" s="75"/>
      <c r="BJ296" s="75"/>
      <c r="BK296" s="75"/>
      <c r="BL296" s="75"/>
      <c r="BM296" s="75"/>
      <c r="BN296" s="75"/>
      <c r="BO296" s="75"/>
      <c r="BP296" s="75"/>
      <c r="BQ296" s="76"/>
      <c r="BR296" s="69"/>
    </row>
    <row r="297" spans="3:70" ht="23.45" customHeight="1" x14ac:dyDescent="0.4">
      <c r="C297" s="68"/>
      <c r="D297" s="77"/>
      <c r="E297" s="78"/>
      <c r="F297" s="78"/>
      <c r="G297" s="78"/>
      <c r="H297" s="78"/>
      <c r="I297" s="78"/>
      <c r="J297" s="78"/>
      <c r="K297" s="78"/>
      <c r="L297" s="78"/>
      <c r="M297" s="78"/>
      <c r="N297" s="78"/>
      <c r="O297" s="78"/>
      <c r="P297" s="78"/>
      <c r="Q297" s="78"/>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78"/>
      <c r="AQ297" s="78"/>
      <c r="AR297" s="78"/>
      <c r="AS297" s="78"/>
      <c r="AT297" s="78"/>
      <c r="AU297" s="78"/>
      <c r="AV297" s="78"/>
      <c r="AW297" s="78"/>
      <c r="AX297" s="78"/>
      <c r="AY297" s="78"/>
      <c r="AZ297" s="78"/>
      <c r="BA297" s="78"/>
      <c r="BB297" s="78"/>
      <c r="BC297" s="78"/>
      <c r="BD297" s="78"/>
      <c r="BE297" s="78"/>
      <c r="BF297" s="78"/>
      <c r="BG297" s="78"/>
      <c r="BH297" s="78"/>
      <c r="BI297" s="78"/>
      <c r="BJ297" s="78"/>
      <c r="BK297" s="78"/>
      <c r="BL297" s="78"/>
      <c r="BM297" s="78"/>
      <c r="BN297" s="78"/>
      <c r="BO297" s="78"/>
      <c r="BP297" s="78"/>
      <c r="BQ297" s="79"/>
      <c r="BR297" s="69"/>
    </row>
    <row r="298" spans="3:70" ht="23.45" customHeight="1" x14ac:dyDescent="0.4">
      <c r="C298" s="68"/>
      <c r="D298" s="77"/>
      <c r="E298" s="78"/>
      <c r="F298" s="78"/>
      <c r="G298" s="78"/>
      <c r="H298" s="78"/>
      <c r="I298" s="78"/>
      <c r="J298" s="78"/>
      <c r="K298" s="78"/>
      <c r="L298" s="78"/>
      <c r="M298" s="78"/>
      <c r="N298" s="78"/>
      <c r="O298" s="78"/>
      <c r="P298" s="78"/>
      <c r="Q298" s="78"/>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78"/>
      <c r="AQ298" s="78"/>
      <c r="AR298" s="78"/>
      <c r="AS298" s="78"/>
      <c r="AT298" s="78"/>
      <c r="AU298" s="78"/>
      <c r="AV298" s="78"/>
      <c r="AW298" s="78"/>
      <c r="AX298" s="78"/>
      <c r="AY298" s="78"/>
      <c r="AZ298" s="78"/>
      <c r="BA298" s="78"/>
      <c r="BB298" s="78"/>
      <c r="BC298" s="78"/>
      <c r="BD298" s="78"/>
      <c r="BE298" s="78"/>
      <c r="BF298" s="78"/>
      <c r="BG298" s="78"/>
      <c r="BH298" s="78"/>
      <c r="BI298" s="78"/>
      <c r="BJ298" s="78"/>
      <c r="BK298" s="78"/>
      <c r="BL298" s="78"/>
      <c r="BM298" s="78"/>
      <c r="BN298" s="78"/>
      <c r="BO298" s="78"/>
      <c r="BP298" s="78"/>
      <c r="BQ298" s="79"/>
      <c r="BR298" s="69"/>
    </row>
    <row r="299" spans="3:70" ht="23.45" customHeight="1" x14ac:dyDescent="0.4">
      <c r="C299" s="68"/>
      <c r="D299" s="77"/>
      <c r="E299" s="78"/>
      <c r="F299" s="78"/>
      <c r="G299" s="78"/>
      <c r="H299" s="78"/>
      <c r="I299" s="78"/>
      <c r="J299" s="78"/>
      <c r="K299" s="78"/>
      <c r="L299" s="78"/>
      <c r="M299" s="78"/>
      <c r="N299" s="78"/>
      <c r="O299" s="78"/>
      <c r="P299" s="78"/>
      <c r="Q299" s="78"/>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78"/>
      <c r="AQ299" s="78"/>
      <c r="AR299" s="78"/>
      <c r="AS299" s="78"/>
      <c r="AT299" s="78"/>
      <c r="AU299" s="78"/>
      <c r="AV299" s="78"/>
      <c r="AW299" s="78"/>
      <c r="AX299" s="78"/>
      <c r="AY299" s="78"/>
      <c r="AZ299" s="78"/>
      <c r="BA299" s="78"/>
      <c r="BB299" s="78"/>
      <c r="BC299" s="78"/>
      <c r="BD299" s="78"/>
      <c r="BE299" s="78"/>
      <c r="BF299" s="78"/>
      <c r="BG299" s="78"/>
      <c r="BH299" s="78"/>
      <c r="BI299" s="78"/>
      <c r="BJ299" s="78"/>
      <c r="BK299" s="78"/>
      <c r="BL299" s="78"/>
      <c r="BM299" s="78"/>
      <c r="BN299" s="78"/>
      <c r="BO299" s="78"/>
      <c r="BP299" s="78"/>
      <c r="BQ299" s="79"/>
      <c r="BR299" s="69"/>
    </row>
    <row r="300" spans="3:70" ht="23.45" customHeight="1" x14ac:dyDescent="0.4">
      <c r="C300" s="68"/>
      <c r="D300" s="77"/>
      <c r="E300" s="78"/>
      <c r="F300" s="78"/>
      <c r="G300" s="78"/>
      <c r="H300" s="78"/>
      <c r="I300" s="78"/>
      <c r="J300" s="78"/>
      <c r="K300" s="78"/>
      <c r="L300" s="78"/>
      <c r="M300" s="78"/>
      <c r="N300" s="78"/>
      <c r="O300" s="78"/>
      <c r="P300" s="78"/>
      <c r="Q300" s="78"/>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78"/>
      <c r="AQ300" s="78"/>
      <c r="AR300" s="78"/>
      <c r="AS300" s="78"/>
      <c r="AT300" s="78"/>
      <c r="AU300" s="78"/>
      <c r="AV300" s="78"/>
      <c r="AW300" s="78"/>
      <c r="AX300" s="78"/>
      <c r="AY300" s="78"/>
      <c r="AZ300" s="78"/>
      <c r="BA300" s="78"/>
      <c r="BB300" s="78"/>
      <c r="BC300" s="78"/>
      <c r="BD300" s="78"/>
      <c r="BE300" s="78"/>
      <c r="BF300" s="78"/>
      <c r="BG300" s="78"/>
      <c r="BH300" s="78"/>
      <c r="BI300" s="78"/>
      <c r="BJ300" s="78"/>
      <c r="BK300" s="78"/>
      <c r="BL300" s="78"/>
      <c r="BM300" s="78"/>
      <c r="BN300" s="78"/>
      <c r="BO300" s="78"/>
      <c r="BP300" s="78"/>
      <c r="BQ300" s="79"/>
      <c r="BR300" s="69"/>
    </row>
    <row r="301" spans="3:70" ht="23.45" customHeight="1" x14ac:dyDescent="0.4">
      <c r="C301" s="68"/>
      <c r="D301" s="77"/>
      <c r="E301" s="78"/>
      <c r="F301" s="78"/>
      <c r="G301" s="78"/>
      <c r="H301" s="78"/>
      <c r="I301" s="78"/>
      <c r="J301" s="78"/>
      <c r="K301" s="78"/>
      <c r="L301" s="78"/>
      <c r="M301" s="78"/>
      <c r="N301" s="78"/>
      <c r="O301" s="78"/>
      <c r="P301" s="78"/>
      <c r="Q301" s="78"/>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78"/>
      <c r="AQ301" s="78"/>
      <c r="AR301" s="78"/>
      <c r="AS301" s="78"/>
      <c r="AT301" s="78"/>
      <c r="AU301" s="78"/>
      <c r="AV301" s="78"/>
      <c r="AW301" s="78"/>
      <c r="AX301" s="78"/>
      <c r="AY301" s="78"/>
      <c r="AZ301" s="78"/>
      <c r="BA301" s="78"/>
      <c r="BB301" s="78"/>
      <c r="BC301" s="78"/>
      <c r="BD301" s="78"/>
      <c r="BE301" s="78"/>
      <c r="BF301" s="78"/>
      <c r="BG301" s="78"/>
      <c r="BH301" s="78"/>
      <c r="BI301" s="78"/>
      <c r="BJ301" s="78"/>
      <c r="BK301" s="78"/>
      <c r="BL301" s="78"/>
      <c r="BM301" s="78"/>
      <c r="BN301" s="78"/>
      <c r="BO301" s="78"/>
      <c r="BP301" s="78"/>
      <c r="BQ301" s="79"/>
      <c r="BR301" s="69"/>
    </row>
    <row r="302" spans="3:70" ht="23.45" customHeight="1" x14ac:dyDescent="0.4">
      <c r="C302" s="68"/>
      <c r="D302" s="77"/>
      <c r="E302" s="78"/>
      <c r="F302" s="78"/>
      <c r="G302" s="78"/>
      <c r="H302" s="78"/>
      <c r="I302" s="78"/>
      <c r="J302" s="78"/>
      <c r="K302" s="78"/>
      <c r="L302" s="78"/>
      <c r="M302" s="78"/>
      <c r="N302" s="78"/>
      <c r="O302" s="78"/>
      <c r="P302" s="78"/>
      <c r="Q302" s="78"/>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78"/>
      <c r="AQ302" s="78"/>
      <c r="AR302" s="78"/>
      <c r="AS302" s="78"/>
      <c r="AT302" s="78"/>
      <c r="AU302" s="78"/>
      <c r="AV302" s="78"/>
      <c r="AW302" s="78"/>
      <c r="AX302" s="78"/>
      <c r="AY302" s="78"/>
      <c r="AZ302" s="78"/>
      <c r="BA302" s="78"/>
      <c r="BB302" s="78"/>
      <c r="BC302" s="78"/>
      <c r="BD302" s="78"/>
      <c r="BE302" s="78"/>
      <c r="BF302" s="78"/>
      <c r="BG302" s="78"/>
      <c r="BH302" s="78"/>
      <c r="BI302" s="78"/>
      <c r="BJ302" s="78"/>
      <c r="BK302" s="78"/>
      <c r="BL302" s="78"/>
      <c r="BM302" s="78"/>
      <c r="BN302" s="78"/>
      <c r="BO302" s="78"/>
      <c r="BP302" s="78"/>
      <c r="BQ302" s="79"/>
      <c r="BR302" s="69"/>
    </row>
    <row r="303" spans="3:70" ht="23.45" customHeight="1" x14ac:dyDescent="0.4">
      <c r="C303" s="68"/>
      <c r="D303" s="77"/>
      <c r="E303" s="78"/>
      <c r="F303" s="78"/>
      <c r="G303" s="78"/>
      <c r="H303" s="78"/>
      <c r="I303" s="78"/>
      <c r="J303" s="78"/>
      <c r="K303" s="78"/>
      <c r="L303" s="78"/>
      <c r="M303" s="78"/>
      <c r="N303" s="78"/>
      <c r="O303" s="78"/>
      <c r="P303" s="78"/>
      <c r="Q303" s="78"/>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78"/>
      <c r="AQ303" s="78"/>
      <c r="AR303" s="78"/>
      <c r="AS303" s="78"/>
      <c r="AT303" s="78"/>
      <c r="AU303" s="78"/>
      <c r="AV303" s="78"/>
      <c r="AW303" s="78"/>
      <c r="AX303" s="78"/>
      <c r="AY303" s="78"/>
      <c r="AZ303" s="78"/>
      <c r="BA303" s="78"/>
      <c r="BB303" s="78"/>
      <c r="BC303" s="78"/>
      <c r="BD303" s="78"/>
      <c r="BE303" s="78"/>
      <c r="BF303" s="78"/>
      <c r="BG303" s="78"/>
      <c r="BH303" s="78"/>
      <c r="BI303" s="78"/>
      <c r="BJ303" s="78"/>
      <c r="BK303" s="78"/>
      <c r="BL303" s="78"/>
      <c r="BM303" s="78"/>
      <c r="BN303" s="78"/>
      <c r="BO303" s="78"/>
      <c r="BP303" s="78"/>
      <c r="BQ303" s="79"/>
      <c r="BR303" s="69"/>
    </row>
    <row r="304" spans="3:70" ht="23.45" customHeight="1" x14ac:dyDescent="0.4">
      <c r="C304" s="68"/>
      <c r="D304" s="77"/>
      <c r="E304" s="78"/>
      <c r="F304" s="78"/>
      <c r="G304" s="78"/>
      <c r="H304" s="78"/>
      <c r="I304" s="78"/>
      <c r="J304" s="78"/>
      <c r="K304" s="78"/>
      <c r="L304" s="78"/>
      <c r="M304" s="78"/>
      <c r="N304" s="78"/>
      <c r="O304" s="78"/>
      <c r="P304" s="78"/>
      <c r="Q304" s="78"/>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78"/>
      <c r="AQ304" s="78"/>
      <c r="AR304" s="78"/>
      <c r="AS304" s="78"/>
      <c r="AT304" s="78"/>
      <c r="AU304" s="78"/>
      <c r="AV304" s="78"/>
      <c r="AW304" s="78"/>
      <c r="AX304" s="78"/>
      <c r="AY304" s="78"/>
      <c r="AZ304" s="78"/>
      <c r="BA304" s="78"/>
      <c r="BB304" s="78"/>
      <c r="BC304" s="78"/>
      <c r="BD304" s="78"/>
      <c r="BE304" s="78"/>
      <c r="BF304" s="78"/>
      <c r="BG304" s="78"/>
      <c r="BH304" s="78"/>
      <c r="BI304" s="78"/>
      <c r="BJ304" s="78"/>
      <c r="BK304" s="78"/>
      <c r="BL304" s="78"/>
      <c r="BM304" s="78"/>
      <c r="BN304" s="78"/>
      <c r="BO304" s="78"/>
      <c r="BP304" s="78"/>
      <c r="BQ304" s="79"/>
      <c r="BR304" s="69"/>
    </row>
    <row r="305" spans="3:70" ht="23.45" customHeight="1" x14ac:dyDescent="0.4">
      <c r="C305" s="68"/>
      <c r="D305" s="77"/>
      <c r="E305" s="78"/>
      <c r="F305" s="78"/>
      <c r="G305" s="78"/>
      <c r="H305" s="78"/>
      <c r="I305" s="78"/>
      <c r="J305" s="78"/>
      <c r="K305" s="78"/>
      <c r="L305" s="78"/>
      <c r="M305" s="78"/>
      <c r="N305" s="78"/>
      <c r="O305" s="78"/>
      <c r="P305" s="78"/>
      <c r="Q305" s="78"/>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78"/>
      <c r="AQ305" s="78"/>
      <c r="AR305" s="78"/>
      <c r="AS305" s="78"/>
      <c r="AT305" s="78"/>
      <c r="AU305" s="78"/>
      <c r="AV305" s="78"/>
      <c r="AW305" s="78"/>
      <c r="AX305" s="78"/>
      <c r="AY305" s="78"/>
      <c r="AZ305" s="78"/>
      <c r="BA305" s="78"/>
      <c r="BB305" s="78"/>
      <c r="BC305" s="78"/>
      <c r="BD305" s="78"/>
      <c r="BE305" s="78"/>
      <c r="BF305" s="78"/>
      <c r="BG305" s="78"/>
      <c r="BH305" s="78"/>
      <c r="BI305" s="78"/>
      <c r="BJ305" s="78"/>
      <c r="BK305" s="78"/>
      <c r="BL305" s="78"/>
      <c r="BM305" s="78"/>
      <c r="BN305" s="78"/>
      <c r="BO305" s="78"/>
      <c r="BP305" s="78"/>
      <c r="BQ305" s="79"/>
      <c r="BR305" s="69"/>
    </row>
    <row r="306" spans="3:70" ht="23.45" customHeight="1" x14ac:dyDescent="0.4">
      <c r="C306" s="68"/>
      <c r="D306" s="77"/>
      <c r="E306" s="78"/>
      <c r="F306" s="78"/>
      <c r="G306" s="78"/>
      <c r="H306" s="78"/>
      <c r="I306" s="78"/>
      <c r="J306" s="78"/>
      <c r="K306" s="78"/>
      <c r="L306" s="78"/>
      <c r="M306" s="78"/>
      <c r="N306" s="78"/>
      <c r="O306" s="78"/>
      <c r="P306" s="78"/>
      <c r="Q306" s="78"/>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78"/>
      <c r="AQ306" s="78"/>
      <c r="AR306" s="78"/>
      <c r="AS306" s="78"/>
      <c r="AT306" s="78"/>
      <c r="AU306" s="78"/>
      <c r="AV306" s="78"/>
      <c r="AW306" s="78"/>
      <c r="AX306" s="78"/>
      <c r="AY306" s="78"/>
      <c r="AZ306" s="78"/>
      <c r="BA306" s="78"/>
      <c r="BB306" s="78"/>
      <c r="BC306" s="78"/>
      <c r="BD306" s="78"/>
      <c r="BE306" s="78"/>
      <c r="BF306" s="78"/>
      <c r="BG306" s="78"/>
      <c r="BH306" s="78"/>
      <c r="BI306" s="78"/>
      <c r="BJ306" s="78"/>
      <c r="BK306" s="78"/>
      <c r="BL306" s="78"/>
      <c r="BM306" s="78"/>
      <c r="BN306" s="78"/>
      <c r="BO306" s="78"/>
      <c r="BP306" s="78"/>
      <c r="BQ306" s="79"/>
      <c r="BR306" s="69"/>
    </row>
    <row r="307" spans="3:70" ht="23.45" customHeight="1" x14ac:dyDescent="0.4">
      <c r="C307" s="68"/>
      <c r="D307" s="77"/>
      <c r="E307" s="78"/>
      <c r="F307" s="78"/>
      <c r="G307" s="78"/>
      <c r="H307" s="78"/>
      <c r="I307" s="78"/>
      <c r="J307" s="78"/>
      <c r="K307" s="78"/>
      <c r="L307" s="78"/>
      <c r="M307" s="78"/>
      <c r="N307" s="78"/>
      <c r="O307" s="78"/>
      <c r="P307" s="78"/>
      <c r="Q307" s="78"/>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78"/>
      <c r="AQ307" s="78"/>
      <c r="AR307" s="78"/>
      <c r="AS307" s="78"/>
      <c r="AT307" s="78"/>
      <c r="AU307" s="78"/>
      <c r="AV307" s="78"/>
      <c r="AW307" s="78"/>
      <c r="AX307" s="78"/>
      <c r="AY307" s="78"/>
      <c r="AZ307" s="78"/>
      <c r="BA307" s="78"/>
      <c r="BB307" s="78"/>
      <c r="BC307" s="78"/>
      <c r="BD307" s="78"/>
      <c r="BE307" s="78"/>
      <c r="BF307" s="78"/>
      <c r="BG307" s="78"/>
      <c r="BH307" s="78"/>
      <c r="BI307" s="78"/>
      <c r="BJ307" s="78"/>
      <c r="BK307" s="78"/>
      <c r="BL307" s="78"/>
      <c r="BM307" s="78"/>
      <c r="BN307" s="78"/>
      <c r="BO307" s="78"/>
      <c r="BP307" s="78"/>
      <c r="BQ307" s="79"/>
      <c r="BR307" s="69"/>
    </row>
    <row r="308" spans="3:70" ht="23.45" customHeight="1" x14ac:dyDescent="0.4">
      <c r="C308" s="68"/>
      <c r="D308" s="77"/>
      <c r="E308" s="78"/>
      <c r="F308" s="78"/>
      <c r="G308" s="78"/>
      <c r="H308" s="78"/>
      <c r="I308" s="78"/>
      <c r="J308" s="78"/>
      <c r="K308" s="78"/>
      <c r="L308" s="78"/>
      <c r="M308" s="78"/>
      <c r="N308" s="78"/>
      <c r="O308" s="78"/>
      <c r="P308" s="78"/>
      <c r="Q308" s="78"/>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78"/>
      <c r="AQ308" s="78"/>
      <c r="AR308" s="78"/>
      <c r="AS308" s="78"/>
      <c r="AT308" s="78"/>
      <c r="AU308" s="78"/>
      <c r="AV308" s="78"/>
      <c r="AW308" s="78"/>
      <c r="AX308" s="78"/>
      <c r="AY308" s="78"/>
      <c r="AZ308" s="78"/>
      <c r="BA308" s="78"/>
      <c r="BB308" s="78"/>
      <c r="BC308" s="78"/>
      <c r="BD308" s="78"/>
      <c r="BE308" s="78"/>
      <c r="BF308" s="78"/>
      <c r="BG308" s="78"/>
      <c r="BH308" s="78"/>
      <c r="BI308" s="78"/>
      <c r="BJ308" s="78"/>
      <c r="BK308" s="78"/>
      <c r="BL308" s="78"/>
      <c r="BM308" s="78"/>
      <c r="BN308" s="78"/>
      <c r="BO308" s="78"/>
      <c r="BP308" s="78"/>
      <c r="BQ308" s="79"/>
      <c r="BR308" s="69"/>
    </row>
    <row r="309" spans="3:70" ht="23.45" customHeight="1" x14ac:dyDescent="0.4">
      <c r="C309" s="68"/>
      <c r="D309" s="77"/>
      <c r="E309" s="78"/>
      <c r="F309" s="78"/>
      <c r="G309" s="78"/>
      <c r="H309" s="78"/>
      <c r="I309" s="78"/>
      <c r="J309" s="78"/>
      <c r="K309" s="78"/>
      <c r="L309" s="78"/>
      <c r="M309" s="78"/>
      <c r="N309" s="78"/>
      <c r="O309" s="78"/>
      <c r="P309" s="78"/>
      <c r="Q309" s="78"/>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c r="BP309" s="78"/>
      <c r="BQ309" s="79"/>
      <c r="BR309" s="69"/>
    </row>
    <row r="310" spans="3:70" ht="23.45" customHeight="1" x14ac:dyDescent="0.4">
      <c r="C310" s="68"/>
      <c r="D310" s="77"/>
      <c r="E310" s="78"/>
      <c r="F310" s="78"/>
      <c r="G310" s="78"/>
      <c r="H310" s="78"/>
      <c r="I310" s="78"/>
      <c r="J310" s="78"/>
      <c r="K310" s="78"/>
      <c r="L310" s="78"/>
      <c r="M310" s="78"/>
      <c r="N310" s="78"/>
      <c r="O310" s="78"/>
      <c r="P310" s="78"/>
      <c r="Q310" s="78"/>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78"/>
      <c r="AQ310" s="78"/>
      <c r="AR310" s="78"/>
      <c r="AS310" s="78"/>
      <c r="AT310" s="78"/>
      <c r="AU310" s="78"/>
      <c r="AV310" s="78"/>
      <c r="AW310" s="78"/>
      <c r="AX310" s="78"/>
      <c r="AY310" s="78"/>
      <c r="AZ310" s="78"/>
      <c r="BA310" s="78"/>
      <c r="BB310" s="78"/>
      <c r="BC310" s="78"/>
      <c r="BD310" s="78"/>
      <c r="BE310" s="78"/>
      <c r="BF310" s="78"/>
      <c r="BG310" s="78"/>
      <c r="BH310" s="78"/>
      <c r="BI310" s="78"/>
      <c r="BJ310" s="78"/>
      <c r="BK310" s="78"/>
      <c r="BL310" s="78"/>
      <c r="BM310" s="78"/>
      <c r="BN310" s="78"/>
      <c r="BO310" s="78"/>
      <c r="BP310" s="78"/>
      <c r="BQ310" s="79"/>
      <c r="BR310" s="69"/>
    </row>
    <row r="311" spans="3:70" ht="23.45" customHeight="1" x14ac:dyDescent="0.4">
      <c r="C311" s="68"/>
      <c r="D311" s="77"/>
      <c r="E311" s="78"/>
      <c r="F311" s="78"/>
      <c r="G311" s="78"/>
      <c r="H311" s="78"/>
      <c r="I311" s="78"/>
      <c r="J311" s="78"/>
      <c r="K311" s="78"/>
      <c r="L311" s="78"/>
      <c r="M311" s="78"/>
      <c r="N311" s="78"/>
      <c r="O311" s="78"/>
      <c r="P311" s="78"/>
      <c r="Q311" s="78"/>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78"/>
      <c r="AQ311" s="78"/>
      <c r="AR311" s="78"/>
      <c r="AS311" s="78"/>
      <c r="AT311" s="78"/>
      <c r="AU311" s="78"/>
      <c r="AV311" s="78"/>
      <c r="AW311" s="78"/>
      <c r="AX311" s="78"/>
      <c r="AY311" s="78"/>
      <c r="AZ311" s="78"/>
      <c r="BA311" s="78"/>
      <c r="BB311" s="78"/>
      <c r="BC311" s="78"/>
      <c r="BD311" s="78"/>
      <c r="BE311" s="78"/>
      <c r="BF311" s="78"/>
      <c r="BG311" s="78"/>
      <c r="BH311" s="78"/>
      <c r="BI311" s="78"/>
      <c r="BJ311" s="78"/>
      <c r="BK311" s="78"/>
      <c r="BL311" s="78"/>
      <c r="BM311" s="78"/>
      <c r="BN311" s="78"/>
      <c r="BO311" s="78"/>
      <c r="BP311" s="78"/>
      <c r="BQ311" s="79"/>
      <c r="BR311" s="69"/>
    </row>
    <row r="312" spans="3:70" ht="23.45" customHeight="1" x14ac:dyDescent="0.4">
      <c r="C312" s="68"/>
      <c r="D312" s="77"/>
      <c r="E312" s="78"/>
      <c r="F312" s="78"/>
      <c r="G312" s="78"/>
      <c r="H312" s="78"/>
      <c r="I312" s="78"/>
      <c r="J312" s="78"/>
      <c r="K312" s="78"/>
      <c r="L312" s="78"/>
      <c r="M312" s="78"/>
      <c r="N312" s="78"/>
      <c r="O312" s="78"/>
      <c r="P312" s="78"/>
      <c r="Q312" s="78"/>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78"/>
      <c r="AQ312" s="78"/>
      <c r="AR312" s="78"/>
      <c r="AS312" s="78"/>
      <c r="AT312" s="78"/>
      <c r="AU312" s="78"/>
      <c r="AV312" s="78"/>
      <c r="AW312" s="78"/>
      <c r="AX312" s="78"/>
      <c r="AY312" s="78"/>
      <c r="AZ312" s="78"/>
      <c r="BA312" s="78"/>
      <c r="BB312" s="78"/>
      <c r="BC312" s="78"/>
      <c r="BD312" s="78"/>
      <c r="BE312" s="78"/>
      <c r="BF312" s="78"/>
      <c r="BG312" s="78"/>
      <c r="BH312" s="78"/>
      <c r="BI312" s="78"/>
      <c r="BJ312" s="78"/>
      <c r="BK312" s="78"/>
      <c r="BL312" s="78"/>
      <c r="BM312" s="78"/>
      <c r="BN312" s="78"/>
      <c r="BO312" s="78"/>
      <c r="BP312" s="78"/>
      <c r="BQ312" s="79"/>
      <c r="BR312" s="69"/>
    </row>
    <row r="313" spans="3:70" ht="23.45" customHeight="1" x14ac:dyDescent="0.4">
      <c r="C313" s="68"/>
      <c r="D313" s="77"/>
      <c r="E313" s="78"/>
      <c r="F313" s="78"/>
      <c r="G313" s="78"/>
      <c r="H313" s="78"/>
      <c r="I313" s="78"/>
      <c r="J313" s="78"/>
      <c r="K313" s="78"/>
      <c r="L313" s="78"/>
      <c r="M313" s="78"/>
      <c r="N313" s="78"/>
      <c r="O313" s="78"/>
      <c r="P313" s="78"/>
      <c r="Q313" s="78"/>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78"/>
      <c r="AQ313" s="78"/>
      <c r="AR313" s="78"/>
      <c r="AS313" s="78"/>
      <c r="AT313" s="78"/>
      <c r="AU313" s="78"/>
      <c r="AV313" s="78"/>
      <c r="AW313" s="78"/>
      <c r="AX313" s="78"/>
      <c r="AY313" s="78"/>
      <c r="AZ313" s="78"/>
      <c r="BA313" s="78"/>
      <c r="BB313" s="78"/>
      <c r="BC313" s="78"/>
      <c r="BD313" s="78"/>
      <c r="BE313" s="78"/>
      <c r="BF313" s="78"/>
      <c r="BG313" s="78"/>
      <c r="BH313" s="78"/>
      <c r="BI313" s="78"/>
      <c r="BJ313" s="78"/>
      <c r="BK313" s="78"/>
      <c r="BL313" s="78"/>
      <c r="BM313" s="78"/>
      <c r="BN313" s="78"/>
      <c r="BO313" s="78"/>
      <c r="BP313" s="78"/>
      <c r="BQ313" s="79"/>
      <c r="BR313" s="69"/>
    </row>
    <row r="314" spans="3:70" ht="23.45" customHeight="1" x14ac:dyDescent="0.4">
      <c r="C314" s="68"/>
      <c r="D314" s="80"/>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2"/>
      <c r="BR314" s="37"/>
    </row>
    <row r="315" spans="3:70" ht="12.6" customHeight="1" x14ac:dyDescent="0.4">
      <c r="C315" s="70"/>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2"/>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工業用水道</vt:lpstr>
      <vt:lpstr>簡易水道</vt:lpstr>
      <vt:lpstr>病院</vt:lpstr>
      <vt:lpstr>下水道（公共下水道）</vt:lpstr>
      <vt:lpstr>下水道（特定環境保全公共下水道）</vt:lpstr>
      <vt:lpstr>下水道（農業集落排水施設）</vt:lpstr>
      <vt:lpstr>下水道（特定地域排水処理施設）</vt:lpstr>
      <vt:lpstr>市場</vt:lpstr>
      <vt:lpstr>介護サービス（指定介護老人福祉施設）</vt:lpstr>
      <vt:lpstr>介護サービス（老人短期入所施設）</vt:lpstr>
      <vt:lpstr>介護サービス（老人デイサービスセンター）</vt:lpstr>
      <vt:lpstr>駐車場</vt:lpstr>
      <vt:lpstr>'下水道（公共下水道）'!Print_Area</vt:lpstr>
      <vt:lpstr>'下水道（特定環境保全公共下水道）'!Print_Area</vt:lpstr>
      <vt:lpstr>'下水道（特定地域排水処理施設）'!Print_Area</vt:lpstr>
      <vt:lpstr>'下水道（農業集落排水施設）'!Print_Area</vt:lpstr>
      <vt:lpstr>'介護サービス（指定介護老人福祉施設）'!Print_Area</vt:lpstr>
      <vt:lpstr>'介護サービス（老人デイサービスセンター）'!Print_Area</vt:lpstr>
      <vt:lpstr>'介護サービス（老人短期入所施設）'!Print_Area</vt:lpstr>
      <vt:lpstr>簡易水道!Print_Area</vt:lpstr>
      <vt:lpstr>工業用水道!Print_Area</vt:lpstr>
      <vt:lpstr>市場!Print_Area</vt:lpstr>
      <vt:lpstr>水道!Print_Area</vt:lpstr>
      <vt:lpstr>駐車場!Print_Area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2021-10-22T01:05:45Z</dcterms:created>
  <dcterms:modified xsi:type="dcterms:W3CDTF">2021-10-29T08:57:39Z</dcterms:modified>
</cp:coreProperties>
</file>