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13_ncr:1_{F9569A86-EB46-417A-BB71-0BE33A3C41BA}" xr6:coauthVersionLast="46" xr6:coauthVersionMax="46" xr10:uidLastSave="{00000000-0000-0000-0000-000000000000}"/>
  <bookViews>
    <workbookView xWindow="3855" yWindow="3855" windowWidth="13650" windowHeight="10890" xr2:uid="{A891AC67-444C-4297-A9FB-B58BAD3EE940}"/>
  </bookViews>
  <sheets>
    <sheet name="水道" sheetId="1" r:id="rId1"/>
    <sheet name="簡易水道（法適用）" sheetId="3" r:id="rId2"/>
    <sheet name="簡易水道（法非適用）" sheetId="4" r:id="rId3"/>
    <sheet name="下水道（公共下水道）" sheetId="5" r:id="rId4"/>
    <sheet name="下水道（農業集落排水施設）" sheetId="6" r:id="rId5"/>
    <sheet name="下水道（特定地域排水処理施設）" sheetId="7" r:id="rId6"/>
    <sheet name="介護サービス"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3">'下水道（公共下水道）'!$A$1:$BS$315</definedName>
    <definedName name="_xlnm.Print_Area" localSheetId="5">'下水道（特定地域排水処理施設）'!$A$1:$BS$315</definedName>
    <definedName name="_xlnm.Print_Area" localSheetId="4">'下水道（農業集落排水施設）'!$A$1:$BS$315</definedName>
    <definedName name="_xlnm.Print_Area" localSheetId="6">介護サービス!$A$1:$BS$315</definedName>
    <definedName name="_xlnm.Print_Area" localSheetId="1">'簡易水道（法適用）'!$A$1:$BS$315</definedName>
    <definedName name="_xlnm.Print_Area" localSheetId="2">'簡易水道（法非適用）'!$A$1:$BS$315</definedName>
    <definedName name="_xlnm.Print_Area" localSheetId="0">水道!$A$1:$BS$315</definedName>
    <definedName name="業種名" localSheetId="3">[1]選択肢!$K$2:$K$19</definedName>
    <definedName name="業種名" localSheetId="5">[2]選択肢!$K$2:$K$19</definedName>
    <definedName name="業種名" localSheetId="4">[3]選択肢!$K$2:$K$19</definedName>
    <definedName name="業種名" localSheetId="6">[4]選択肢!$K$2:$K$19</definedName>
    <definedName name="業種名" localSheetId="1">[5]選択肢!$K$2:$K$19</definedName>
    <definedName name="業種名" localSheetId="2">[6]選択肢!$K$2:$K$19</definedName>
    <definedName name="業種名">[7]選択肢!$K$2:$K$19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8" l="1"/>
  <c r="AM283" i="8"/>
  <c r="U283" i="8"/>
  <c r="N283" i="8"/>
  <c r="N277" i="8"/>
  <c r="BN274" i="8"/>
  <c r="BJ274" i="8"/>
  <c r="BF274" i="8"/>
  <c r="AU273" i="8"/>
  <c r="AM273" i="8"/>
  <c r="BF271" i="8"/>
  <c r="U271" i="8"/>
  <c r="N271" i="8"/>
  <c r="AM260" i="8"/>
  <c r="U260" i="8"/>
  <c r="N260" i="8"/>
  <c r="AY256" i="8"/>
  <c r="AQ256" i="8"/>
  <c r="AQ254" i="8"/>
  <c r="N254" i="8"/>
  <c r="AY253" i="8"/>
  <c r="AQ252" i="8"/>
  <c r="BN251" i="8"/>
  <c r="BJ251" i="8"/>
  <c r="BF251" i="8"/>
  <c r="AQ250" i="8"/>
  <c r="BF248" i="8"/>
  <c r="AY248" i="8"/>
  <c r="AQ248" i="8"/>
  <c r="U248" i="8"/>
  <c r="N248" i="8"/>
  <c r="AM236" i="8"/>
  <c r="U236" i="8"/>
  <c r="N236" i="8"/>
  <c r="N230" i="8"/>
  <c r="BN227" i="8"/>
  <c r="BJ227" i="8"/>
  <c r="BF227" i="8"/>
  <c r="BF224" i="8"/>
  <c r="AN224" i="8"/>
  <c r="U224" i="8"/>
  <c r="N224" i="8"/>
  <c r="AM212" i="8"/>
  <c r="U212" i="8"/>
  <c r="N212" i="8"/>
  <c r="N206" i="8"/>
  <c r="BN203" i="8"/>
  <c r="BJ203" i="8"/>
  <c r="BF203" i="8"/>
  <c r="AU203" i="8"/>
  <c r="AM203" i="8"/>
  <c r="BF200" i="8"/>
  <c r="U200" i="8"/>
  <c r="N200" i="8"/>
  <c r="AM188" i="8"/>
  <c r="U188" i="8"/>
  <c r="N188" i="8"/>
  <c r="N182" i="8"/>
  <c r="AU179" i="8"/>
  <c r="AQ179" i="8"/>
  <c r="AM179" i="8"/>
  <c r="AM176" i="8"/>
  <c r="U176" i="8"/>
  <c r="N176" i="8"/>
  <c r="AM164" i="8"/>
  <c r="U164" i="8"/>
  <c r="N164" i="8"/>
  <c r="AK159" i="8"/>
  <c r="AC159" i="8"/>
  <c r="U159" i="8"/>
  <c r="N158" i="8"/>
  <c r="BA153" i="8"/>
  <c r="AS153" i="8"/>
  <c r="AK153" i="8"/>
  <c r="AC153" i="8"/>
  <c r="U153" i="8"/>
  <c r="AC147" i="8"/>
  <c r="U147" i="8"/>
  <c r="BX142" i="8"/>
  <c r="BN142" i="8"/>
  <c r="BJ142" i="8"/>
  <c r="BF142" i="8"/>
  <c r="U141" i="8"/>
  <c r="BF139" i="8"/>
  <c r="AM139" i="8"/>
  <c r="N139" i="8"/>
  <c r="AM127" i="8"/>
  <c r="U127" i="8"/>
  <c r="N127" i="8"/>
  <c r="AY122" i="8"/>
  <c r="AS122" i="8"/>
  <c r="AM122" i="8"/>
  <c r="U122" i="8"/>
  <c r="N119" i="8"/>
  <c r="U117" i="8"/>
  <c r="BN113" i="8"/>
  <c r="BJ113" i="8"/>
  <c r="BF113" i="8"/>
  <c r="U112" i="8"/>
  <c r="N112" i="8"/>
  <c r="BF110" i="8"/>
  <c r="AM110" i="8"/>
  <c r="AM98" i="8"/>
  <c r="U98" i="8"/>
  <c r="N98" i="8"/>
  <c r="AC93" i="8"/>
  <c r="U93" i="8"/>
  <c r="N92" i="8"/>
  <c r="BN89" i="8"/>
  <c r="BJ89" i="8"/>
  <c r="BF89" i="8"/>
  <c r="AC88" i="8"/>
  <c r="U88" i="8"/>
  <c r="BF86" i="8"/>
  <c r="AM86" i="8"/>
  <c r="N86" i="8"/>
  <c r="AM74" i="8"/>
  <c r="U74" i="8"/>
  <c r="N74" i="8"/>
  <c r="N68" i="8"/>
  <c r="BN65" i="8"/>
  <c r="BJ65" i="8"/>
  <c r="BF65" i="8"/>
  <c r="AU65" i="8"/>
  <c r="AM65" i="8"/>
  <c r="BF62" i="8"/>
  <c r="U62" i="8"/>
  <c r="N62" i="8"/>
  <c r="AM51" i="8"/>
  <c r="U51" i="8"/>
  <c r="N51" i="8"/>
  <c r="AM47" i="8"/>
  <c r="AM46" i="8"/>
  <c r="AM45" i="8"/>
  <c r="AM44" i="8"/>
  <c r="N44" i="8"/>
  <c r="AM43" i="8"/>
  <c r="AM42" i="8"/>
  <c r="BN39" i="8"/>
  <c r="BJ39" i="8"/>
  <c r="BF39" i="8"/>
  <c r="AU38" i="8"/>
  <c r="AM38" i="8"/>
  <c r="BF36" i="8"/>
  <c r="U36" i="8"/>
  <c r="N36" i="8"/>
  <c r="BB24" i="8"/>
  <c r="AT24" i="8"/>
  <c r="AM24" i="8"/>
  <c r="AF24" i="8"/>
  <c r="Y24" i="8"/>
  <c r="R24" i="8"/>
  <c r="K24" i="8"/>
  <c r="D24" i="8"/>
  <c r="BG11" i="8"/>
  <c r="AO11" i="8"/>
  <c r="U11" i="8"/>
  <c r="C11" i="8"/>
  <c r="D296" i="7" l="1"/>
  <c r="AM283" i="7"/>
  <c r="U283" i="7"/>
  <c r="N283" i="7"/>
  <c r="N277" i="7"/>
  <c r="BN274" i="7"/>
  <c r="BJ274" i="7"/>
  <c r="BF274" i="7"/>
  <c r="AU273" i="7"/>
  <c r="AM273" i="7"/>
  <c r="BF271" i="7"/>
  <c r="U271" i="7"/>
  <c r="N271" i="7"/>
  <c r="AM260" i="7"/>
  <c r="U260" i="7"/>
  <c r="N260" i="7"/>
  <c r="AY256" i="7"/>
  <c r="AQ256" i="7"/>
  <c r="AQ254" i="7"/>
  <c r="N254" i="7"/>
  <c r="AY253" i="7"/>
  <c r="AQ252" i="7"/>
  <c r="BN251" i="7"/>
  <c r="BJ251" i="7"/>
  <c r="BF251" i="7"/>
  <c r="AQ250" i="7"/>
  <c r="BF248" i="7"/>
  <c r="AY248" i="7"/>
  <c r="AQ248" i="7"/>
  <c r="U248" i="7"/>
  <c r="N248" i="7"/>
  <c r="AM236" i="7"/>
  <c r="U236" i="7"/>
  <c r="N236" i="7"/>
  <c r="N230" i="7"/>
  <c r="BN227" i="7"/>
  <c r="BJ227" i="7"/>
  <c r="BF227" i="7"/>
  <c r="BF224" i="7"/>
  <c r="AN224" i="7"/>
  <c r="U224" i="7"/>
  <c r="N224" i="7"/>
  <c r="AM212" i="7"/>
  <c r="U212" i="7"/>
  <c r="N212" i="7"/>
  <c r="N206" i="7"/>
  <c r="BN203" i="7"/>
  <c r="BJ203" i="7"/>
  <c r="BF203" i="7"/>
  <c r="AU203" i="7"/>
  <c r="AM203" i="7"/>
  <c r="BF200" i="7"/>
  <c r="U200" i="7"/>
  <c r="N200" i="7"/>
  <c r="AM188" i="7"/>
  <c r="U188" i="7"/>
  <c r="N188" i="7"/>
  <c r="N182" i="7"/>
  <c r="AU179" i="7"/>
  <c r="AQ179" i="7"/>
  <c r="AM179" i="7"/>
  <c r="AM176" i="7"/>
  <c r="U176" i="7"/>
  <c r="N176" i="7"/>
  <c r="AM164" i="7"/>
  <c r="U164" i="7"/>
  <c r="N164" i="7"/>
  <c r="AK159" i="7"/>
  <c r="AC159" i="7"/>
  <c r="U159" i="7"/>
  <c r="N158" i="7"/>
  <c r="BA153" i="7"/>
  <c r="AS153" i="7"/>
  <c r="AK153" i="7"/>
  <c r="AC153" i="7"/>
  <c r="U153" i="7"/>
  <c r="AC147" i="7"/>
  <c r="U147" i="7"/>
  <c r="BX142" i="7"/>
  <c r="BN142" i="7"/>
  <c r="BJ142" i="7"/>
  <c r="BF142" i="7"/>
  <c r="U141" i="7"/>
  <c r="BF139" i="7"/>
  <c r="AM139" i="7"/>
  <c r="N139" i="7"/>
  <c r="AM127" i="7"/>
  <c r="U127" i="7"/>
  <c r="N127" i="7"/>
  <c r="AY122" i="7"/>
  <c r="AS122" i="7"/>
  <c r="AM122" i="7"/>
  <c r="U122" i="7"/>
  <c r="N119" i="7"/>
  <c r="U117" i="7"/>
  <c r="BN113" i="7"/>
  <c r="BJ113" i="7"/>
  <c r="BF113" i="7"/>
  <c r="U112" i="7"/>
  <c r="N112" i="7"/>
  <c r="BF110" i="7"/>
  <c r="AM110" i="7"/>
  <c r="AM98" i="7"/>
  <c r="U98" i="7"/>
  <c r="N98" i="7"/>
  <c r="AC93" i="7"/>
  <c r="U93" i="7"/>
  <c r="N92" i="7"/>
  <c r="BN89" i="7"/>
  <c r="BJ89" i="7"/>
  <c r="BF89" i="7"/>
  <c r="AC88" i="7"/>
  <c r="U88" i="7"/>
  <c r="BF86" i="7"/>
  <c r="AM86" i="7"/>
  <c r="N86" i="7"/>
  <c r="AM74" i="7"/>
  <c r="U74" i="7"/>
  <c r="N74" i="7"/>
  <c r="N68" i="7"/>
  <c r="BN65" i="7"/>
  <c r="BJ65" i="7"/>
  <c r="BF65" i="7"/>
  <c r="AU65" i="7"/>
  <c r="AM65" i="7"/>
  <c r="BF62" i="7"/>
  <c r="U62" i="7"/>
  <c r="N62" i="7"/>
  <c r="AM51" i="7"/>
  <c r="U51" i="7"/>
  <c r="N51"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296" i="6" l="1"/>
  <c r="AM283" i="6"/>
  <c r="U283" i="6"/>
  <c r="N283" i="6"/>
  <c r="N277" i="6"/>
  <c r="BN274" i="6"/>
  <c r="BJ274" i="6"/>
  <c r="BF274" i="6"/>
  <c r="AU273" i="6"/>
  <c r="AM273" i="6"/>
  <c r="BF271" i="6"/>
  <c r="U271" i="6"/>
  <c r="N271" i="6"/>
  <c r="AM260" i="6"/>
  <c r="U260" i="6"/>
  <c r="N260" i="6"/>
  <c r="AY256" i="6"/>
  <c r="AQ256" i="6"/>
  <c r="AQ254" i="6"/>
  <c r="N254" i="6"/>
  <c r="AY253" i="6"/>
  <c r="AQ252" i="6"/>
  <c r="BN251" i="6"/>
  <c r="BJ251" i="6"/>
  <c r="BF251" i="6"/>
  <c r="AQ250" i="6"/>
  <c r="BF248" i="6"/>
  <c r="AY248" i="6"/>
  <c r="AQ248" i="6"/>
  <c r="U248" i="6"/>
  <c r="N248" i="6"/>
  <c r="AM236" i="6"/>
  <c r="U236" i="6"/>
  <c r="N236" i="6"/>
  <c r="N230" i="6"/>
  <c r="BN227" i="6"/>
  <c r="BJ227" i="6"/>
  <c r="BF227" i="6"/>
  <c r="BF224" i="6"/>
  <c r="AN224" i="6"/>
  <c r="U224" i="6"/>
  <c r="N224" i="6"/>
  <c r="AM212" i="6"/>
  <c r="U212" i="6"/>
  <c r="N212" i="6"/>
  <c r="N206" i="6"/>
  <c r="BN203" i="6"/>
  <c r="BJ203" i="6"/>
  <c r="BF203" i="6"/>
  <c r="AU203" i="6"/>
  <c r="AM203" i="6"/>
  <c r="BF200" i="6"/>
  <c r="U200" i="6"/>
  <c r="N200" i="6"/>
  <c r="AM188" i="6"/>
  <c r="U188" i="6"/>
  <c r="N188" i="6"/>
  <c r="N182" i="6"/>
  <c r="AU179" i="6"/>
  <c r="AQ179" i="6"/>
  <c r="AM179" i="6"/>
  <c r="AM176" i="6"/>
  <c r="U176" i="6"/>
  <c r="N176" i="6"/>
  <c r="AM164" i="6"/>
  <c r="U164" i="6"/>
  <c r="N164" i="6"/>
  <c r="AK159" i="6"/>
  <c r="AC159" i="6"/>
  <c r="U159" i="6"/>
  <c r="N158" i="6"/>
  <c r="BA153" i="6"/>
  <c r="AS153" i="6"/>
  <c r="AK153" i="6"/>
  <c r="AC153" i="6"/>
  <c r="U153" i="6"/>
  <c r="AC147" i="6"/>
  <c r="U147" i="6"/>
  <c r="BX142" i="6"/>
  <c r="BN142" i="6"/>
  <c r="BJ142" i="6"/>
  <c r="BF142" i="6"/>
  <c r="U141" i="6"/>
  <c r="BF139" i="6"/>
  <c r="AM139" i="6"/>
  <c r="N139" i="6"/>
  <c r="AM127" i="6"/>
  <c r="U127" i="6"/>
  <c r="N127" i="6"/>
  <c r="AY122" i="6"/>
  <c r="AS122" i="6"/>
  <c r="AM122" i="6"/>
  <c r="U122" i="6"/>
  <c r="N119" i="6"/>
  <c r="U117" i="6"/>
  <c r="BN113" i="6"/>
  <c r="BJ113" i="6"/>
  <c r="BF113" i="6"/>
  <c r="U112" i="6"/>
  <c r="N112" i="6"/>
  <c r="BF110" i="6"/>
  <c r="AM110" i="6"/>
  <c r="AM98" i="6"/>
  <c r="U98" i="6"/>
  <c r="N98" i="6"/>
  <c r="AC93" i="6"/>
  <c r="U93" i="6"/>
  <c r="N92" i="6"/>
  <c r="BN89" i="6"/>
  <c r="BJ89" i="6"/>
  <c r="BF89" i="6"/>
  <c r="AC88" i="6"/>
  <c r="U88" i="6"/>
  <c r="BF86" i="6"/>
  <c r="AM86" i="6"/>
  <c r="N86" i="6"/>
  <c r="AM74" i="6"/>
  <c r="U74" i="6"/>
  <c r="N74" i="6"/>
  <c r="N68" i="6"/>
  <c r="BN65" i="6"/>
  <c r="BJ65" i="6"/>
  <c r="BF65" i="6"/>
  <c r="AU65" i="6"/>
  <c r="AM65" i="6"/>
  <c r="BF62" i="6"/>
  <c r="U62" i="6"/>
  <c r="N62" i="6"/>
  <c r="AM51" i="6"/>
  <c r="U51" i="6"/>
  <c r="N51"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<sst xmlns="http://schemas.openxmlformats.org/spreadsheetml/2006/main" count="1309" uniqueCount="85">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</sst>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6" fillId="0" borderId="1" xfId="0" quotePrefix="1" applyFont="1" applyBorder="1" applyAlignment="1">
      <alignment horizontal="center" vertical="center" wrapTex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2" borderId="0" xfId="0" applyFont="1" applyFill="1" applyAlignment="1">
      <alignment horizontal="left"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cellXfs>
  <cellStyles count="1">
    <cellStyle name="標準" xfId="0" builtinId="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855A45-506B-43A4-A683-F45BC4115B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77B3C9-8BD1-4E74-9846-6DD59FF12E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065BBD-B863-40E7-B012-883F8C2D75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DA3A625-45AC-4963-8BB0-89597E6DFED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ACEEA22-A674-4194-890F-3DEB9EC52D5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24362F9-AF94-4783-8BCB-34429CA09863}"/>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BEB23AD-D34A-4F3A-9E96-5D755DF9666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A46D6FF9-D0E7-4076-A394-AA12CA04344F}"/>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1974489-D3DF-42E5-90EA-24E82D527EAA}"/>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E696F0B-5AFD-4F0F-8B28-B0587364B65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8B9DD4B2-DEE8-49ED-A4F8-D0F26CD99E9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A8AB6AD-34C7-4CEB-8BEB-340D080479F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0E978157-8ACC-40FA-A638-3D3E1DA36207}"/>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DBA3F36-6AA7-45E4-A9F2-DBF84EC7E40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DC3E2DF0-CEDB-4C0E-AF22-1BE3EEA089E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FDBD1D0-C98F-4FE3-918F-EDC61F3D782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D70ED2FA-91BE-476D-8F5D-8D9A42A1416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77A93EFC-5EC4-45CC-A44D-2E1E0335411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D8A6AA2-2459-46AB-8751-4400837AB253}"/>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321A547A-ED71-4793-8666-4BF89AD0D04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69E7F29-78F4-4AC1-ABF5-08470E48E31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FBF3166-B17E-4839-AD1D-2A4BED056536}"/>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A71F3878-9E04-4CAE-B922-88A3903BCDE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B42843F-A579-465D-812D-E728144E5A68}"/>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E0BA730-04B6-4B49-A596-C8295C1C4146}"/>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5D7544-78F9-4F56-BB9B-95926A5DED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CA5471-288E-4A2C-BBA8-2FCB963A7E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0AB278-07F8-4766-AA42-E70DA0AACE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918C067-CF09-4663-B8A1-E08B9E413EF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C80073E-A6A2-49FC-AB4F-A9C5CDB0B1D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AEF6625-A8F0-4490-BFF7-93E619B5359A}"/>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2795F28-3E0B-4C0B-B8C6-262E02AD819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BB3719E-5F4D-4E99-90D9-2F9D915391E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2CAFC2C-503A-4C7E-8711-F0F8A285C4AA}"/>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E1C1EE9-3D8C-482F-BD97-ECFC38DBFCC2}"/>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BA700C1E-6E2C-4C0C-BEA3-6061EDCC3E3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866C4DC6-8A0D-459F-9AE2-4EE8E056CEF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DF081D5F-891B-427A-A2AC-9C09F9F71B76}"/>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6FD2E9B0-B52E-41D1-9682-8020FC03D2D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DBF1131-0CB7-4E28-B81F-50D16E6533F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7A4D899-BC28-4F24-A92B-AAEB3694C9B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5EF5B63-CC7D-4944-BA78-CF98581F511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0C653E25-5F38-4572-90B5-1250394C41B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F998C7A1-E9AD-4427-895B-4F9FE2A30AB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5ED0530-D245-46B7-A9FF-4AB09E32C4C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A60864C4-BF31-43DE-98F9-4FAF4181E38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A9456C4-06A4-4487-A4C4-8211F4724F4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5593DA5-FE43-41D8-99AE-A94C3531A2E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968E8E2-B3C5-42A3-8FD4-230F09014A5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3B9B61A-FFF4-4138-8925-C10D3EDA0B6A}"/>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6E8409-FC28-405D-A800-F119A7BD4E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F502C5-FD31-4C5D-B32A-BE120C06CA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7B92F2-C6DC-4D77-A3EB-FC6365CC87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6DFCDBC-E334-472D-9FAD-58BA30AA543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AD5F5E7-966F-4E77-8DB3-335584E850D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27D67762-5DA9-4CAC-9C50-FF05026A4C9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5C28A3D-FF3A-434E-9C0E-A891A1A0E821}"/>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2D9A6F7-493A-49C2-9FE5-593F61F8D6C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C9C81F3-4DF8-4C6E-9010-7F97E271442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3743F912-AAB3-4606-942F-B752F4630362}"/>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79C1F4E9-249C-4EF4-9A48-72EFB1198D4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BDFBF5D4-124A-43E9-B2D5-27D5453ED0D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F8AAB94-48DC-4356-9795-C2C1FDC3921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950AF8C-F423-4A07-9DD1-00E132F57A0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3F019BE-F45F-4930-928A-D50A5EF2689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281AD7F3-8F8D-4B5B-B8B1-E2DA205E1EC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A0EEBE92-419C-4FE4-B4E0-D3E06B48748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1A688D66-DA4F-4C49-AAE0-EA174548755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F13CD52-7D83-41D3-8B8E-A9670ED9CBF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23846E4-6AD9-4BB6-B1F5-BBB2BDFE42DA}"/>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61A9A11-4B29-4944-A394-FAFAA2D3E81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116DCB1-F253-4A2C-AA35-36700312BD4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32138DCA-345A-4236-BAA9-3F200C74D9A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E20D1FB0-9CD7-4E17-8348-7C5552057AB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E3AF3825-D975-4C21-827A-BCFD0A78E926}"/>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163EEC-C130-498E-8F77-DE263C9B65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CBB379-02AC-428C-8CDB-9CD3F8E603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72EA6C2-D32D-487B-A623-A347D1C34C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B5138BE-08A7-4C86-A76E-0981CE8FE28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918220-BD4E-4D52-A362-5C94659FD6B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85613723-494E-48CC-A887-CC4060EBE24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855425B7-D9C8-4D11-89BD-BE34DD644FCD}"/>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1F45E376-8CDF-46C7-ADCD-DAF829E5C804}"/>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603CD90-4034-478E-A7FF-949EC0BC622B}"/>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5B84D8D-45DC-4E43-93B1-3BD9F1422E5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35CB540-208E-4012-9DD6-B4D65A3A800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DA0A0AF-9AD8-4665-B5A3-C95948DBD9E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5B39561-42FD-48EF-94C7-14078872D168}"/>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B647141-3633-4589-97A7-40DF5027B01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06D48C7-3A24-4930-951C-6CACAEC40645}"/>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4BE70CC7-2D66-4307-9CDA-EA25972673F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02076928-DA1C-4DD3-8BB4-FBEA6148749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DCE4150-F1CE-47DF-A4F4-3721B019471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7A211666-E6B0-46EA-971B-13A080E6647D}"/>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BA5B4B23-5BEB-423A-AF79-8AC74EBD831B}"/>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9357CEE-4309-43BD-8493-31DEBFA1991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A84B561-2EE2-458A-8FA5-39C2D67F7C3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F1923348-1F1E-4D90-BE59-B7EFA261220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97CFE8D-1B27-493E-BED7-AE8BFEC19C2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E135E9C6-DC52-483C-ABD3-0661FE93269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1AFB4C-E6C0-4EB8-B720-2844F18F36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06B073-32F8-46DF-9586-2B085E584F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08C7B7-EA18-4DF4-B18C-E550A58CB2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9034EE2-7F80-4A92-9A95-2EF133E8CF8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BC4BDFF-9BBC-413F-B4B8-7798DA68214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3BEBB9A-F82E-4087-BD46-8FCA9FB1B9AC}"/>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A439044-EE1D-4BA1-B269-E23B8463254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F6C7EC32-A23E-427C-A6E6-A72D91AA32F3}"/>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86D847F-7F3E-447B-AC24-32335EC0052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31819EBA-33DC-4F30-AF8C-D3FA6F6041A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D08F3B3-5E38-42AE-A7AE-160485F91CD8}"/>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B20B90C7-5B6F-40EB-B1F4-A27D79D0E69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B70F1CE-E88F-4B45-ACC0-3527BE0BB56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AD09CBD4-2451-40A0-B274-AD33E51E77A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3124B8E-9A96-4F0B-B01F-764592A51F4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ADE3262-6A2C-4D21-B639-14C0EB333FC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F8A7B4D-EC45-408E-BD0A-16EB1263E5F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094CD7C9-96EE-45E7-9DF7-C177A8AF439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7244F583-329B-4A67-AE28-B912738CC1E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E69C60D-FE8F-4A1D-81D9-75D4AC7B693B}"/>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36A7007-6833-4D79-85EF-D745F9759CF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AB64F7DC-A5C5-4B53-8201-221F584282A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5FAE265C-60A7-4B0F-A23E-00845FADDB3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1DAB5BDA-B5E9-402A-9428-45F164E5DBE8}"/>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04282077-D833-4144-BFC2-FDDCEA4657CC}"/>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C0E595-7C2B-47B0-83F0-DF7146BFA8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64A584-A988-499A-B53D-793DD24F94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5353DC-AB44-4D73-97D8-36ABD30B36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BE1609F-9715-40CE-96D1-08C4319F27D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8EB38C-41CC-4E69-9469-D885A6DF4F4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8E02CD91-7C31-4AA4-916C-86D7CDE2B672}"/>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F2011454-5B29-485A-8745-B4F7A55B1291}"/>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10C00BAF-4CDF-46F1-84E3-85346A5AF24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AD53FCA-F382-4996-B9D7-6276C426A316}"/>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E8A13E4-84E1-4B83-8206-2323F173155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DE768CC2-20DB-48C0-9BA9-CD3B2B1939D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C88827B-8D55-40D2-AF83-AD0A9E57CE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75306264-A935-45AF-958C-7E704E6BCFF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ECD73FA-0987-4494-B9B3-48BAAE76AE9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87126AAA-1406-45B6-97E1-D961092F3D7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C291459B-DC49-4029-921D-D8EE219C2B3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5CDAB42D-7607-41F7-A8C0-E2138C36388D}"/>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534F667-14A4-4BBF-A4C8-B140AB52678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1A3BD5A-51CE-4633-AC5F-AA8F6234CA06}"/>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7737D33-7341-4314-9974-DCE230887EB7}"/>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C24C8562-84A7-4542-8795-FF72958B2F98}"/>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6D438DA6-B39E-48A6-800A-B7F7100E3871}"/>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A70DADA-AE1E-45A6-91EB-FAD900A84EC7}"/>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2333FEC5-54E1-4C07-9D79-FD26C1384F8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B16C8DF-AA60-4190-8656-F04AF8C6D38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CF0F39-2FB2-498D-A915-C52DB536F7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A629E8-105D-4B27-A172-9BBA83F5B9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7FD17C-B1C1-458C-A6BC-A5AF1676577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448BC84-3387-421B-A237-7C6331A9AFA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57C4067-12BE-4D47-94E2-180F20B37D9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B6CC20E6-B3AF-4099-9E73-DA4FAB7B1D23}"/>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8933C4EF-50C7-44A9-B09A-4BF34F7D341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80EA4603-B77C-4D18-A5FE-9473EF934986}"/>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AA002387-D797-4A1A-B5CD-CCCB9A0D2AF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3D21E452-E0F1-4EEB-B425-12975C79E43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4F17ED42-33B3-4D38-8F6A-8CAF7AEDF88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2E5F3F7E-8779-4770-8AD4-39B721DA662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5EC4B7F-45A2-4D24-9176-14A8861F24A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BCC3A7D5-210A-4271-A5FE-D99AAB8CC52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0CDB31C-C475-481A-A122-3F636EED89D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E1732ADC-C212-4138-972F-FF823C92B3AA}"/>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A9D3AB40-113F-4DF2-B6A4-023C6B47228D}"/>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E6685E4-A684-451B-AA02-5D4A04FD1627}"/>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FE01653C-F226-42D5-86BA-BE535B7235A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758D4B8-6F77-4EBD-AB21-83297AC0C67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EE9AB99-8525-4EFD-9617-8928D8164CA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A59DAAC-6B4E-4363-ADCB-AAA5CB2052F7}"/>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DB7E588-89EF-42BE-9DCC-97964D974AC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6FCE4C8-DEA9-46A4-B2C5-B39E447DCEE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9388F5B7-9D46-4DBD-8DFE-F1F3B9B2C147}"/>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20462;&#35519;&#26619;&#31080;&#65288;&#33021;&#20195;&#24066;&#12539;&#19979;&#27700;&#36947;&#20107;&#26989;&#12539;&#20844;&#20849;&#19979;&#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35519;&#26619;&#31080;&#65288;&#33021;&#20195;&#24066;&#12539;&#19979;&#27700;&#36947;&#20107;&#26989;&#12539;&#29305;&#23450;&#22320;&#22495;&#25490;&#27700;&#20966;&#29702;&#26045;&#353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36786;&#38598;_03+&#35519;&#26619;&#31080;+&#65288;R3&#25244;&#26412;&#25913;&#38761;&#35519;&#26619;&#65289;&#65288;R030622&#20462;&#27491;&#12288;&#24195;&#22495;&#21270;&#2925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20462;&#35519;&#26619;&#31080;&#65288;&#33021;&#20195;&#24066;&#12539;&#20171;&#35703;&#12469;&#12540;&#12499;&#1247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35519;&#26619;&#31080;&#65288;&#33021;&#20195;&#24066;&#12539;&#27700;&#36947;&#20107;&#26989;&#12539;&#31777;&#26131;&#27700;&#36947;&#27861;&#3696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12304;20210729&#20462;&#27491;&#12305;&#31777;&#27700;_03+&#35519;&#26619;&#31080;+&#65288;R3&#25244;&#26412;&#25913;&#38761;&#35519;&#26619;&#65289;&#65288;&#20462;&#2749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4179\Desktop\03%20&#22243;&#20307;&#8594;&#30476;\02%20&#33021;&#20195;&#24066;&#9675;\&#12304;&#33021;&#20195;&#24066;&#12305;&#27700;&#36947;_03+&#35519;&#26619;&#31080;+&#65288;R3&#25244;&#26412;&#25913;&#38761;&#35519;&#26619;&#65289;&#65288;&#20462;&#27491;&#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v>
          </cell>
          <cell r="X47" t="str">
            <v>●</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米代川流域下水道大館処理センター内に共同利用汚泥資源化施設を整備し、流域3市3町1組合から発生する脱水ケーキ等を原料に資源化物製造、長期間安定的に供給する。施設を運営する民間事業者は製造物を全量買い取り販売を行う。令和2年度4月1日より稼働運営開始した。単独で汚泥処理施設を整備し処理する場合と比較し約20%の経費削減。</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v>
          </cell>
        </row>
        <row r="208">
          <cell r="Y208" t="str">
            <v xml:space="preserve"> </v>
          </cell>
        </row>
        <row r="209">
          <cell r="Y209" t="str">
            <v xml:space="preserve"> </v>
          </cell>
        </row>
        <row r="212">
          <cell r="B212" t="str">
            <v>令和</v>
          </cell>
          <cell r="E212">
            <v>2</v>
          </cell>
        </row>
        <row r="213">
          <cell r="E213">
            <v>4</v>
          </cell>
        </row>
        <row r="214">
          <cell r="E214">
            <v>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56">
          <cell r="B356" t="str">
            <v>秋田県では、平成６年度に「秋田県汚泥処理総合計画」を策定し、汚泥の減量化及び再資源化に取り組んできた。平成１３年度に「秋田県汚泥処理総合計画」を改定し、汚泥の有効利用促進及び産業廃棄物処分場への排出量ゼロを目指したが、秋田県の下水汚泥のリサイクル率は低い状況にあったため、「秋田県汚泥処理総合計画」を見直し、農業集落排水や浄化槽汚泥も含めた総合的な「秋田県下水バイオマス利活用計画」を平成２１年度に策定した。
　能代市としても、国の循環型社会構築の方針により、汚泥のリサイクル化を図ることが求められており、下水道法においても、発生汚泥量等の減量化に努める旨の規定が設けられていたため、秋田県より、平成25年5月29日付け、下水－297で照会のあった「広域汚泥処理への参加の意向」について、平成25年6月7日付けで能代市も「参加する」と回答した。
　その後、平成27年2月25日付けで秋田県及び関係自治体（３市３町１組合）と協議書を締結し、平成29年度から施設の建設工事に着手し令和2年度から供用開始している。
　効果額については算出していない。</v>
          </cell>
        </row>
        <row r="362">
          <cell r="B362" t="str">
            <v>・業務内容：レベルⅡ＋α（運転管理、ユーティリティ、５０万円以下の簡易修繕）
・要求水準：放流水質、脱水汚泥の含水率（超過した場合は委託料の減額）</v>
          </cell>
        </row>
        <row r="368">
          <cell r="B368" t="str">
            <v>平成</v>
          </cell>
          <cell r="E368">
            <v>20</v>
          </cell>
        </row>
        <row r="369">
          <cell r="E369">
            <v>4</v>
          </cell>
        </row>
        <row r="370">
          <cell r="E370">
            <v>1</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下水道事業</v>
          </cell>
          <cell r="W17" t="str">
            <v>特定地域排水処理施設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平成２７年度策定の能代市生活排水処理整備構想に基づき整備を進めるとともに、適正な維持管理に努め、浄化槽の長寿命化を図り、経費の削減に努める。なお、令和６年４月１日に法適用事業へ移行するべく準備を進めているところであ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平成２７年度策定の能代市生活排水処理整備構想では、人口減少を考慮し、検討した結果公共下水道への接続が最も有利としている。接続時期は近隣区域の公共下水道整備が令和７年度頃の予定となっているため、令和８年度以降に接続する見込みとなっている。</v>
          </cell>
        </row>
        <row r="295">
          <cell r="B295" t="str">
            <v>特に無し。</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介護サービス事業</v>
          </cell>
          <cell r="W17" t="str">
            <v>老人デイサービスセンター</v>
          </cell>
          <cell r="BD17" t="str">
            <v>●</v>
          </cell>
        </row>
        <row r="19">
          <cell r="F19" t="str">
            <v>介護保険特別会計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＜概要＞指定管理者による老人デイサービスセンター、グループホームの管理運営
＜効果＞施設入所者の精神的安定（公的な施設への信頼等）</v>
          </cell>
        </row>
        <row r="313">
          <cell r="G313" t="str">
            <v xml:space="preserve"> </v>
          </cell>
          <cell r="U313" t="str">
            <v>平成</v>
          </cell>
          <cell r="X313">
            <v>20</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9">
          <cell r="B59" t="str">
            <v>法適用簡易水道事業（鶴形簡易水道）を水道事業に統合した。</v>
          </cell>
        </row>
        <row r="65">
          <cell r="G65" t="str">
            <v>●</v>
          </cell>
          <cell r="S65" t="str">
            <v>平成</v>
          </cell>
          <cell r="V65">
            <v>29</v>
          </cell>
        </row>
        <row r="66">
          <cell r="V66">
            <v>4</v>
          </cell>
        </row>
        <row r="67">
          <cell r="V67">
            <v>1</v>
          </cell>
        </row>
        <row r="71">
          <cell r="O71" t="str">
            <v xml:space="preserve"> </v>
          </cell>
          <cell r="AG71" t="str">
            <v>●</v>
          </cell>
        </row>
        <row r="72">
          <cell r="O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9">
          <cell r="B59" t="str">
            <v>簡易水道事業の資産を適正に管理し、起債の償還額や減価償却費等を含めた収支バランスから経営状況を把握していくには法適用が必要となることから、令和２年度末に二ツ井・荷上場地区簡易水道事業を法適用し、令和３年度から能代市水道事業へ編入することで事業廃止している。また、令和３年度には、残った富根地区簡易水道事業及び仁鮒地区簡易水道事業の法適用の方向性を検討していくこととしており、法適用により財務情報の適切な把握が可能となる。</v>
          </cell>
        </row>
        <row r="65">
          <cell r="G65" t="str">
            <v xml:space="preserve"> </v>
          </cell>
          <cell r="S65" t="str">
            <v>令和</v>
          </cell>
          <cell r="V65">
            <v>3</v>
          </cell>
        </row>
        <row r="66">
          <cell r="G66" t="str">
            <v>●</v>
          </cell>
          <cell r="V66">
            <v>3</v>
          </cell>
        </row>
        <row r="67">
          <cell r="V67">
            <v>31</v>
          </cell>
        </row>
        <row r="71">
          <cell r="O71" t="str">
            <v xml:space="preserve"> </v>
          </cell>
          <cell r="AG71" t="str">
            <v>●</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富根地区・仁鮒地区両簡易水道事業は、平成１５年の地方自治法改正により平成１８年６月から指定管理者制度に移行し、地域の住民で組織された水道組合が指定管理者となり事業を実施している。移行以前は管理委託制度に基づき水道組合へ業務を委託していたが、以前から事業費は給水使用料の範囲内で賄われているため、常にコスト意識を保ちながら事業運営に当たっており、移行後も同様な運営が実施されている。</v>
          </cell>
        </row>
        <row r="313">
          <cell r="G313" t="str">
            <v xml:space="preserve"> </v>
          </cell>
          <cell r="U313" t="str">
            <v>平成</v>
          </cell>
          <cell r="X313">
            <v>18</v>
          </cell>
        </row>
        <row r="314">
          <cell r="G314" t="str">
            <v>●</v>
          </cell>
          <cell r="X314">
            <v>6</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簡易水道事業は統合前から水道事業で業務の一部を受託しており、統合後も会計をセグメント分けすることとしているため、費用的な効果は見込めないが、簡易水道事業の一部を統合し法適用することにより、資産を適正に管理し、起債の償還額や減価償却費等を含めた収支バランスから経営状況を把握することができる。</v>
          </cell>
        </row>
        <row r="231">
          <cell r="J231" t="str">
            <v>●</v>
          </cell>
        </row>
        <row r="238">
          <cell r="J238" t="str">
            <v xml:space="preserve"> </v>
          </cell>
        </row>
        <row r="245">
          <cell r="J245"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t="str">
            <v>令和</v>
          </cell>
          <cell r="E278">
            <v>3</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1477-D39C-4528-9B78-11AEBA892819}">
  <sheetPr>
    <pageSetUpPr fitToPage="1"/>
  </sheetPr>
  <dimension ref="A1:CN315"/>
  <sheetViews>
    <sheetView showZeros="0" tabSelected="1" view="pageBreakPreview" zoomScale="55" zoomScaleNormal="55" zoomScaleSheetLayoutView="55" workbookViewId="0">
      <selection activeCell="U51" sqref="U51:AJ5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IF(COUNTIF([7]回答表!K15,"*")&gt;0,[7]回答表!K15,"")</f>
        <v>能代市</v>
      </c>
      <c r="D11" s="299"/>
      <c r="E11" s="299"/>
      <c r="F11" s="299"/>
      <c r="G11" s="299"/>
      <c r="H11" s="299"/>
      <c r="I11" s="299"/>
      <c r="J11" s="299"/>
      <c r="K11" s="299"/>
      <c r="L11" s="299"/>
      <c r="M11" s="299"/>
      <c r="N11" s="299"/>
      <c r="O11" s="299"/>
      <c r="P11" s="299"/>
      <c r="Q11" s="299"/>
      <c r="R11" s="299"/>
      <c r="S11" s="299"/>
      <c r="T11" s="299"/>
      <c r="U11" s="306" t="str">
        <f>IF(COUNTIF([7]回答表!F17,"*")&gt;0,[7]回答表!F17,"")</f>
        <v>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IF(COUNTIF([7]回答表!W17,"*")&gt;0,[7]回答表!W17,"")</f>
        <v>―</v>
      </c>
      <c r="AP11" s="301"/>
      <c r="AQ11" s="301"/>
      <c r="AR11" s="301"/>
      <c r="AS11" s="301"/>
      <c r="AT11" s="301"/>
      <c r="AU11" s="301"/>
      <c r="AV11" s="301"/>
      <c r="AW11" s="301"/>
      <c r="AX11" s="301"/>
      <c r="AY11" s="301"/>
      <c r="AZ11" s="301"/>
      <c r="BA11" s="301"/>
      <c r="BB11" s="301"/>
      <c r="BC11" s="301"/>
      <c r="BD11" s="301"/>
      <c r="BE11" s="301"/>
      <c r="BF11" s="302"/>
      <c r="BG11" s="305" t="str">
        <f>IF(COUNTIF([7]回答表!F19,"*")&gt;0,[7]回答表!F19,"")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IF([7]回答表!R43="●","●","")</f>
        <v/>
      </c>
      <c r="E24" s="123"/>
      <c r="F24" s="123"/>
      <c r="G24" s="123"/>
      <c r="H24" s="123"/>
      <c r="I24" s="123"/>
      <c r="J24" s="124"/>
      <c r="K24" s="122" t="str">
        <f>IF([7]回答表!R44="●","●","")</f>
        <v/>
      </c>
      <c r="L24" s="123"/>
      <c r="M24" s="123"/>
      <c r="N24" s="123"/>
      <c r="O24" s="123"/>
      <c r="P24" s="123"/>
      <c r="Q24" s="124"/>
      <c r="R24" s="122" t="str">
        <f>IF([7]回答表!R45="●","●","")</f>
        <v>●</v>
      </c>
      <c r="S24" s="123"/>
      <c r="T24" s="123"/>
      <c r="U24" s="123"/>
      <c r="V24" s="123"/>
      <c r="W24" s="123"/>
      <c r="X24" s="124"/>
      <c r="Y24" s="122" t="str">
        <f>IF([7]回答表!R46="●","●","")</f>
        <v/>
      </c>
      <c r="Z24" s="123"/>
      <c r="AA24" s="123"/>
      <c r="AB24" s="123"/>
      <c r="AC24" s="123"/>
      <c r="AD24" s="123"/>
      <c r="AE24" s="124"/>
      <c r="AF24" s="122" t="str">
        <f>IF([7]回答表!R47="●","●","")</f>
        <v/>
      </c>
      <c r="AG24" s="123"/>
      <c r="AH24" s="123"/>
      <c r="AI24" s="123"/>
      <c r="AJ24" s="123"/>
      <c r="AK24" s="123"/>
      <c r="AL24" s="124"/>
      <c r="AM24" s="122" t="str">
        <f>IF([7]回答表!R48="●","●","")</f>
        <v/>
      </c>
      <c r="AN24" s="123"/>
      <c r="AO24" s="123"/>
      <c r="AP24" s="123"/>
      <c r="AQ24" s="123"/>
      <c r="AR24" s="123"/>
      <c r="AS24" s="124"/>
      <c r="AT24" s="122" t="str">
        <f>IF([7]回答表!R49="●","●","")</f>
        <v/>
      </c>
      <c r="AU24" s="123"/>
      <c r="AV24" s="123"/>
      <c r="AW24" s="123"/>
      <c r="AX24" s="123"/>
      <c r="AY24" s="123"/>
      <c r="AZ24" s="124"/>
      <c r="BA24" s="18"/>
      <c r="BB24" s="119" t="str">
        <f>IF([7]回答表!R50="●","●","")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IF([7]回答表!X43="●","●","")</f>
        <v/>
      </c>
      <c r="O36" s="99"/>
      <c r="P36" s="99"/>
      <c r="Q36" s="100"/>
      <c r="R36" s="38"/>
      <c r="S36" s="38"/>
      <c r="T36" s="38"/>
      <c r="U36" s="107" t="str">
        <f>IF([7]回答表!X43="●",[7]回答表!B59,IF([7]回答表!AA43="●",[7]回答表!B79,""))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IF([7]回答表!X43="●",[7]回答表!S65,IF([7]回答表!AA43="●",[7]回答表!S85,""))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IF([7]回答表!X43="●",[7]回答表!G65,IF([7]回答表!AA43="●",[7]回答表!G85,""))</f>
        <v/>
      </c>
      <c r="AN38" s="120"/>
      <c r="AO38" s="120"/>
      <c r="AP38" s="120"/>
      <c r="AQ38" s="120"/>
      <c r="AR38" s="120"/>
      <c r="AS38" s="120"/>
      <c r="AT38" s="121"/>
      <c r="AU38" s="119" t="str">
        <f>IF([7]回答表!X43="●",[7]回答表!G66,IF([7]回答表!AA43="●",[7]回答表!G86,""))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IF([7]回答表!X43="●",[7]回答表!V65,IF([7]回答表!AA43="●",[7]回答表!V85,""))</f>
        <v/>
      </c>
      <c r="BG39" s="249"/>
      <c r="BH39" s="249"/>
      <c r="BI39" s="250"/>
      <c r="BJ39" s="83" t="str">
        <f>IF([7]回答表!X43="●",[7]回答表!V66,IF([7]回答表!AA43="●",[7]回答表!V86,""))</f>
        <v/>
      </c>
      <c r="BK39" s="249"/>
      <c r="BL39" s="249"/>
      <c r="BM39" s="250"/>
      <c r="BN39" s="83" t="str">
        <f>IF([7]回答表!X43="●",[7]回答表!V67,IF([7]回答表!AA43="●",[7]回答表!V87,""))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IF([7]回答表!X43="●",[7]回答表!O71,IF([7]回答表!AA43="●",[7]回答表!O91,""))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IF([7]回答表!X43="●",[7]回答表!O72,IF([7]回答表!AA43="●",[7]回答表!O92,""))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36" customHeight="1" x14ac:dyDescent="0.4">
      <c r="A44" s="24"/>
      <c r="B44" s="24"/>
      <c r="C44" s="32"/>
      <c r="D44" s="134" t="s">
        <v>26</v>
      </c>
      <c r="E44" s="135"/>
      <c r="F44" s="135"/>
      <c r="G44" s="135"/>
      <c r="H44" s="135"/>
      <c r="I44" s="135"/>
      <c r="J44" s="135"/>
      <c r="K44" s="135"/>
      <c r="L44" s="135"/>
      <c r="M44" s="136"/>
      <c r="N44" s="98" t="str">
        <f>IF([7]回答表!AA43="●","●","")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IF([7]回答表!X43="●",[7]回答表!O73,IF([7]回答表!AA43="●",[7]回答表!O93,""))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IF([7]回答表!X43="●",[7]回答表!O74,IF([7]回答表!AA43="●",[7]回答表!O94,""))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IF([7]回答表!X43="●",[7]回答表!AG71,IF([7]回答表!AA43="●",[7]回答表!AG91,""))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IF([7]回答表!X43="●",[7]回答表!AG72,IF([7]回答表!AA43="●",[7]回答表!AG92,""))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IF([7]回答表!AD43="●","●","")</f>
        <v/>
      </c>
      <c r="O51" s="99"/>
      <c r="P51" s="99"/>
      <c r="Q51" s="100"/>
      <c r="R51" s="38"/>
      <c r="S51" s="38"/>
      <c r="T51" s="38"/>
      <c r="U51" s="107" t="str">
        <f>IF([7]回答表!AD43="●",[7]回答表!B99,"")</f>
        <v/>
      </c>
      <c r="V51" s="108"/>
      <c r="W51" s="108"/>
      <c r="X51" s="108"/>
      <c r="Y51" s="108"/>
      <c r="Z51" s="108"/>
      <c r="AA51" s="108"/>
      <c r="AB51" s="108"/>
      <c r="AC51" s="108"/>
      <c r="AD51" s="108"/>
      <c r="AE51" s="108"/>
      <c r="AF51" s="108"/>
      <c r="AG51" s="108"/>
      <c r="AH51" s="108"/>
      <c r="AI51" s="108"/>
      <c r="AJ51" s="109"/>
      <c r="AK51" s="55"/>
      <c r="AL51" s="55"/>
      <c r="AM51" s="107" t="str">
        <f>IF([7]回答表!AD43="●",[7]回答表!B104,"")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IF([7]回答表!X44="●","●","")</f>
        <v/>
      </c>
      <c r="O62" s="99"/>
      <c r="P62" s="99"/>
      <c r="Q62" s="100"/>
      <c r="R62" s="38"/>
      <c r="S62" s="38"/>
      <c r="T62" s="38"/>
      <c r="U62" s="107" t="str">
        <f>IF([7]回答表!X44="●",[7]回答表!B115,IF([7]回答表!AA44="●",[7]回答表!B127,""))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IF([7]回答表!X44="●",[7]回答表!S121,IF([7]回答表!AA44="●",[7]回答表!S133,""))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IF([7]回答表!X44="●",[7]回答表!J121,IF([7]回答表!AA44="●",[7]回答表!J133,""))</f>
        <v/>
      </c>
      <c r="AN65" s="120"/>
      <c r="AO65" s="120"/>
      <c r="AP65" s="120"/>
      <c r="AQ65" s="120"/>
      <c r="AR65" s="120"/>
      <c r="AS65" s="120"/>
      <c r="AT65" s="121"/>
      <c r="AU65" s="119" t="str">
        <f>IF([7]回答表!X44="●",[7]回答表!J122,IF([7]回答表!AA44="●",[7]回答表!J134,""))</f>
        <v/>
      </c>
      <c r="AV65" s="120"/>
      <c r="AW65" s="120"/>
      <c r="AX65" s="120"/>
      <c r="AY65" s="120"/>
      <c r="AZ65" s="120"/>
      <c r="BA65" s="120"/>
      <c r="BB65" s="121"/>
      <c r="BC65" s="39"/>
      <c r="BD65" s="34"/>
      <c r="BE65" s="34"/>
      <c r="BF65" s="83" t="str">
        <f>IF([7]回答表!X44="●",[7]回答表!V121,IF([7]回答表!AA44="●",[7]回答表!V133,""))</f>
        <v/>
      </c>
      <c r="BG65" s="84"/>
      <c r="BH65" s="84"/>
      <c r="BI65" s="84"/>
      <c r="BJ65" s="83" t="str">
        <f>IF([7]回答表!X44="●",[7]回答表!V122,IF([7]回答表!AA44="●",[7]回答表!V134,""))</f>
        <v/>
      </c>
      <c r="BK65" s="84"/>
      <c r="BL65" s="84"/>
      <c r="BM65" s="84"/>
      <c r="BN65" s="83" t="str">
        <f>IF([7]回答表!X44="●",[7]回答表!V123,IF([7]回答表!AA44="●",[7]回答表!V135,""))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IF([7]回答表!AA44="●","●","")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IF([7]回答表!AD44="●","●","")</f>
        <v/>
      </c>
      <c r="O74" s="99"/>
      <c r="P74" s="99"/>
      <c r="Q74" s="100"/>
      <c r="R74" s="38"/>
      <c r="S74" s="38"/>
      <c r="T74" s="38"/>
      <c r="U74" s="107" t="str">
        <f>IF([7]回答表!AD44="●",[7]回答表!B140,"")</f>
        <v/>
      </c>
      <c r="V74" s="108"/>
      <c r="W74" s="108"/>
      <c r="X74" s="108"/>
      <c r="Y74" s="108"/>
      <c r="Z74" s="108"/>
      <c r="AA74" s="108"/>
      <c r="AB74" s="108"/>
      <c r="AC74" s="108"/>
      <c r="AD74" s="108"/>
      <c r="AE74" s="108"/>
      <c r="AF74" s="108"/>
      <c r="AG74" s="108"/>
      <c r="AH74" s="108"/>
      <c r="AI74" s="108"/>
      <c r="AJ74" s="109"/>
      <c r="AK74" s="55"/>
      <c r="AL74" s="55"/>
      <c r="AM74" s="107" t="str">
        <f>IF([7]回答表!AD44="●",[7]回答表!B146,"")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IF([7]回答表!F17="水道事業",IF([7]回答表!X45="●","●",""),"")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IF([7]回答表!F17="水道事業",IF([7]回答表!X45="●",[7]回答表!B158,IF([7]回答表!AA45="●",[7]回答表!B223,"")),"")</f>
        <v>簡易水道事業は統合前から水道事業で業務の一部を受託しており、統合後も会計をセグメント分けすることとしているため、費用的な効果は見込めないが、簡易水道事業の一部を統合し法適用することにより、資産を適正に管理し、起債の償還額や減価償却費等を含めた収支バランスから経営状況を把握することができる。</v>
      </c>
      <c r="AN86" s="212"/>
      <c r="AO86" s="212"/>
      <c r="AP86" s="212"/>
      <c r="AQ86" s="212"/>
      <c r="AR86" s="212"/>
      <c r="AS86" s="212"/>
      <c r="AT86" s="212"/>
      <c r="AU86" s="212"/>
      <c r="AV86" s="212"/>
      <c r="AW86" s="212"/>
      <c r="AX86" s="212"/>
      <c r="AY86" s="212"/>
      <c r="AZ86" s="212"/>
      <c r="BA86" s="212"/>
      <c r="BB86" s="212"/>
      <c r="BC86" s="213"/>
      <c r="BD86" s="34"/>
      <c r="BE86" s="34"/>
      <c r="BF86" s="116" t="str">
        <f>IF([7]回答表!F17="水道事業",IF([7]回答表!X45="●",[7]回答表!B212,IF([7]回答表!AA45="●",[7]回答表!B278,"")),"")</f>
        <v>令和</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IF([7]回答表!F17="水道事業",IF([7]回答表!X45="●",[7]回答表!J166,IF([7]回答表!AA45="●",[7]回答表!J231,"")),"")</f>
        <v>●</v>
      </c>
      <c r="V88" s="120"/>
      <c r="W88" s="120"/>
      <c r="X88" s="120"/>
      <c r="Y88" s="120"/>
      <c r="Z88" s="120"/>
      <c r="AA88" s="120"/>
      <c r="AB88" s="121"/>
      <c r="AC88" s="119" t="str">
        <f>IF([7]回答表!F17="水道事業",IF([7]回答表!X45="●",[7]回答表!J173,IF([7]回答表!AA45="●",[7]回答表!J238,"")),"")</f>
        <v xml:space="preserve">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f>IF([7]回答表!F17="水道事業",IF([7]回答表!X45="●",[7]回答表!E212,IF([7]回答表!AA45="●",[7]回答表!E278,"")),"")</f>
        <v>3</v>
      </c>
      <c r="BG89" s="84"/>
      <c r="BH89" s="84"/>
      <c r="BI89" s="84"/>
      <c r="BJ89" s="83">
        <f>IF([7]回答表!F17="水道事業",IF([7]回答表!X45="●",[7]回答表!E213,IF([7]回答表!AA45="●",[7]回答表!E279,"")),"")</f>
        <v>4</v>
      </c>
      <c r="BK89" s="84"/>
      <c r="BL89" s="84"/>
      <c r="BM89" s="84"/>
      <c r="BN89" s="83">
        <f>IF([7]回答表!F17="水道事業",IF([7]回答表!X45="●",[7]回答表!E214,IF([7]回答表!AA45="●",[7]回答表!E280,"")),"")</f>
        <v>1</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IF([7]回答表!F17="水道事業",IF([7]回答表!AA45="●","●",""),"")</f>
        <v>●</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f>IF([7]回答表!F17="水道事業",IF([7]回答表!X45="●",[7]回答表!J176,IF([7]回答表!AA45="●",[7]回答表!J241,"")),"")</f>
        <v>0</v>
      </c>
      <c r="V93" s="120"/>
      <c r="W93" s="120"/>
      <c r="X93" s="120"/>
      <c r="Y93" s="120"/>
      <c r="Z93" s="120"/>
      <c r="AA93" s="120"/>
      <c r="AB93" s="121"/>
      <c r="AC93" s="119" t="str">
        <f>IF([7]回答表!F17="水道事業",IF([7]回答表!X45="●",[7]回答表!J180,IF([7]回答表!AA45="●",[7]回答表!J245,"")),"")</f>
        <v xml:space="preserve">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14"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IF([7]回答表!F17="水道事業",IF([7]回答表!AD45="○","○",""),"")</f>
        <v/>
      </c>
      <c r="O98" s="99"/>
      <c r="P98" s="99"/>
      <c r="Q98" s="100"/>
      <c r="R98" s="38"/>
      <c r="S98" s="38"/>
      <c r="T98" s="38"/>
      <c r="U98" s="107" t="str">
        <f>IF([7]回答表!F17="水道事業",IF([7]回答表!AD45="●",[7]回答表!B289,""),"")</f>
        <v/>
      </c>
      <c r="V98" s="108"/>
      <c r="W98" s="108"/>
      <c r="X98" s="108"/>
      <c r="Y98" s="108"/>
      <c r="Z98" s="108"/>
      <c r="AA98" s="108"/>
      <c r="AB98" s="108"/>
      <c r="AC98" s="108"/>
      <c r="AD98" s="108"/>
      <c r="AE98" s="108"/>
      <c r="AF98" s="108"/>
      <c r="AG98" s="108"/>
      <c r="AH98" s="108"/>
      <c r="AI98" s="108"/>
      <c r="AJ98" s="109"/>
      <c r="AK98" s="55"/>
      <c r="AL98" s="55"/>
      <c r="AM98" s="107" t="str">
        <f>IF([7]回答表!F17="水道事業",IF([7]回答表!AD45="●",[7]回答表!B295,""),"")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IF([7]回答表!F17="簡易水道事業",IF([7]回答表!X45="●",[7]回答表!B158,IF([7]回答表!AA45="●",[7]回答表!B223,"")),"")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IF([7]回答表!F17="簡易水道事業",IF([7]回答表!X45="●",[7]回答表!B212,IF([7]回答表!AA45="●",[7]回答表!B278,"")),"")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IF([7]回答表!F17="簡易水道事業",IF([7]回答表!X45="●","●",""),"")</f>
        <v/>
      </c>
      <c r="O112" s="99"/>
      <c r="P112" s="99"/>
      <c r="Q112" s="100"/>
      <c r="R112" s="38"/>
      <c r="S112" s="38"/>
      <c r="T112" s="38"/>
      <c r="U112" s="119" t="str">
        <f>IF([7]回答表!F17="簡易水道事業",IF([7]回答表!X45="●",[7]回答表!Y185,IF([7]回答表!AA45="●",[7]回答表!Y251,"")),"")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IF([7]回答表!F17="簡易水道事業",IF([7]回答表!X45="●",[7]回答表!E212,IF([7]回答表!AA45="●",[7]回答表!E278,"")),"")</f>
        <v/>
      </c>
      <c r="BG113" s="84"/>
      <c r="BH113" s="84"/>
      <c r="BI113" s="84"/>
      <c r="BJ113" s="83" t="str">
        <f>IF([7]回答表!F17="簡易水道事業",IF([7]回答表!X45="●",[7]回答表!E213,IF([7]回答表!AA45="●",[7]回答表!E279,"")),"")</f>
        <v/>
      </c>
      <c r="BK113" s="84"/>
      <c r="BL113" s="84"/>
      <c r="BM113" s="84"/>
      <c r="BN113" s="83" t="str">
        <f>IF([7]回答表!F17="簡易水道事業",IF([7]回答表!X45="●",[7]回答表!E214,IF([7]回答表!AA45="●",[7]回答表!E280,"")),"")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IF([7]回答表!F17="簡易水道事業",IF([7]回答表!X45="●",[7]回答表!Y186,IF([7]回答表!AA45="●",[7]回答表!Y252,"")),"")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IF([7]回答表!F17="簡易水道事業",IF([7]回答表!AA45="●","●",""),"")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IF([7]回答表!F17="簡易水道事業",IF([7]回答表!X45="●",[7]回答表!Y187,IF([7]回答表!AA45="●",[7]回答表!Y253,"")),"")</f>
        <v/>
      </c>
      <c r="V122" s="120"/>
      <c r="W122" s="120"/>
      <c r="X122" s="120"/>
      <c r="Y122" s="120"/>
      <c r="Z122" s="120"/>
      <c r="AA122" s="120"/>
      <c r="AB122" s="120"/>
      <c r="AC122" s="120"/>
      <c r="AD122" s="120"/>
      <c r="AE122" s="120"/>
      <c r="AF122" s="120"/>
      <c r="AG122" s="120"/>
      <c r="AH122" s="120"/>
      <c r="AI122" s="120"/>
      <c r="AJ122" s="121"/>
      <c r="AK122" s="18"/>
      <c r="AL122" s="18"/>
      <c r="AM122" s="228" t="str">
        <f>IF([7]回答表!F17="簡易水道事業",IF([7]回答表!X45="●",[7]回答表!Y189,IF([7]回答表!AA45="●",[7]回答表!Y255,"")),"")</f>
        <v/>
      </c>
      <c r="AN122" s="228"/>
      <c r="AO122" s="228"/>
      <c r="AP122" s="228"/>
      <c r="AQ122" s="228"/>
      <c r="AR122" s="228"/>
      <c r="AS122" s="228" t="str">
        <f>IF([7]回答表!F17="簡易水道事業",IF([7]回答表!X45="●",[7]回答表!Y190,IF([7]回答表!AA45="●",[7]回答表!Y256,"")),"")</f>
        <v/>
      </c>
      <c r="AT122" s="228"/>
      <c r="AU122" s="228"/>
      <c r="AV122" s="228"/>
      <c r="AW122" s="228"/>
      <c r="AX122" s="228"/>
      <c r="AY122" s="228" t="str">
        <f>IF([7]回答表!F17="簡易水道事業",IF([7]回答表!X45="●",[7]回答表!Y191,IF([7]回答表!AA45="●",[7]回答表!Y257,"")),"")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IF([7]回答表!F17="簡易水道事業",IF([7]回答表!AD45="●","●",""),"")</f>
        <v/>
      </c>
      <c r="O127" s="99"/>
      <c r="P127" s="99"/>
      <c r="Q127" s="100"/>
      <c r="R127" s="38"/>
      <c r="S127" s="38"/>
      <c r="T127" s="38"/>
      <c r="U127" s="107" t="str">
        <f>IF([7]回答表!F17="簡易水道事業",IF([7]回答表!AD45="●",[7]回答表!B289,""),"")</f>
        <v/>
      </c>
      <c r="V127" s="108"/>
      <c r="W127" s="108"/>
      <c r="X127" s="108"/>
      <c r="Y127" s="108"/>
      <c r="Z127" s="108"/>
      <c r="AA127" s="108"/>
      <c r="AB127" s="108"/>
      <c r="AC127" s="108"/>
      <c r="AD127" s="108"/>
      <c r="AE127" s="108"/>
      <c r="AF127" s="108"/>
      <c r="AG127" s="108"/>
      <c r="AH127" s="108"/>
      <c r="AI127" s="108"/>
      <c r="AJ127" s="109"/>
      <c r="AK127" s="55"/>
      <c r="AL127" s="55"/>
      <c r="AM127" s="107" t="str">
        <f>IF([7]回答表!F17="簡易水道事業",IF([7]回答表!AD45="●",[7]回答表!B295,""),"")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IF([7]回答表!F17="下水道事業",IF([7]回答表!X45="●","●",""),"")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IF([7]回答表!F17="下水道事業",IF([7]回答表!X45="●",[7]回答表!B158,IF([7]回答表!AA45="●",[7]回答表!B223,"")),"")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IF([7]回答表!F17="下水道事業",IF([7]回答表!X45="●",[7]回答表!B212,IF([7]回答表!AA45="●",[7]回答表!B278,"")),"")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IF([7]回答表!F17="下水道事業",IF([7]回答表!X45="●",[7]回答表!Y193,IF([7]回答表!AA45="●",[7]回答表!Y259,"")),"")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IF([7]回答表!F17="下水道事業",IF([7]回答表!X45="●",[7]回答表!E212,IF([7]回答表!AA45="●",[7]回答表!E278,"")),"")</f>
        <v/>
      </c>
      <c r="BG142" s="84"/>
      <c r="BH142" s="84"/>
      <c r="BI142" s="84"/>
      <c r="BJ142" s="83" t="str">
        <f>IF([7]回答表!F17="下水道事業",IF([7]回答表!X45="●",[7]回答表!E213,IF([7]回答表!AA45="●",[7]回答表!E279,"")),"")</f>
        <v/>
      </c>
      <c r="BK142" s="84"/>
      <c r="BL142" s="84"/>
      <c r="BM142" s="84"/>
      <c r="BN142" s="83" t="str">
        <f>IF([7]回答表!F17="下水道事業",IF([7]回答表!X45="●",[7]回答表!E214,IF([7]回答表!AA45="●",[7]回答表!E280,"")),"")</f>
        <v/>
      </c>
      <c r="BO142" s="84"/>
      <c r="BP142" s="84"/>
      <c r="BQ142" s="87"/>
      <c r="BR142" s="37"/>
      <c r="BX142" s="211" t="str">
        <f>IF([7]回答表!AQ20="下水道事業",IF([7]回答表!BI48="○",[7]回答表!AM161,IF([7]回答表!BL48="○",[7]回答表!AM226,"")),"")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IF([7]回答表!F17="下水道事業",IF([7]回答表!X45="●",[7]回答表!Y195,IF([7]回答表!AA45="●",[7]回答表!Y261,"")),"")</f>
        <v/>
      </c>
      <c r="V147" s="120"/>
      <c r="W147" s="120"/>
      <c r="X147" s="120"/>
      <c r="Y147" s="120"/>
      <c r="Z147" s="120"/>
      <c r="AA147" s="120"/>
      <c r="AB147" s="121"/>
      <c r="AC147" s="119" t="str">
        <f>IF([7]回答表!F17="下水道事業",IF([7]回答表!X45="●",[7]回答表!Y196,IF([7]回答表!AA45="●",[7]回答表!Y262,"")),"")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IF([7]回答表!F17="下水道事業",IF([7]回答表!X45="●",[7]回答表!Y198,IF([7]回答表!AA45="●",[7]回答表!Y264,"")),"")</f>
        <v/>
      </c>
      <c r="V153" s="120"/>
      <c r="W153" s="120"/>
      <c r="X153" s="120"/>
      <c r="Y153" s="120"/>
      <c r="Z153" s="120"/>
      <c r="AA153" s="120"/>
      <c r="AB153" s="121"/>
      <c r="AC153" s="119" t="str">
        <f>IF([7]回答表!F17="下水道事業",IF([7]回答表!X45="●",[7]回答表!Y199,IF([7]回答表!AA45="●",[7]回答表!Y265,"")),"")</f>
        <v/>
      </c>
      <c r="AD153" s="120"/>
      <c r="AE153" s="120"/>
      <c r="AF153" s="120"/>
      <c r="AG153" s="120"/>
      <c r="AH153" s="120"/>
      <c r="AI153" s="120"/>
      <c r="AJ153" s="121"/>
      <c r="AK153" s="119" t="str">
        <f>IF([7]回答表!F17="下水道事業",IF([7]回答表!X45="●",[7]回答表!Y200,IF([7]回答表!AA45="●",[7]回答表!Y266,"")),"")</f>
        <v/>
      </c>
      <c r="AL153" s="120"/>
      <c r="AM153" s="120"/>
      <c r="AN153" s="120"/>
      <c r="AO153" s="120"/>
      <c r="AP153" s="120"/>
      <c r="AQ153" s="120"/>
      <c r="AR153" s="121"/>
      <c r="AS153" s="119" t="str">
        <f>IF([7]回答表!F17="下水道事業",IF([7]回答表!X45="●",[7]回答表!Y201,IF([7]回答表!AA45="●",[7]回答表!Y267,"")),"")</f>
        <v/>
      </c>
      <c r="AT153" s="120"/>
      <c r="AU153" s="120"/>
      <c r="AV153" s="120"/>
      <c r="AW153" s="120"/>
      <c r="AX153" s="120"/>
      <c r="AY153" s="120"/>
      <c r="AZ153" s="121"/>
      <c r="BA153" s="119" t="str">
        <f>IF([7]回答表!F17="下水道事業",IF([7]回答表!X45="●",[7]回答表!Y202,IF([7]回答表!AA45="●",[7]回答表!Y268,"")),"")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IF([7]回答表!F17="下水道事業",IF([7]回答表!AA45="●","●",""),"")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IF([7]回答表!F17="下水道事業",IF([7]回答表!X45="●",[7]回答表!Y207,IF([7]回答表!AA45="●",[7]回答表!Y273,"")),"")</f>
        <v/>
      </c>
      <c r="V159" s="120"/>
      <c r="W159" s="120"/>
      <c r="X159" s="120"/>
      <c r="Y159" s="120"/>
      <c r="Z159" s="120"/>
      <c r="AA159" s="120"/>
      <c r="AB159" s="121"/>
      <c r="AC159" s="119" t="str">
        <f>IF([7]回答表!F17="下水道事業",IF([7]回答表!X45="●",[7]回答表!Y208,IF([7]回答表!AA45="●",[7]回答表!Y274,"")),"")</f>
        <v/>
      </c>
      <c r="AD159" s="120"/>
      <c r="AE159" s="120"/>
      <c r="AF159" s="120"/>
      <c r="AG159" s="120"/>
      <c r="AH159" s="120"/>
      <c r="AI159" s="120"/>
      <c r="AJ159" s="121"/>
      <c r="AK159" s="119" t="str">
        <f>IF([7]回答表!F17="下水道事業",IF([7]回答表!X45="●",[7]回答表!Y209,IF([7]回答表!AA45="●",[7]回答表!Y275,"")),"")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IF([7]回答表!F17="下水道事業",IF([7]回答表!AD45="●","●",""),"")</f>
        <v/>
      </c>
      <c r="O164" s="99"/>
      <c r="P164" s="99"/>
      <c r="Q164" s="100"/>
      <c r="R164" s="38"/>
      <c r="S164" s="38"/>
      <c r="T164" s="38"/>
      <c r="U164" s="107" t="str">
        <f>IF([7]回答表!F17="下水道事業",IF([7]回答表!AD45="●",[7]回答表!B289,""),"")</f>
        <v/>
      </c>
      <c r="V164" s="108"/>
      <c r="W164" s="108"/>
      <c r="X164" s="108"/>
      <c r="Y164" s="108"/>
      <c r="Z164" s="108"/>
      <c r="AA164" s="108"/>
      <c r="AB164" s="108"/>
      <c r="AC164" s="108"/>
      <c r="AD164" s="108"/>
      <c r="AE164" s="108"/>
      <c r="AF164" s="108"/>
      <c r="AG164" s="108"/>
      <c r="AH164" s="108"/>
      <c r="AI164" s="108"/>
      <c r="AJ164" s="109"/>
      <c r="AK164" s="55"/>
      <c r="AL164" s="55"/>
      <c r="AM164" s="107" t="str">
        <f>IF([7]回答表!F17="下水道事業",IF([7]回答表!AD45="●",[7]回答表!B295,""),"")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IF([7]回答表!BD17="●",IF([7]回答表!X45="●","●",""),"")</f>
        <v/>
      </c>
      <c r="O176" s="99"/>
      <c r="P176" s="99"/>
      <c r="Q176" s="100"/>
      <c r="R176" s="38"/>
      <c r="S176" s="38"/>
      <c r="T176" s="38"/>
      <c r="U176" s="107" t="str">
        <f>IF([7]回答表!BD17="●",IF([7]回答表!X45="●",[7]回答表!B158,IF([7]回答表!AA45="●",[7]回答表!B223,"")),"")</f>
        <v/>
      </c>
      <c r="V176" s="108"/>
      <c r="W176" s="108"/>
      <c r="X176" s="108"/>
      <c r="Y176" s="108"/>
      <c r="Z176" s="108"/>
      <c r="AA176" s="108"/>
      <c r="AB176" s="108"/>
      <c r="AC176" s="108"/>
      <c r="AD176" s="108"/>
      <c r="AE176" s="108"/>
      <c r="AF176" s="108"/>
      <c r="AG176" s="108"/>
      <c r="AH176" s="108"/>
      <c r="AI176" s="108"/>
      <c r="AJ176" s="109"/>
      <c r="AK176" s="49"/>
      <c r="AL176" s="49"/>
      <c r="AM176" s="116" t="str">
        <f>IF([7]回答表!BD17="●",IF([7]回答表!X45="●",[7]回答表!B212,IF([7]回答表!AA45="●",[7]回答表!B278,"")),"")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IF([7]回答表!BD17="●",IF([7]回答表!X45="●",[7]回答表!E212,IF([7]回答表!AA45="●",[7]回答表!E278,"")),"")</f>
        <v/>
      </c>
      <c r="AN179" s="84"/>
      <c r="AO179" s="84"/>
      <c r="AP179" s="84"/>
      <c r="AQ179" s="83" t="str">
        <f>IF([7]回答表!BD17="●",IF([7]回答表!X45="●",[7]回答表!E213,IF([7]回答表!AA45="●",[7]回答表!E279,"")),"")</f>
        <v/>
      </c>
      <c r="AR179" s="84"/>
      <c r="AS179" s="84"/>
      <c r="AT179" s="84"/>
      <c r="AU179" s="83" t="str">
        <f>IF([7]回答表!BD17="●",IF([7]回答表!X45="●",[7]回答表!E214,IF([7]回答表!AA45="●",[7]回答表!E280,"")),"")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IF([7]回答表!BD17="●",IF([7]回答表!AA45="●","●",""),"")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IF([7]回答表!BD17="●",IF([7]回答表!AD45="●","●",""),"")</f>
        <v/>
      </c>
      <c r="O188" s="99"/>
      <c r="P188" s="99"/>
      <c r="Q188" s="100"/>
      <c r="R188" s="38"/>
      <c r="S188" s="38"/>
      <c r="T188" s="38"/>
      <c r="U188" s="107" t="str">
        <f>IF([7]回答表!BD17="●",IF([7]回答表!AD45="●",[7]回答表!B289,""),"")</f>
        <v/>
      </c>
      <c r="V188" s="108"/>
      <c r="W188" s="108"/>
      <c r="X188" s="108"/>
      <c r="Y188" s="108"/>
      <c r="Z188" s="108"/>
      <c r="AA188" s="108"/>
      <c r="AB188" s="108"/>
      <c r="AC188" s="108"/>
      <c r="AD188" s="108"/>
      <c r="AE188" s="108"/>
      <c r="AF188" s="108"/>
      <c r="AG188" s="108"/>
      <c r="AH188" s="108"/>
      <c r="AI188" s="108"/>
      <c r="AJ188" s="109"/>
      <c r="AK188" s="55"/>
      <c r="AL188" s="55"/>
      <c r="AM188" s="107" t="str">
        <f>IF([7]回答表!BD17="●",IF([7]回答表!AD45="●",[7]回答表!B295,""),"")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IF([7]回答表!X46="●","●","")</f>
        <v/>
      </c>
      <c r="O200" s="99"/>
      <c r="P200" s="99"/>
      <c r="Q200" s="100"/>
      <c r="R200" s="38"/>
      <c r="S200" s="38"/>
      <c r="T200" s="38"/>
      <c r="U200" s="107" t="str">
        <f>IF([7]回答表!X46="●",[7]回答表!B307,IF([7]回答表!AA46="●",[7]回答表!B324,""))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IF([7]回答表!X46="●",[7]回答表!U313,IF([7]回答表!AA46="●",[7]回答表!U330,""))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IF([7]回答表!X46="●",[7]回答表!G313,IF([7]回答表!AA46="●",[7]回答表!G330,""))</f>
        <v/>
      </c>
      <c r="AN203" s="120"/>
      <c r="AO203" s="120"/>
      <c r="AP203" s="120"/>
      <c r="AQ203" s="120"/>
      <c r="AR203" s="120"/>
      <c r="AS203" s="120"/>
      <c r="AT203" s="121"/>
      <c r="AU203" s="119" t="str">
        <f>IF([7]回答表!X46="●",[7]回答表!G314,IF([7]回答表!AA46="●",[7]回答表!G331,""))</f>
        <v/>
      </c>
      <c r="AV203" s="120"/>
      <c r="AW203" s="120"/>
      <c r="AX203" s="120"/>
      <c r="AY203" s="120"/>
      <c r="AZ203" s="120"/>
      <c r="BA203" s="120"/>
      <c r="BB203" s="121"/>
      <c r="BC203" s="39"/>
      <c r="BD203" s="34"/>
      <c r="BE203" s="34"/>
      <c r="BF203" s="83" t="str">
        <f>IF([7]回答表!X46="●",[7]回答表!X313,IF([7]回答表!AA46="●",[7]回答表!X330,""))</f>
        <v/>
      </c>
      <c r="BG203" s="84"/>
      <c r="BH203" s="84"/>
      <c r="BI203" s="84"/>
      <c r="BJ203" s="83" t="str">
        <f>IF([7]回答表!X46="●",[7]回答表!X314,IF([7]回答表!AA46="●",[7]回答表!X331,""))</f>
        <v/>
      </c>
      <c r="BK203" s="84"/>
      <c r="BL203" s="84"/>
      <c r="BM203" s="87"/>
      <c r="BN203" s="83" t="str">
        <f>IF([7]回答表!X46="●",[7]回答表!X315,IF([7]回答表!AA46="●",[7]回答表!X332,""))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IF([7]回答表!AA46="●","●","")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IF([7]回答表!AD46="●","●","")</f>
        <v/>
      </c>
      <c r="O212" s="99"/>
      <c r="P212" s="99"/>
      <c r="Q212" s="100"/>
      <c r="R212" s="38"/>
      <c r="S212" s="38"/>
      <c r="T212" s="38"/>
      <c r="U212" s="107" t="str">
        <f>IF([7]回答表!AD46="●",[7]回答表!B337,"")</f>
        <v/>
      </c>
      <c r="V212" s="108"/>
      <c r="W212" s="108"/>
      <c r="X212" s="108"/>
      <c r="Y212" s="108"/>
      <c r="Z212" s="108"/>
      <c r="AA212" s="108"/>
      <c r="AB212" s="108"/>
      <c r="AC212" s="108"/>
      <c r="AD212" s="108"/>
      <c r="AE212" s="108"/>
      <c r="AF212" s="108"/>
      <c r="AG212" s="108"/>
      <c r="AH212" s="108"/>
      <c r="AI212" s="108"/>
      <c r="AJ212" s="109"/>
      <c r="AK212" s="62"/>
      <c r="AL212" s="62"/>
      <c r="AM212" s="107" t="str">
        <f>IF([7]回答表!AD46="●",[7]回答表!B343,"")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IF([7]回答表!X47="●","●","")</f>
        <v/>
      </c>
      <c r="O224" s="99"/>
      <c r="P224" s="99"/>
      <c r="Q224" s="100"/>
      <c r="R224" s="38"/>
      <c r="S224" s="38"/>
      <c r="T224" s="38"/>
      <c r="U224" s="107" t="str">
        <f>IF([7]回答表!X47="●",[7]回答表!B356,IF([7]回答表!AA47="●",[7]回答表!B379,""))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IF([7]回答表!X47="●",[7]回答表!B362,"")</f>
        <v/>
      </c>
      <c r="AO224" s="182"/>
      <c r="AP224" s="182"/>
      <c r="AQ224" s="182"/>
      <c r="AR224" s="182"/>
      <c r="AS224" s="182"/>
      <c r="AT224" s="182"/>
      <c r="AU224" s="182"/>
      <c r="AV224" s="182"/>
      <c r="AW224" s="182"/>
      <c r="AX224" s="182"/>
      <c r="AY224" s="182"/>
      <c r="AZ224" s="182"/>
      <c r="BA224" s="182"/>
      <c r="BB224" s="183"/>
      <c r="BC224" s="39"/>
      <c r="BD224" s="34"/>
      <c r="BE224" s="34"/>
      <c r="BF224" s="116" t="str">
        <f>IF([7]回答表!X47="●",[7]回答表!B368,IF([7]回答表!AA47="●",[7]回答表!B385,""))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IF([7]回答表!X47="●",[7]回答表!E368,IF([7]回答表!AA47="●",[7]回答表!E385,""))</f>
        <v/>
      </c>
      <c r="BG227" s="84"/>
      <c r="BH227" s="84"/>
      <c r="BI227" s="84"/>
      <c r="BJ227" s="83" t="str">
        <f>IF([7]回答表!X47="●",[7]回答表!E369,IF([7]回答表!AA47="●",[7]回答表!E386,""))</f>
        <v/>
      </c>
      <c r="BK227" s="84"/>
      <c r="BL227" s="84"/>
      <c r="BM227" s="87"/>
      <c r="BN227" s="83" t="str">
        <f>IF([7]回答表!X47="●",[7]回答表!E370,IF([7]回答表!AA47="●",[7]回答表!E387,""))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IF([7]回答表!AA47="●","●","")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IF([7]回答表!AD47="●","●","")</f>
        <v/>
      </c>
      <c r="O236" s="99"/>
      <c r="P236" s="99"/>
      <c r="Q236" s="100"/>
      <c r="R236" s="38"/>
      <c r="S236" s="38"/>
      <c r="T236" s="38"/>
      <c r="U236" s="107" t="str">
        <f>IF([7]回答表!AD47="●",[7]回答表!B392,"")</f>
        <v/>
      </c>
      <c r="V236" s="108"/>
      <c r="W236" s="108"/>
      <c r="X236" s="108"/>
      <c r="Y236" s="108"/>
      <c r="Z236" s="108"/>
      <c r="AA236" s="108"/>
      <c r="AB236" s="108"/>
      <c r="AC236" s="108"/>
      <c r="AD236" s="108"/>
      <c r="AE236" s="108"/>
      <c r="AF236" s="108"/>
      <c r="AG236" s="108"/>
      <c r="AH236" s="108"/>
      <c r="AI236" s="108"/>
      <c r="AJ236" s="109"/>
      <c r="AK236" s="62"/>
      <c r="AL236" s="62"/>
      <c r="AM236" s="107" t="str">
        <f>IF([7]回答表!AD47="●",[7]回答表!B398,"")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IF([7]回答表!X48="●","●","")</f>
        <v/>
      </c>
      <c r="O248" s="99"/>
      <c r="P248" s="99"/>
      <c r="Q248" s="100"/>
      <c r="R248" s="38"/>
      <c r="S248" s="38"/>
      <c r="T248" s="38"/>
      <c r="U248" s="107" t="str">
        <f>IF([7]回答表!X48="●",[7]回答表!B411,IF([7]回答表!AA48="●",[7]回答表!B425,""))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IF([7]回答表!X48="●",[7]回答表!BC418,IF([7]回答表!AA48="●",[7]回答表!BC432,""))</f>
        <v/>
      </c>
      <c r="AR248" s="151"/>
      <c r="AS248" s="151"/>
      <c r="AT248" s="151"/>
      <c r="AU248" s="173" t="s">
        <v>73</v>
      </c>
      <c r="AV248" s="174"/>
      <c r="AW248" s="174"/>
      <c r="AX248" s="175"/>
      <c r="AY248" s="151" t="str">
        <f>IF([7]回答表!X48="●",[7]回答表!BC423,IF([7]回答表!AA48="●",[7]回答表!BC437,""))</f>
        <v/>
      </c>
      <c r="AZ248" s="151"/>
      <c r="BA248" s="151"/>
      <c r="BB248" s="151"/>
      <c r="BC248" s="39"/>
      <c r="BD248" s="34"/>
      <c r="BE248" s="34"/>
      <c r="BF248" s="116" t="str">
        <f>IF([7]回答表!X48="●",[7]回答表!S417,IF([7]回答表!AA48="●",[7]回答表!S431,""))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IF([7]回答表!X48="●",[7]回答表!BC419,IF([7]回答表!AA48="●",[7]回答表!BC433,""))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IF([7]回答表!X48="●",[7]回答表!V417,IF([7]回答表!AA48="●",[7]回答表!V431,""))</f>
        <v/>
      </c>
      <c r="BG251" s="84"/>
      <c r="BH251" s="84"/>
      <c r="BI251" s="84"/>
      <c r="BJ251" s="83" t="str">
        <f>IF([7]回答表!X48="●",[7]回答表!V418,IF([7]回答表!AA48="●",[7]回答表!V432,""))</f>
        <v/>
      </c>
      <c r="BK251" s="84"/>
      <c r="BL251" s="84"/>
      <c r="BM251" s="87"/>
      <c r="BN251" s="83" t="str">
        <f>IF([7]回答表!X48="●",[7]回答表!V419,IF([7]回答表!AA48="●",[7]回答表!V433,""))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IF([7]回答表!X48="●",[7]回答表!BC420,IF([7]回答表!AA48="●",[7]回答表!BC434,""))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IF([7]回答表!X48="●",[7]回答表!BC424,IF([7]回答表!AA48="●",[7]回答表!BC438,""))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IF([7]回答表!AA48="●","●","")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IF([7]回答表!X48="●",[7]回答表!BC421,IF([7]回答表!AA48="●",[7]回答表!BC435,""))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IF([7]回答表!X48="●",[7]回答表!BC422,IF([7]回答表!AA48="●",[7]回答表!BC436,""))</f>
        <v/>
      </c>
      <c r="AR256" s="151"/>
      <c r="AS256" s="151"/>
      <c r="AT256" s="151"/>
      <c r="AU256" s="152" t="s">
        <v>79</v>
      </c>
      <c r="AV256" s="153"/>
      <c r="AW256" s="153"/>
      <c r="AX256" s="154"/>
      <c r="AY256" s="158" t="str">
        <f>IF([7]回答表!X48="●",[7]回答表!BC425,IF([7]回答表!AA48="●",[7]回答表!BC439,""))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IF([7]回答表!AD48="●","●","")</f>
        <v/>
      </c>
      <c r="O260" s="99"/>
      <c r="P260" s="99"/>
      <c r="Q260" s="100"/>
      <c r="R260" s="38"/>
      <c r="S260" s="38"/>
      <c r="T260" s="38"/>
      <c r="U260" s="107" t="str">
        <f>IF([7]回答表!AD48="●",[7]回答表!B439,"")</f>
        <v/>
      </c>
      <c r="V260" s="108"/>
      <c r="W260" s="108"/>
      <c r="X260" s="108"/>
      <c r="Y260" s="108"/>
      <c r="Z260" s="108"/>
      <c r="AA260" s="108"/>
      <c r="AB260" s="108"/>
      <c r="AC260" s="108"/>
      <c r="AD260" s="108"/>
      <c r="AE260" s="108"/>
      <c r="AF260" s="108"/>
      <c r="AG260" s="108"/>
      <c r="AH260" s="108"/>
      <c r="AI260" s="108"/>
      <c r="AJ260" s="109"/>
      <c r="AK260" s="55"/>
      <c r="AL260" s="55"/>
      <c r="AM260" s="107" t="str">
        <f>IF([7]回答表!AD48="●",[7]回答表!B445,"")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IF([7]回答表!X49="●","●","")</f>
        <v/>
      </c>
      <c r="O271" s="99"/>
      <c r="P271" s="99"/>
      <c r="Q271" s="100"/>
      <c r="R271" s="38"/>
      <c r="S271" s="38"/>
      <c r="T271" s="38"/>
      <c r="U271" s="107" t="str">
        <f>IF([7]回答表!X49="●",[7]回答表!B458,IF([7]回答表!AA49="●",[7]回答表!B475,""))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IF([7]回答表!X49="●",[7]回答表!B468,IF([7]回答表!AA49="●",[7]回答表!B485,""))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IF([7]回答表!X49="●",[7]回答表!G464,IF([7]回答表!AA49="●",[7]回答表!G481,""))</f>
        <v/>
      </c>
      <c r="AN273" s="120"/>
      <c r="AO273" s="120"/>
      <c r="AP273" s="120"/>
      <c r="AQ273" s="120"/>
      <c r="AR273" s="120"/>
      <c r="AS273" s="120"/>
      <c r="AT273" s="121"/>
      <c r="AU273" s="119" t="str">
        <f>IF([7]回答表!X49="●",[7]回答表!G465,IF([7]回答表!AA49="●",[7]回答表!G482,""))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IF([7]回答表!X49="●",[7]回答表!E468,IF([7]回答表!AA49="●",[7]回答表!E485,""))</f>
        <v/>
      </c>
      <c r="BG274" s="84"/>
      <c r="BH274" s="84"/>
      <c r="BI274" s="84"/>
      <c r="BJ274" s="83" t="str">
        <f>IF([7]回答表!X49="●",[7]回答表!E469,IF([7]回答表!AA49="●",[7]回答表!E486,""))</f>
        <v/>
      </c>
      <c r="BK274" s="84"/>
      <c r="BL274" s="84"/>
      <c r="BM274" s="87"/>
      <c r="BN274" s="83" t="str">
        <f>IF([7]回答表!X49="●",[7]回答表!E470,IF([7]回答表!AA49="●",[7]回答表!E487,""))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IF([7]回答表!AA49="●","●","")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IF([7]回答表!AD49="●","●","")</f>
        <v/>
      </c>
      <c r="O283" s="99"/>
      <c r="P283" s="99"/>
      <c r="Q283" s="100"/>
      <c r="R283" s="38"/>
      <c r="S283" s="38"/>
      <c r="T283" s="38"/>
      <c r="U283" s="107" t="str">
        <f>IF([7]回答表!AD49="●",[7]回答表!B492,"")</f>
        <v/>
      </c>
      <c r="V283" s="108"/>
      <c r="W283" s="108"/>
      <c r="X283" s="108"/>
      <c r="Y283" s="108"/>
      <c r="Z283" s="108"/>
      <c r="AA283" s="108"/>
      <c r="AB283" s="108"/>
      <c r="AC283" s="108"/>
      <c r="AD283" s="108"/>
      <c r="AE283" s="108"/>
      <c r="AF283" s="108"/>
      <c r="AG283" s="108"/>
      <c r="AH283" s="108"/>
      <c r="AI283" s="108"/>
      <c r="AJ283" s="109"/>
      <c r="AK283" s="49"/>
      <c r="AL283" s="49"/>
      <c r="AM283" s="107" t="str">
        <f>IF([7]回答表!AD49="●",[7]回答表!B498,"")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IF([7]回答表!R50="●",[7]回答表!B511,"")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5E906-0B45-425E-B898-B9C3B83B0964}">
  <sheetPr>
    <pageSetUpPr fitToPage="1"/>
  </sheetPr>
  <dimension ref="A1:CN315"/>
  <sheetViews>
    <sheetView showZeros="0" view="pageBreakPreview" zoomScale="60" zoomScaleNormal="55" workbookViewId="0">
      <selection activeCell="I17" sqref="I1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IF(COUNTIF([5]回答表!K15,"*")&gt;0,[5]回答表!K15,"")</f>
        <v>能代市</v>
      </c>
      <c r="D11" s="299"/>
      <c r="E11" s="299"/>
      <c r="F11" s="299"/>
      <c r="G11" s="299"/>
      <c r="H11" s="299"/>
      <c r="I11" s="299"/>
      <c r="J11" s="299"/>
      <c r="K11" s="299"/>
      <c r="L11" s="299"/>
      <c r="M11" s="299"/>
      <c r="N11" s="299"/>
      <c r="O11" s="299"/>
      <c r="P11" s="299"/>
      <c r="Q11" s="299"/>
      <c r="R11" s="299"/>
      <c r="S11" s="299"/>
      <c r="T11" s="299"/>
      <c r="U11" s="306" t="str">
        <f>IF(COUNTIF([5]回答表!F17,"*")&gt;0,[5]回答表!F17,"")</f>
        <v>簡易水道事業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IF(COUNTIF([5]回答表!W17,"*")&gt;0,[5]回答表!W17,"")</f>
        <v>―</v>
      </c>
      <c r="AP11" s="301"/>
      <c r="AQ11" s="301"/>
      <c r="AR11" s="301"/>
      <c r="AS11" s="301"/>
      <c r="AT11" s="301"/>
      <c r="AU11" s="301"/>
      <c r="AV11" s="301"/>
      <c r="AW11" s="301"/>
      <c r="AX11" s="301"/>
      <c r="AY11" s="301"/>
      <c r="AZ11" s="301"/>
      <c r="BA11" s="301"/>
      <c r="BB11" s="301"/>
      <c r="BC11" s="301"/>
      <c r="BD11" s="301"/>
      <c r="BE11" s="301"/>
      <c r="BF11" s="302"/>
      <c r="BG11" s="305" t="str">
        <f>IF(COUNTIF([5]回答表!F19,"*")&gt;0,[5]回答表!F19,"")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IF([5]回答表!R43="●","●","")</f>
        <v>●</v>
      </c>
      <c r="E24" s="123"/>
      <c r="F24" s="123"/>
      <c r="G24" s="123"/>
      <c r="H24" s="123"/>
      <c r="I24" s="123"/>
      <c r="J24" s="124"/>
      <c r="K24" s="122" t="str">
        <f>IF([5]回答表!R44="●","●","")</f>
        <v/>
      </c>
      <c r="L24" s="123"/>
      <c r="M24" s="123"/>
      <c r="N24" s="123"/>
      <c r="O24" s="123"/>
      <c r="P24" s="123"/>
      <c r="Q24" s="124"/>
      <c r="R24" s="122" t="str">
        <f>IF([5]回答表!R45="●","●","")</f>
        <v/>
      </c>
      <c r="S24" s="123"/>
      <c r="T24" s="123"/>
      <c r="U24" s="123"/>
      <c r="V24" s="123"/>
      <c r="W24" s="123"/>
      <c r="X24" s="124"/>
      <c r="Y24" s="122" t="str">
        <f>IF([5]回答表!R46="●","●","")</f>
        <v/>
      </c>
      <c r="Z24" s="123"/>
      <c r="AA24" s="123"/>
      <c r="AB24" s="123"/>
      <c r="AC24" s="123"/>
      <c r="AD24" s="123"/>
      <c r="AE24" s="124"/>
      <c r="AF24" s="122" t="str">
        <f>IF([5]回答表!R47="●","●","")</f>
        <v/>
      </c>
      <c r="AG24" s="123"/>
      <c r="AH24" s="123"/>
      <c r="AI24" s="123"/>
      <c r="AJ24" s="123"/>
      <c r="AK24" s="123"/>
      <c r="AL24" s="124"/>
      <c r="AM24" s="122" t="str">
        <f>IF([5]回答表!R48="●","●","")</f>
        <v/>
      </c>
      <c r="AN24" s="123"/>
      <c r="AO24" s="123"/>
      <c r="AP24" s="123"/>
      <c r="AQ24" s="123"/>
      <c r="AR24" s="123"/>
      <c r="AS24" s="124"/>
      <c r="AT24" s="122" t="str">
        <f>IF([5]回答表!R49="●","●","")</f>
        <v/>
      </c>
      <c r="AU24" s="123"/>
      <c r="AV24" s="123"/>
      <c r="AW24" s="123"/>
      <c r="AX24" s="123"/>
      <c r="AY24" s="123"/>
      <c r="AZ24" s="124"/>
      <c r="BA24" s="18"/>
      <c r="BB24" s="119" t="str">
        <f>IF([5]回答表!R50="●","●","")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IF([5]回答表!X43="●","●","")</f>
        <v>●</v>
      </c>
      <c r="O36" s="99"/>
      <c r="P36" s="99"/>
      <c r="Q36" s="100"/>
      <c r="R36" s="38"/>
      <c r="S36" s="38"/>
      <c r="T36" s="38"/>
      <c r="U36" s="107" t="str">
        <f>IF([5]回答表!X43="●",[5]回答表!B59,IF([5]回答表!AA43="●",[5]回答表!B79,""))</f>
        <v>法適用簡易水道事業（鶴形簡易水道）を水道事業に統合した。</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IF([5]回答表!X43="●",[5]回答表!S65,IF([5]回答表!AA43="●",[5]回答表!S85,""))</f>
        <v>平成</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IF([5]回答表!X43="●",[5]回答表!G65,IF([5]回答表!AA43="●",[5]回答表!G85,""))</f>
        <v>●</v>
      </c>
      <c r="AN38" s="120"/>
      <c r="AO38" s="120"/>
      <c r="AP38" s="120"/>
      <c r="AQ38" s="120"/>
      <c r="AR38" s="120"/>
      <c r="AS38" s="120"/>
      <c r="AT38" s="121"/>
      <c r="AU38" s="119">
        <f>IF([5]回答表!X43="●",[5]回答表!G66,IF([5]回答表!AA43="●",[5]回答表!G86,""))</f>
        <v>0</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f>IF([5]回答表!X43="●",[5]回答表!V65,IF([5]回答表!AA43="●",[5]回答表!V85,""))</f>
        <v>29</v>
      </c>
      <c r="BG39" s="249"/>
      <c r="BH39" s="249"/>
      <c r="BI39" s="250"/>
      <c r="BJ39" s="83">
        <f>IF([5]回答表!X43="●",[5]回答表!V66,IF([5]回答表!AA43="●",[5]回答表!V86,""))</f>
        <v>4</v>
      </c>
      <c r="BK39" s="249"/>
      <c r="BL39" s="249"/>
      <c r="BM39" s="250"/>
      <c r="BN39" s="83">
        <f>IF([5]回答表!X43="●",[5]回答表!V67,IF([5]回答表!AA43="●",[5]回答表!V87,""))</f>
        <v>1</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IF([5]回答表!X43="●",[5]回答表!O71,IF([5]回答表!AA43="●",[5]回答表!O91,""))</f>
        <v xml:space="preserve">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IF([5]回答表!X43="●",[5]回答表!O72,IF([5]回答表!AA43="●",[5]回答表!O92,""))</f>
        <v xml:space="preserve">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IF([5]回答表!AA43="●","●","")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IF([5]回答表!X43="●",[5]回答表!O73,IF([5]回答表!AA43="●",[5]回答表!O93,""))</f>
        <v xml:space="preserve">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IF([5]回答表!X43="●",[5]回答表!O74,IF([5]回答表!AA43="●",[5]回答表!O94,""))</f>
        <v xml:space="preserve">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IF([5]回答表!X43="●",[5]回答表!AG71,IF([5]回答表!AA43="●",[5]回答表!AG91,""))</f>
        <v>●</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f>IF([5]回答表!X43="●",[5]回答表!AG72,IF([5]回答表!AA43="●",[5]回答表!AG92,""))</f>
        <v>0</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IF([5]回答表!AD43="●","●","")</f>
        <v/>
      </c>
      <c r="O51" s="99"/>
      <c r="P51" s="99"/>
      <c r="Q51" s="100"/>
      <c r="R51" s="38"/>
      <c r="S51" s="38"/>
      <c r="T51" s="38"/>
      <c r="U51" s="107" t="str">
        <f>IF([5]回答表!AD43="●",[5]回答表!B99,"")</f>
        <v/>
      </c>
      <c r="V51" s="108"/>
      <c r="W51" s="108"/>
      <c r="X51" s="108"/>
      <c r="Y51" s="108"/>
      <c r="Z51" s="108"/>
      <c r="AA51" s="108"/>
      <c r="AB51" s="108"/>
      <c r="AC51" s="108"/>
      <c r="AD51" s="108"/>
      <c r="AE51" s="108"/>
      <c r="AF51" s="108"/>
      <c r="AG51" s="108"/>
      <c r="AH51" s="108"/>
      <c r="AI51" s="108"/>
      <c r="AJ51" s="109"/>
      <c r="AK51" s="55"/>
      <c r="AL51" s="55"/>
      <c r="AM51" s="107" t="str">
        <f>IF([5]回答表!AD43="●",[5]回答表!B104,"")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IF([5]回答表!X44="●","●","")</f>
        <v/>
      </c>
      <c r="O62" s="99"/>
      <c r="P62" s="99"/>
      <c r="Q62" s="100"/>
      <c r="R62" s="38"/>
      <c r="S62" s="38"/>
      <c r="T62" s="38"/>
      <c r="U62" s="107" t="str">
        <f>IF([5]回答表!X44="●",[5]回答表!B115,IF([5]回答表!AA44="●",[5]回答表!B127,""))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IF([5]回答表!X44="●",[5]回答表!S121,IF([5]回答表!AA44="●",[5]回答表!S133,""))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IF([5]回答表!X44="●",[5]回答表!J121,IF([5]回答表!AA44="●",[5]回答表!J133,""))</f>
        <v/>
      </c>
      <c r="AN65" s="120"/>
      <c r="AO65" s="120"/>
      <c r="AP65" s="120"/>
      <c r="AQ65" s="120"/>
      <c r="AR65" s="120"/>
      <c r="AS65" s="120"/>
      <c r="AT65" s="121"/>
      <c r="AU65" s="119" t="str">
        <f>IF([5]回答表!X44="●",[5]回答表!J122,IF([5]回答表!AA44="●",[5]回答表!J134,""))</f>
        <v/>
      </c>
      <c r="AV65" s="120"/>
      <c r="AW65" s="120"/>
      <c r="AX65" s="120"/>
      <c r="AY65" s="120"/>
      <c r="AZ65" s="120"/>
      <c r="BA65" s="120"/>
      <c r="BB65" s="121"/>
      <c r="BC65" s="39"/>
      <c r="BD65" s="34"/>
      <c r="BE65" s="34"/>
      <c r="BF65" s="83" t="str">
        <f>IF([5]回答表!X44="●",[5]回答表!V121,IF([5]回答表!AA44="●",[5]回答表!V133,""))</f>
        <v/>
      </c>
      <c r="BG65" s="84"/>
      <c r="BH65" s="84"/>
      <c r="BI65" s="84"/>
      <c r="BJ65" s="83" t="str">
        <f>IF([5]回答表!X44="●",[5]回答表!V122,IF([5]回答表!AA44="●",[5]回答表!V134,""))</f>
        <v/>
      </c>
      <c r="BK65" s="84"/>
      <c r="BL65" s="84"/>
      <c r="BM65" s="84"/>
      <c r="BN65" s="83" t="str">
        <f>IF([5]回答表!X44="●",[5]回答表!V123,IF([5]回答表!AA44="●",[5]回答表!V135,""))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IF([5]回答表!AA44="●","●","")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IF([5]回答表!AD44="●","●","")</f>
        <v/>
      </c>
      <c r="O74" s="99"/>
      <c r="P74" s="99"/>
      <c r="Q74" s="100"/>
      <c r="R74" s="38"/>
      <c r="S74" s="38"/>
      <c r="T74" s="38"/>
      <c r="U74" s="107" t="str">
        <f>IF([5]回答表!AD44="●",[5]回答表!B140,"")</f>
        <v/>
      </c>
      <c r="V74" s="108"/>
      <c r="W74" s="108"/>
      <c r="X74" s="108"/>
      <c r="Y74" s="108"/>
      <c r="Z74" s="108"/>
      <c r="AA74" s="108"/>
      <c r="AB74" s="108"/>
      <c r="AC74" s="108"/>
      <c r="AD74" s="108"/>
      <c r="AE74" s="108"/>
      <c r="AF74" s="108"/>
      <c r="AG74" s="108"/>
      <c r="AH74" s="108"/>
      <c r="AI74" s="108"/>
      <c r="AJ74" s="109"/>
      <c r="AK74" s="55"/>
      <c r="AL74" s="55"/>
      <c r="AM74" s="107" t="str">
        <f>IF([5]回答表!AD44="●",[5]回答表!B146,"")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IF([5]回答表!F17="水道事業",IF([5]回答表!X45="●","●",""),"")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IF([5]回答表!F17="水道事業",IF([5]回答表!X45="●",[5]回答表!B158,IF([5]回答表!AA45="●",[5]回答表!B223,"")),"")</f>
        <v/>
      </c>
      <c r="AN86" s="212"/>
      <c r="AO86" s="212"/>
      <c r="AP86" s="212"/>
      <c r="AQ86" s="212"/>
      <c r="AR86" s="212"/>
      <c r="AS86" s="212"/>
      <c r="AT86" s="212"/>
      <c r="AU86" s="212"/>
      <c r="AV86" s="212"/>
      <c r="AW86" s="212"/>
      <c r="AX86" s="212"/>
      <c r="AY86" s="212"/>
      <c r="AZ86" s="212"/>
      <c r="BA86" s="212"/>
      <c r="BB86" s="212"/>
      <c r="BC86" s="213"/>
      <c r="BD86" s="34"/>
      <c r="BE86" s="34"/>
      <c r="BF86" s="116" t="str">
        <f>IF([5]回答表!F17="水道事業",IF([5]回答表!X45="●",[5]回答表!B212,IF([5]回答表!AA45="●",[5]回答表!B278,"")),"")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IF([5]回答表!F17="水道事業",IF([5]回答表!X45="●",[5]回答表!J166,IF([5]回答表!AA45="●",[5]回答表!J231,"")),"")</f>
        <v/>
      </c>
      <c r="V88" s="120"/>
      <c r="W88" s="120"/>
      <c r="X88" s="120"/>
      <c r="Y88" s="120"/>
      <c r="Z88" s="120"/>
      <c r="AA88" s="120"/>
      <c r="AB88" s="121"/>
      <c r="AC88" s="119" t="str">
        <f>IF([5]回答表!F17="水道事業",IF([5]回答表!X45="●",[5]回答表!J173,IF([5]回答表!AA45="●",[5]回答表!J238,"")),"")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IF([5]回答表!F17="水道事業",IF([5]回答表!X45="●",[5]回答表!E212,IF([5]回答表!AA45="●",[5]回答表!E278,"")),"")</f>
        <v/>
      </c>
      <c r="BG89" s="84"/>
      <c r="BH89" s="84"/>
      <c r="BI89" s="84"/>
      <c r="BJ89" s="83" t="str">
        <f>IF([5]回答表!F17="水道事業",IF([5]回答表!X45="●",[5]回答表!E213,IF([5]回答表!AA45="●",[5]回答表!E279,"")),"")</f>
        <v/>
      </c>
      <c r="BK89" s="84"/>
      <c r="BL89" s="84"/>
      <c r="BM89" s="84"/>
      <c r="BN89" s="83" t="str">
        <f>IF([5]回答表!F17="水道事業",IF([5]回答表!X45="●",[5]回答表!E214,IF([5]回答表!AA45="●",[5]回答表!E280,"")),"")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IF([5]回答表!F17="水道事業",IF([5]回答表!AA45="●","●",""),"")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IF([5]回答表!F17="水道事業",IF([5]回答表!X45="●",[5]回答表!J176,IF([5]回答表!AA45="●",[5]回答表!J241,"")),"")</f>
        <v/>
      </c>
      <c r="V93" s="120"/>
      <c r="W93" s="120"/>
      <c r="X93" s="120"/>
      <c r="Y93" s="120"/>
      <c r="Z93" s="120"/>
      <c r="AA93" s="120"/>
      <c r="AB93" s="121"/>
      <c r="AC93" s="119" t="str">
        <f>IF([5]回答表!F17="水道事業",IF([5]回答表!X45="●",[5]回答表!J180,IF([5]回答表!AA45="●",[5]回答表!J245,"")),"")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IF([5]回答表!F17="水道事業",IF([5]回答表!AD45="●","●",""),"")</f>
        <v/>
      </c>
      <c r="O98" s="99"/>
      <c r="P98" s="99"/>
      <c r="Q98" s="100"/>
      <c r="R98" s="38"/>
      <c r="S98" s="38"/>
      <c r="T98" s="38"/>
      <c r="U98" s="107" t="str">
        <f>IF([5]回答表!F17="水道事業",IF([5]回答表!AD45="●",[5]回答表!B289,""),"")</f>
        <v/>
      </c>
      <c r="V98" s="108"/>
      <c r="W98" s="108"/>
      <c r="X98" s="108"/>
      <c r="Y98" s="108"/>
      <c r="Z98" s="108"/>
      <c r="AA98" s="108"/>
      <c r="AB98" s="108"/>
      <c r="AC98" s="108"/>
      <c r="AD98" s="108"/>
      <c r="AE98" s="108"/>
      <c r="AF98" s="108"/>
      <c r="AG98" s="108"/>
      <c r="AH98" s="108"/>
      <c r="AI98" s="108"/>
      <c r="AJ98" s="109"/>
      <c r="AK98" s="55"/>
      <c r="AL98" s="55"/>
      <c r="AM98" s="107" t="str">
        <f>IF([5]回答表!F17="水道事業",IF([5]回答表!AD45="●",[5]回答表!B295,""),"")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IF([5]回答表!F17="簡易水道事業",IF([5]回答表!X45="●",[5]回答表!B158,IF([5]回答表!AA45="●",[5]回答表!B223,"")),"")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IF([5]回答表!F17="簡易水道事業",IF([5]回答表!X45="●",[5]回答表!B212,IF([5]回答表!AA45="●",[5]回答表!B278,"")),"")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IF([5]回答表!F17="簡易水道事業",IF([5]回答表!X45="●","●",""),"")</f>
        <v/>
      </c>
      <c r="O112" s="99"/>
      <c r="P112" s="99"/>
      <c r="Q112" s="100"/>
      <c r="R112" s="38"/>
      <c r="S112" s="38"/>
      <c r="T112" s="38"/>
      <c r="U112" s="119" t="str">
        <f>IF([5]回答表!F17="簡易水道事業",IF([5]回答表!X45="●",[5]回答表!Y185,IF([5]回答表!AA45="●",[5]回答表!Y251,"")),"")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IF([5]回答表!F17="簡易水道事業",IF([5]回答表!X45="●",[5]回答表!E212,IF([5]回答表!AA45="●",[5]回答表!E278,"")),"")</f>
        <v/>
      </c>
      <c r="BG113" s="84"/>
      <c r="BH113" s="84"/>
      <c r="BI113" s="84"/>
      <c r="BJ113" s="83" t="str">
        <f>IF([5]回答表!F17="簡易水道事業",IF([5]回答表!X45="●",[5]回答表!E213,IF([5]回答表!AA45="●",[5]回答表!E279,"")),"")</f>
        <v/>
      </c>
      <c r="BK113" s="84"/>
      <c r="BL113" s="84"/>
      <c r="BM113" s="84"/>
      <c r="BN113" s="83" t="str">
        <f>IF([5]回答表!F17="簡易水道事業",IF([5]回答表!X45="●",[5]回答表!E214,IF([5]回答表!AA45="●",[5]回答表!E280,"")),"")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IF([5]回答表!F17="簡易水道事業",IF([5]回答表!X45="●",[5]回答表!Y186,IF([5]回答表!AA45="●",[5]回答表!Y252,"")),"")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IF([5]回答表!F17="簡易水道事業",IF([5]回答表!AA45="●","●",""),"")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IF([5]回答表!F17="簡易水道事業",IF([5]回答表!X45="●",[5]回答表!Y187,IF([5]回答表!AA45="●",[5]回答表!Y253,"")),"")</f>
        <v/>
      </c>
      <c r="V122" s="120"/>
      <c r="W122" s="120"/>
      <c r="X122" s="120"/>
      <c r="Y122" s="120"/>
      <c r="Z122" s="120"/>
      <c r="AA122" s="120"/>
      <c r="AB122" s="120"/>
      <c r="AC122" s="120"/>
      <c r="AD122" s="120"/>
      <c r="AE122" s="120"/>
      <c r="AF122" s="120"/>
      <c r="AG122" s="120"/>
      <c r="AH122" s="120"/>
      <c r="AI122" s="120"/>
      <c r="AJ122" s="121"/>
      <c r="AK122" s="18"/>
      <c r="AL122" s="18"/>
      <c r="AM122" s="228" t="str">
        <f>IF([5]回答表!F17="簡易水道事業",IF([5]回答表!X45="●",[5]回答表!Y189,IF([5]回答表!AA45="●",[5]回答表!Y255,"")),"")</f>
        <v/>
      </c>
      <c r="AN122" s="228"/>
      <c r="AO122" s="228"/>
      <c r="AP122" s="228"/>
      <c r="AQ122" s="228"/>
      <c r="AR122" s="228"/>
      <c r="AS122" s="228" t="str">
        <f>IF([5]回答表!F17="簡易水道事業",IF([5]回答表!X45="●",[5]回答表!Y190,IF([5]回答表!AA45="●",[5]回答表!Y256,"")),"")</f>
        <v/>
      </c>
      <c r="AT122" s="228"/>
      <c r="AU122" s="228"/>
      <c r="AV122" s="228"/>
      <c r="AW122" s="228"/>
      <c r="AX122" s="228"/>
      <c r="AY122" s="228" t="str">
        <f>IF([5]回答表!F17="簡易水道事業",IF([5]回答表!X45="●",[5]回答表!Y191,IF([5]回答表!AA45="●",[5]回答表!Y257,"")),"")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IF([5]回答表!F17="簡易水道事業",IF([5]回答表!AD45="●","●",""),"")</f>
        <v/>
      </c>
      <c r="O127" s="99"/>
      <c r="P127" s="99"/>
      <c r="Q127" s="100"/>
      <c r="R127" s="38"/>
      <c r="S127" s="38"/>
      <c r="T127" s="38"/>
      <c r="U127" s="107" t="str">
        <f>IF([5]回答表!F17="簡易水道事業",IF([5]回答表!AD45="●",[5]回答表!B289,""),"")</f>
        <v/>
      </c>
      <c r="V127" s="108"/>
      <c r="W127" s="108"/>
      <c r="X127" s="108"/>
      <c r="Y127" s="108"/>
      <c r="Z127" s="108"/>
      <c r="AA127" s="108"/>
      <c r="AB127" s="108"/>
      <c r="AC127" s="108"/>
      <c r="AD127" s="108"/>
      <c r="AE127" s="108"/>
      <c r="AF127" s="108"/>
      <c r="AG127" s="108"/>
      <c r="AH127" s="108"/>
      <c r="AI127" s="108"/>
      <c r="AJ127" s="109"/>
      <c r="AK127" s="55"/>
      <c r="AL127" s="55"/>
      <c r="AM127" s="107" t="str">
        <f>IF([5]回答表!F17="簡易水道事業",IF([5]回答表!AD45="●",[5]回答表!B295,""),"")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IF([5]回答表!F17="下水道事業",IF([5]回答表!X45="●","●",""),"")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IF([5]回答表!F17="下水道事業",IF([5]回答表!X45="●",[5]回答表!B158,IF([5]回答表!AA45="●",[5]回答表!B223,"")),"")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IF([5]回答表!F17="下水道事業",IF([5]回答表!X45="●",[5]回答表!B212,IF([5]回答表!AA45="●",[5]回答表!B278,"")),"")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IF([5]回答表!F17="下水道事業",IF([5]回答表!X45="●",[5]回答表!Y193,IF([5]回答表!AA45="●",[5]回答表!Y259,"")),"")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IF([5]回答表!F17="下水道事業",IF([5]回答表!X45="●",[5]回答表!E212,IF([5]回答表!AA45="●",[5]回答表!E278,"")),"")</f>
        <v/>
      </c>
      <c r="BG142" s="84"/>
      <c r="BH142" s="84"/>
      <c r="BI142" s="84"/>
      <c r="BJ142" s="83" t="str">
        <f>IF([5]回答表!F17="下水道事業",IF([5]回答表!X45="●",[5]回答表!E213,IF([5]回答表!AA45="●",[5]回答表!E279,"")),"")</f>
        <v/>
      </c>
      <c r="BK142" s="84"/>
      <c r="BL142" s="84"/>
      <c r="BM142" s="84"/>
      <c r="BN142" s="83" t="str">
        <f>IF([5]回答表!F17="下水道事業",IF([5]回答表!X45="●",[5]回答表!E214,IF([5]回答表!AA45="●",[5]回答表!E280,"")),"")</f>
        <v/>
      </c>
      <c r="BO142" s="84"/>
      <c r="BP142" s="84"/>
      <c r="BQ142" s="87"/>
      <c r="BR142" s="37"/>
      <c r="BX142" s="211" t="str">
        <f>IF([5]回答表!AQ20="下水道事業",IF([5]回答表!BI48="○",[5]回答表!AM161,IF([5]回答表!BL48="○",[5]回答表!AM226,"")),"")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IF([5]回答表!F17="下水道事業",IF([5]回答表!X45="●",[5]回答表!Y195,IF([5]回答表!AA45="●",[5]回答表!Y261,"")),"")</f>
        <v/>
      </c>
      <c r="V147" s="120"/>
      <c r="W147" s="120"/>
      <c r="X147" s="120"/>
      <c r="Y147" s="120"/>
      <c r="Z147" s="120"/>
      <c r="AA147" s="120"/>
      <c r="AB147" s="121"/>
      <c r="AC147" s="119" t="str">
        <f>IF([5]回答表!F17="下水道事業",IF([5]回答表!X45="●",[5]回答表!Y196,IF([5]回答表!AA45="●",[5]回答表!Y262,"")),"")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IF([5]回答表!F17="下水道事業",IF([5]回答表!X45="●",[5]回答表!Y198,IF([5]回答表!AA45="●",[5]回答表!Y264,"")),"")</f>
        <v/>
      </c>
      <c r="V153" s="120"/>
      <c r="W153" s="120"/>
      <c r="X153" s="120"/>
      <c r="Y153" s="120"/>
      <c r="Z153" s="120"/>
      <c r="AA153" s="120"/>
      <c r="AB153" s="121"/>
      <c r="AC153" s="119" t="str">
        <f>IF([5]回答表!F17="下水道事業",IF([5]回答表!X45="●",[5]回答表!Y199,IF([5]回答表!AA45="●",[5]回答表!Y265,"")),"")</f>
        <v/>
      </c>
      <c r="AD153" s="120"/>
      <c r="AE153" s="120"/>
      <c r="AF153" s="120"/>
      <c r="AG153" s="120"/>
      <c r="AH153" s="120"/>
      <c r="AI153" s="120"/>
      <c r="AJ153" s="121"/>
      <c r="AK153" s="119" t="str">
        <f>IF([5]回答表!F17="下水道事業",IF([5]回答表!X45="●",[5]回答表!Y200,IF([5]回答表!AA45="●",[5]回答表!Y266,"")),"")</f>
        <v/>
      </c>
      <c r="AL153" s="120"/>
      <c r="AM153" s="120"/>
      <c r="AN153" s="120"/>
      <c r="AO153" s="120"/>
      <c r="AP153" s="120"/>
      <c r="AQ153" s="120"/>
      <c r="AR153" s="121"/>
      <c r="AS153" s="119" t="str">
        <f>IF([5]回答表!F17="下水道事業",IF([5]回答表!X45="●",[5]回答表!Y201,IF([5]回答表!AA45="●",[5]回答表!Y267,"")),"")</f>
        <v/>
      </c>
      <c r="AT153" s="120"/>
      <c r="AU153" s="120"/>
      <c r="AV153" s="120"/>
      <c r="AW153" s="120"/>
      <c r="AX153" s="120"/>
      <c r="AY153" s="120"/>
      <c r="AZ153" s="121"/>
      <c r="BA153" s="119" t="str">
        <f>IF([5]回答表!F17="下水道事業",IF([5]回答表!X45="●",[5]回答表!Y202,IF([5]回答表!AA45="●",[5]回答表!Y268,"")),"")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IF([5]回答表!F17="下水道事業",IF([5]回答表!AA45="●","●",""),"")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IF([5]回答表!F17="下水道事業",IF([5]回答表!X45="●",[5]回答表!Y207,IF([5]回答表!AA45="●",[5]回答表!Y273,"")),"")</f>
        <v/>
      </c>
      <c r="V159" s="120"/>
      <c r="W159" s="120"/>
      <c r="X159" s="120"/>
      <c r="Y159" s="120"/>
      <c r="Z159" s="120"/>
      <c r="AA159" s="120"/>
      <c r="AB159" s="121"/>
      <c r="AC159" s="119" t="str">
        <f>IF([5]回答表!F17="下水道事業",IF([5]回答表!X45="●",[5]回答表!Y208,IF([5]回答表!AA45="●",[5]回答表!Y274,"")),"")</f>
        <v/>
      </c>
      <c r="AD159" s="120"/>
      <c r="AE159" s="120"/>
      <c r="AF159" s="120"/>
      <c r="AG159" s="120"/>
      <c r="AH159" s="120"/>
      <c r="AI159" s="120"/>
      <c r="AJ159" s="121"/>
      <c r="AK159" s="119" t="str">
        <f>IF([5]回答表!F17="下水道事業",IF([5]回答表!X45="●",[5]回答表!Y209,IF([5]回答表!AA45="●",[5]回答表!Y275,"")),"")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IF([5]回答表!F17="下水道事業",IF([5]回答表!AD45="●","●",""),"")</f>
        <v/>
      </c>
      <c r="O164" s="99"/>
      <c r="P164" s="99"/>
      <c r="Q164" s="100"/>
      <c r="R164" s="38"/>
      <c r="S164" s="38"/>
      <c r="T164" s="38"/>
      <c r="U164" s="107" t="str">
        <f>IF([5]回答表!F17="下水道事業",IF([5]回答表!AD45="●",[5]回答表!B289,""),"")</f>
        <v/>
      </c>
      <c r="V164" s="108"/>
      <c r="W164" s="108"/>
      <c r="X164" s="108"/>
      <c r="Y164" s="108"/>
      <c r="Z164" s="108"/>
      <c r="AA164" s="108"/>
      <c r="AB164" s="108"/>
      <c r="AC164" s="108"/>
      <c r="AD164" s="108"/>
      <c r="AE164" s="108"/>
      <c r="AF164" s="108"/>
      <c r="AG164" s="108"/>
      <c r="AH164" s="108"/>
      <c r="AI164" s="108"/>
      <c r="AJ164" s="109"/>
      <c r="AK164" s="55"/>
      <c r="AL164" s="55"/>
      <c r="AM164" s="107" t="str">
        <f>IF([5]回答表!F17="下水道事業",IF([5]回答表!AD45="●",[5]回答表!B295,""),"")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IF([5]回答表!BD17="●",IF([5]回答表!X45="●","●",""),"")</f>
        <v/>
      </c>
      <c r="O176" s="99"/>
      <c r="P176" s="99"/>
      <c r="Q176" s="100"/>
      <c r="R176" s="38"/>
      <c r="S176" s="38"/>
      <c r="T176" s="38"/>
      <c r="U176" s="107" t="str">
        <f>IF([5]回答表!BD17="●",IF([5]回答表!X45="●",[5]回答表!B158,IF([5]回答表!AA45="●",[5]回答表!B223,"")),"")</f>
        <v/>
      </c>
      <c r="V176" s="108"/>
      <c r="W176" s="108"/>
      <c r="X176" s="108"/>
      <c r="Y176" s="108"/>
      <c r="Z176" s="108"/>
      <c r="AA176" s="108"/>
      <c r="AB176" s="108"/>
      <c r="AC176" s="108"/>
      <c r="AD176" s="108"/>
      <c r="AE176" s="108"/>
      <c r="AF176" s="108"/>
      <c r="AG176" s="108"/>
      <c r="AH176" s="108"/>
      <c r="AI176" s="108"/>
      <c r="AJ176" s="109"/>
      <c r="AK176" s="49"/>
      <c r="AL176" s="49"/>
      <c r="AM176" s="116" t="str">
        <f>IF([5]回答表!BD17="●",IF([5]回答表!X45="●",[5]回答表!B212,IF([5]回答表!AA45="●",[5]回答表!B278,"")),"")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IF([5]回答表!BD17="●",IF([5]回答表!X45="●",[5]回答表!E212,IF([5]回答表!AA45="●",[5]回答表!E278,"")),"")</f>
        <v/>
      </c>
      <c r="AN179" s="84"/>
      <c r="AO179" s="84"/>
      <c r="AP179" s="84"/>
      <c r="AQ179" s="83" t="str">
        <f>IF([5]回答表!BD17="●",IF([5]回答表!X45="●",[5]回答表!E213,IF([5]回答表!AA45="●",[5]回答表!E279,"")),"")</f>
        <v/>
      </c>
      <c r="AR179" s="84"/>
      <c r="AS179" s="84"/>
      <c r="AT179" s="84"/>
      <c r="AU179" s="83" t="str">
        <f>IF([5]回答表!BD17="●",IF([5]回答表!X45="●",[5]回答表!E214,IF([5]回答表!AA45="●",[5]回答表!E280,"")),"")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IF([5]回答表!BD17="●",IF([5]回答表!AA45="●","●",""),"")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IF([5]回答表!BD17="●",IF([5]回答表!AD45="●","●",""),"")</f>
        <v/>
      </c>
      <c r="O188" s="99"/>
      <c r="P188" s="99"/>
      <c r="Q188" s="100"/>
      <c r="R188" s="38"/>
      <c r="S188" s="38"/>
      <c r="T188" s="38"/>
      <c r="U188" s="107" t="str">
        <f>IF([5]回答表!BD17="●",IF([5]回答表!AD45="●",[5]回答表!B289,""),"")</f>
        <v/>
      </c>
      <c r="V188" s="108"/>
      <c r="W188" s="108"/>
      <c r="X188" s="108"/>
      <c r="Y188" s="108"/>
      <c r="Z188" s="108"/>
      <c r="AA188" s="108"/>
      <c r="AB188" s="108"/>
      <c r="AC188" s="108"/>
      <c r="AD188" s="108"/>
      <c r="AE188" s="108"/>
      <c r="AF188" s="108"/>
      <c r="AG188" s="108"/>
      <c r="AH188" s="108"/>
      <c r="AI188" s="108"/>
      <c r="AJ188" s="109"/>
      <c r="AK188" s="55"/>
      <c r="AL188" s="55"/>
      <c r="AM188" s="107" t="str">
        <f>IF([5]回答表!BD17="●",IF([5]回答表!AD45="●",[5]回答表!B295,""),"")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IF([5]回答表!X46="●","●","")</f>
        <v/>
      </c>
      <c r="O200" s="99"/>
      <c r="P200" s="99"/>
      <c r="Q200" s="100"/>
      <c r="R200" s="38"/>
      <c r="S200" s="38"/>
      <c r="T200" s="38"/>
      <c r="U200" s="107" t="str">
        <f>IF([5]回答表!X46="●",[5]回答表!B307,IF([5]回答表!AA46="●",[5]回答表!B324,""))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IF([5]回答表!X46="●",[5]回答表!U313,IF([5]回答表!AA46="●",[5]回答表!U330,""))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IF([5]回答表!X46="●",[5]回答表!G313,IF([5]回答表!AA46="●",[5]回答表!G330,""))</f>
        <v/>
      </c>
      <c r="AN203" s="120"/>
      <c r="AO203" s="120"/>
      <c r="AP203" s="120"/>
      <c r="AQ203" s="120"/>
      <c r="AR203" s="120"/>
      <c r="AS203" s="120"/>
      <c r="AT203" s="121"/>
      <c r="AU203" s="119" t="str">
        <f>IF([5]回答表!X46="●",[5]回答表!G314,IF([5]回答表!AA46="●",[5]回答表!G331,""))</f>
        <v/>
      </c>
      <c r="AV203" s="120"/>
      <c r="AW203" s="120"/>
      <c r="AX203" s="120"/>
      <c r="AY203" s="120"/>
      <c r="AZ203" s="120"/>
      <c r="BA203" s="120"/>
      <c r="BB203" s="121"/>
      <c r="BC203" s="39"/>
      <c r="BD203" s="34"/>
      <c r="BE203" s="34"/>
      <c r="BF203" s="83" t="str">
        <f>IF([5]回答表!X46="●",[5]回答表!X313,IF([5]回答表!AA46="●",[5]回答表!X330,""))</f>
        <v/>
      </c>
      <c r="BG203" s="84"/>
      <c r="BH203" s="84"/>
      <c r="BI203" s="84"/>
      <c r="BJ203" s="83" t="str">
        <f>IF([5]回答表!X46="●",[5]回答表!X314,IF([5]回答表!AA46="●",[5]回答表!X331,""))</f>
        <v/>
      </c>
      <c r="BK203" s="84"/>
      <c r="BL203" s="84"/>
      <c r="BM203" s="87"/>
      <c r="BN203" s="83" t="str">
        <f>IF([5]回答表!X46="●",[5]回答表!X315,IF([5]回答表!AA46="●",[5]回答表!X332,""))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IF([5]回答表!AA46="●","●","")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IF([5]回答表!AD46="●","●","")</f>
        <v/>
      </c>
      <c r="O212" s="99"/>
      <c r="P212" s="99"/>
      <c r="Q212" s="100"/>
      <c r="R212" s="38"/>
      <c r="S212" s="38"/>
      <c r="T212" s="38"/>
      <c r="U212" s="107" t="str">
        <f>IF([5]回答表!AD46="●",[5]回答表!B337,"")</f>
        <v/>
      </c>
      <c r="V212" s="108"/>
      <c r="W212" s="108"/>
      <c r="X212" s="108"/>
      <c r="Y212" s="108"/>
      <c r="Z212" s="108"/>
      <c r="AA212" s="108"/>
      <c r="AB212" s="108"/>
      <c r="AC212" s="108"/>
      <c r="AD212" s="108"/>
      <c r="AE212" s="108"/>
      <c r="AF212" s="108"/>
      <c r="AG212" s="108"/>
      <c r="AH212" s="108"/>
      <c r="AI212" s="108"/>
      <c r="AJ212" s="109"/>
      <c r="AK212" s="62"/>
      <c r="AL212" s="62"/>
      <c r="AM212" s="107" t="str">
        <f>IF([5]回答表!AD46="●",[5]回答表!B343,"")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IF([5]回答表!X47="●","●","")</f>
        <v/>
      </c>
      <c r="O224" s="99"/>
      <c r="P224" s="99"/>
      <c r="Q224" s="100"/>
      <c r="R224" s="38"/>
      <c r="S224" s="38"/>
      <c r="T224" s="38"/>
      <c r="U224" s="107" t="str">
        <f>IF([5]回答表!X47="●",[5]回答表!B356,IF([5]回答表!AA47="●",[5]回答表!B379,""))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IF([5]回答表!X47="●",[5]回答表!B362,"")</f>
        <v/>
      </c>
      <c r="AO224" s="182"/>
      <c r="AP224" s="182"/>
      <c r="AQ224" s="182"/>
      <c r="AR224" s="182"/>
      <c r="AS224" s="182"/>
      <c r="AT224" s="182"/>
      <c r="AU224" s="182"/>
      <c r="AV224" s="182"/>
      <c r="AW224" s="182"/>
      <c r="AX224" s="182"/>
      <c r="AY224" s="182"/>
      <c r="AZ224" s="182"/>
      <c r="BA224" s="182"/>
      <c r="BB224" s="183"/>
      <c r="BC224" s="39"/>
      <c r="BD224" s="34"/>
      <c r="BE224" s="34"/>
      <c r="BF224" s="116" t="str">
        <f>IF([5]回答表!X47="●",[5]回答表!B368,IF([5]回答表!AA47="●",[5]回答表!B385,""))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IF([5]回答表!X47="●",[5]回答表!E368,IF([5]回答表!AA47="●",[5]回答表!E385,""))</f>
        <v/>
      </c>
      <c r="BG227" s="84"/>
      <c r="BH227" s="84"/>
      <c r="BI227" s="84"/>
      <c r="BJ227" s="83" t="str">
        <f>IF([5]回答表!X47="●",[5]回答表!E369,IF([5]回答表!AA47="●",[5]回答表!E386,""))</f>
        <v/>
      </c>
      <c r="BK227" s="84"/>
      <c r="BL227" s="84"/>
      <c r="BM227" s="87"/>
      <c r="BN227" s="83" t="str">
        <f>IF([5]回答表!X47="●",[5]回答表!E370,IF([5]回答表!AA47="●",[5]回答表!E387,""))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IF([5]回答表!AA47="●","●","")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IF([5]回答表!AD47="●","●","")</f>
        <v/>
      </c>
      <c r="O236" s="99"/>
      <c r="P236" s="99"/>
      <c r="Q236" s="100"/>
      <c r="R236" s="38"/>
      <c r="S236" s="38"/>
      <c r="T236" s="38"/>
      <c r="U236" s="107" t="str">
        <f>IF([5]回答表!AD47="●",[5]回答表!B392,"")</f>
        <v/>
      </c>
      <c r="V236" s="108"/>
      <c r="W236" s="108"/>
      <c r="X236" s="108"/>
      <c r="Y236" s="108"/>
      <c r="Z236" s="108"/>
      <c r="AA236" s="108"/>
      <c r="AB236" s="108"/>
      <c r="AC236" s="108"/>
      <c r="AD236" s="108"/>
      <c r="AE236" s="108"/>
      <c r="AF236" s="108"/>
      <c r="AG236" s="108"/>
      <c r="AH236" s="108"/>
      <c r="AI236" s="108"/>
      <c r="AJ236" s="109"/>
      <c r="AK236" s="62"/>
      <c r="AL236" s="62"/>
      <c r="AM236" s="107" t="str">
        <f>IF([5]回答表!AD47="●",[5]回答表!B398,"")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IF([5]回答表!X48="●","●","")</f>
        <v/>
      </c>
      <c r="O248" s="99"/>
      <c r="P248" s="99"/>
      <c r="Q248" s="100"/>
      <c r="R248" s="38"/>
      <c r="S248" s="38"/>
      <c r="T248" s="38"/>
      <c r="U248" s="107" t="str">
        <f>IF([5]回答表!X48="●",[5]回答表!B411,IF([5]回答表!AA48="●",[5]回答表!B425,""))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IF([5]回答表!X48="●",[5]回答表!BC418,IF([5]回答表!AA48="●",[5]回答表!BC432,""))</f>
        <v/>
      </c>
      <c r="AR248" s="151"/>
      <c r="AS248" s="151"/>
      <c r="AT248" s="151"/>
      <c r="AU248" s="173" t="s">
        <v>73</v>
      </c>
      <c r="AV248" s="174"/>
      <c r="AW248" s="174"/>
      <c r="AX248" s="175"/>
      <c r="AY248" s="151" t="str">
        <f>IF([5]回答表!X48="●",[5]回答表!BC423,IF([5]回答表!AA48="●",[5]回答表!BC437,""))</f>
        <v/>
      </c>
      <c r="AZ248" s="151"/>
      <c r="BA248" s="151"/>
      <c r="BB248" s="151"/>
      <c r="BC248" s="39"/>
      <c r="BD248" s="34"/>
      <c r="BE248" s="34"/>
      <c r="BF248" s="116" t="str">
        <f>IF([5]回答表!X48="●",[5]回答表!S417,IF([5]回答表!AA48="●",[5]回答表!S431,""))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IF([5]回答表!X48="●",[5]回答表!BC419,IF([5]回答表!AA48="●",[5]回答表!BC433,""))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IF([5]回答表!X48="●",[5]回答表!V417,IF([5]回答表!AA48="●",[5]回答表!V431,""))</f>
        <v/>
      </c>
      <c r="BG251" s="84"/>
      <c r="BH251" s="84"/>
      <c r="BI251" s="84"/>
      <c r="BJ251" s="83" t="str">
        <f>IF([5]回答表!X48="●",[5]回答表!V418,IF([5]回答表!AA48="●",[5]回答表!V432,""))</f>
        <v/>
      </c>
      <c r="BK251" s="84"/>
      <c r="BL251" s="84"/>
      <c r="BM251" s="87"/>
      <c r="BN251" s="83" t="str">
        <f>IF([5]回答表!X48="●",[5]回答表!V419,IF([5]回答表!AA48="●",[5]回答表!V433,""))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IF([5]回答表!X48="●",[5]回答表!BC420,IF([5]回答表!AA48="●",[5]回答表!BC434,""))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IF([5]回答表!X48="●",[5]回答表!BC424,IF([5]回答表!AA48="●",[5]回答表!BC438,""))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IF([5]回答表!AA48="●","●","")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IF([5]回答表!X48="●",[5]回答表!BC421,IF([5]回答表!AA48="●",[5]回答表!BC435,""))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IF([5]回答表!X48="●",[5]回答表!BC422,IF([5]回答表!AA48="●",[5]回答表!BC436,""))</f>
        <v/>
      </c>
      <c r="AR256" s="151"/>
      <c r="AS256" s="151"/>
      <c r="AT256" s="151"/>
      <c r="AU256" s="152" t="s">
        <v>79</v>
      </c>
      <c r="AV256" s="153"/>
      <c r="AW256" s="153"/>
      <c r="AX256" s="154"/>
      <c r="AY256" s="158" t="str">
        <f>IF([5]回答表!X48="●",[5]回答表!BC425,IF([5]回答表!AA48="●",[5]回答表!BC439,""))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IF([5]回答表!AD48="●","●","")</f>
        <v/>
      </c>
      <c r="O260" s="99"/>
      <c r="P260" s="99"/>
      <c r="Q260" s="100"/>
      <c r="R260" s="38"/>
      <c r="S260" s="38"/>
      <c r="T260" s="38"/>
      <c r="U260" s="107" t="str">
        <f>IF([5]回答表!AD48="●",[5]回答表!B439,"")</f>
        <v/>
      </c>
      <c r="V260" s="108"/>
      <c r="W260" s="108"/>
      <c r="X260" s="108"/>
      <c r="Y260" s="108"/>
      <c r="Z260" s="108"/>
      <c r="AA260" s="108"/>
      <c r="AB260" s="108"/>
      <c r="AC260" s="108"/>
      <c r="AD260" s="108"/>
      <c r="AE260" s="108"/>
      <c r="AF260" s="108"/>
      <c r="AG260" s="108"/>
      <c r="AH260" s="108"/>
      <c r="AI260" s="108"/>
      <c r="AJ260" s="109"/>
      <c r="AK260" s="55"/>
      <c r="AL260" s="55"/>
      <c r="AM260" s="107" t="str">
        <f>IF([5]回答表!AD48="●",[5]回答表!B445,"")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IF([5]回答表!X49="●","●","")</f>
        <v/>
      </c>
      <c r="O271" s="99"/>
      <c r="P271" s="99"/>
      <c r="Q271" s="100"/>
      <c r="R271" s="38"/>
      <c r="S271" s="38"/>
      <c r="T271" s="38"/>
      <c r="U271" s="107" t="str">
        <f>IF([5]回答表!X49="●",[5]回答表!B458,IF([5]回答表!AA49="●",[5]回答表!B475,""))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IF([5]回答表!X49="●",[5]回答表!B468,IF([5]回答表!AA49="●",[5]回答表!B485,""))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IF([5]回答表!X49="●",[5]回答表!G464,IF([5]回答表!AA49="●",[5]回答表!G481,""))</f>
        <v/>
      </c>
      <c r="AN273" s="120"/>
      <c r="AO273" s="120"/>
      <c r="AP273" s="120"/>
      <c r="AQ273" s="120"/>
      <c r="AR273" s="120"/>
      <c r="AS273" s="120"/>
      <c r="AT273" s="121"/>
      <c r="AU273" s="119" t="str">
        <f>IF([5]回答表!X49="●",[5]回答表!G465,IF([5]回答表!AA49="●",[5]回答表!G482,""))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IF([5]回答表!X49="●",[5]回答表!E468,IF([5]回答表!AA49="●",[5]回答表!E485,""))</f>
        <v/>
      </c>
      <c r="BG274" s="84"/>
      <c r="BH274" s="84"/>
      <c r="BI274" s="84"/>
      <c r="BJ274" s="83" t="str">
        <f>IF([5]回答表!X49="●",[5]回答表!E469,IF([5]回答表!AA49="●",[5]回答表!E486,""))</f>
        <v/>
      </c>
      <c r="BK274" s="84"/>
      <c r="BL274" s="84"/>
      <c r="BM274" s="87"/>
      <c r="BN274" s="83" t="str">
        <f>IF([5]回答表!X49="●",[5]回答表!E470,IF([5]回答表!AA49="●",[5]回答表!E487,""))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IF([5]回答表!AA49="●","●","")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IF([5]回答表!AD49="●","●","")</f>
        <v/>
      </c>
      <c r="O283" s="99"/>
      <c r="P283" s="99"/>
      <c r="Q283" s="100"/>
      <c r="R283" s="38"/>
      <c r="S283" s="38"/>
      <c r="T283" s="38"/>
      <c r="U283" s="107" t="str">
        <f>IF([5]回答表!AD49="●",[5]回答表!B492,"")</f>
        <v/>
      </c>
      <c r="V283" s="108"/>
      <c r="W283" s="108"/>
      <c r="X283" s="108"/>
      <c r="Y283" s="108"/>
      <c r="Z283" s="108"/>
      <c r="AA283" s="108"/>
      <c r="AB283" s="108"/>
      <c r="AC283" s="108"/>
      <c r="AD283" s="108"/>
      <c r="AE283" s="108"/>
      <c r="AF283" s="108"/>
      <c r="AG283" s="108"/>
      <c r="AH283" s="108"/>
      <c r="AI283" s="108"/>
      <c r="AJ283" s="109"/>
      <c r="AK283" s="49"/>
      <c r="AL283" s="49"/>
      <c r="AM283" s="107" t="str">
        <f>IF([5]回答表!AD49="●",[5]回答表!B498,"")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IF([5]回答表!R50="●",[5]回答表!B511,"")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786B6-937C-4B61-B26F-17EB59215CC8}">
  <sheetPr>
    <pageSetUpPr fitToPage="1"/>
  </sheetPr>
  <dimension ref="A1:CN315"/>
  <sheetViews>
    <sheetView showZeros="0" view="pageBreakPreview" zoomScale="60" zoomScaleNormal="55" workbookViewId="0">
      <selection activeCell="AX208" sqref="AX20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IF(COUNTIF([6]回答表!K15,"*")&gt;0,[6]回答表!K15,"")</f>
        <v>能代市</v>
      </c>
      <c r="D11" s="299"/>
      <c r="E11" s="299"/>
      <c r="F11" s="299"/>
      <c r="G11" s="299"/>
      <c r="H11" s="299"/>
      <c r="I11" s="299"/>
      <c r="J11" s="299"/>
      <c r="K11" s="299"/>
      <c r="L11" s="299"/>
      <c r="M11" s="299"/>
      <c r="N11" s="299"/>
      <c r="O11" s="299"/>
      <c r="P11" s="299"/>
      <c r="Q11" s="299"/>
      <c r="R11" s="299"/>
      <c r="S11" s="299"/>
      <c r="T11" s="299"/>
      <c r="U11" s="306" t="str">
        <f>IF(COUNTIF([6]回答表!F17,"*")&gt;0,[6]回答表!F17,"")</f>
        <v>簡易水道事業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IF(COUNTIF([6]回答表!W17,"*")&gt;0,[6]回答表!W17,"")</f>
        <v>―</v>
      </c>
      <c r="AP11" s="301"/>
      <c r="AQ11" s="301"/>
      <c r="AR11" s="301"/>
      <c r="AS11" s="301"/>
      <c r="AT11" s="301"/>
      <c r="AU11" s="301"/>
      <c r="AV11" s="301"/>
      <c r="AW11" s="301"/>
      <c r="AX11" s="301"/>
      <c r="AY11" s="301"/>
      <c r="AZ11" s="301"/>
      <c r="BA11" s="301"/>
      <c r="BB11" s="301"/>
      <c r="BC11" s="301"/>
      <c r="BD11" s="301"/>
      <c r="BE11" s="301"/>
      <c r="BF11" s="302"/>
      <c r="BG11" s="305" t="str">
        <f>IF(COUNTIF([6]回答表!F19,"*")&gt;0,[6]回答表!F19,"")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IF([6]回答表!R43="●","●","")</f>
        <v>●</v>
      </c>
      <c r="E24" s="123"/>
      <c r="F24" s="123"/>
      <c r="G24" s="123"/>
      <c r="H24" s="123"/>
      <c r="I24" s="123"/>
      <c r="J24" s="124"/>
      <c r="K24" s="122" t="str">
        <f>IF([6]回答表!R44="●","●","")</f>
        <v/>
      </c>
      <c r="L24" s="123"/>
      <c r="M24" s="123"/>
      <c r="N24" s="123"/>
      <c r="O24" s="123"/>
      <c r="P24" s="123"/>
      <c r="Q24" s="124"/>
      <c r="R24" s="122" t="str">
        <f>IF([6]回答表!R45="●","●","")</f>
        <v/>
      </c>
      <c r="S24" s="123"/>
      <c r="T24" s="123"/>
      <c r="U24" s="123"/>
      <c r="V24" s="123"/>
      <c r="W24" s="123"/>
      <c r="X24" s="124"/>
      <c r="Y24" s="122" t="str">
        <f>IF([6]回答表!R46="●","●","")</f>
        <v>●</v>
      </c>
      <c r="Z24" s="123"/>
      <c r="AA24" s="123"/>
      <c r="AB24" s="123"/>
      <c r="AC24" s="123"/>
      <c r="AD24" s="123"/>
      <c r="AE24" s="124"/>
      <c r="AF24" s="122" t="str">
        <f>IF([6]回答表!R47="●","●","")</f>
        <v/>
      </c>
      <c r="AG24" s="123"/>
      <c r="AH24" s="123"/>
      <c r="AI24" s="123"/>
      <c r="AJ24" s="123"/>
      <c r="AK24" s="123"/>
      <c r="AL24" s="124"/>
      <c r="AM24" s="122" t="str">
        <f>IF([6]回答表!R48="●","●","")</f>
        <v/>
      </c>
      <c r="AN24" s="123"/>
      <c r="AO24" s="123"/>
      <c r="AP24" s="123"/>
      <c r="AQ24" s="123"/>
      <c r="AR24" s="123"/>
      <c r="AS24" s="124"/>
      <c r="AT24" s="122" t="str">
        <f>IF([6]回答表!R49="●","●","")</f>
        <v/>
      </c>
      <c r="AU24" s="123"/>
      <c r="AV24" s="123"/>
      <c r="AW24" s="123"/>
      <c r="AX24" s="123"/>
      <c r="AY24" s="123"/>
      <c r="AZ24" s="124"/>
      <c r="BA24" s="18"/>
      <c r="BB24" s="119" t="str">
        <f>IF([6]回答表!R50="●","●","")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34.5" customHeight="1" x14ac:dyDescent="0.4">
      <c r="A36" s="24"/>
      <c r="B36" s="24"/>
      <c r="C36" s="32"/>
      <c r="D36" s="89" t="s">
        <v>18</v>
      </c>
      <c r="E36" s="90"/>
      <c r="F36" s="90"/>
      <c r="G36" s="90"/>
      <c r="H36" s="90"/>
      <c r="I36" s="90"/>
      <c r="J36" s="90"/>
      <c r="K36" s="90"/>
      <c r="L36" s="90"/>
      <c r="M36" s="91"/>
      <c r="N36" s="98" t="str">
        <f>IF([6]回答表!X43="●","●","")</f>
        <v>●</v>
      </c>
      <c r="O36" s="99"/>
      <c r="P36" s="99"/>
      <c r="Q36" s="100"/>
      <c r="R36" s="38"/>
      <c r="S36" s="38"/>
      <c r="T36" s="38"/>
      <c r="U36" s="107" t="str">
        <f>IF([6]回答表!X43="●",[6]回答表!B59,IF([6]回答表!AA43="●",[6]回答表!B79,""))</f>
        <v>簡易水道事業の資産を適正に管理し、起債の償還額や減価償却費等を含めた収支バランスから経営状況を把握していくには法適用が必要となることから、令和２年度末に二ツ井・荷上場地区簡易水道事業を法適用し、令和３年度から能代市水道事業へ編入することで事業廃止している。また、令和３年度には、残った富根地区簡易水道事業及び仁鮒地区簡易水道事業の法適用の方向性を検討していくこととしており、法適用により財務情報の適切な把握が可能となる。</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IF([6]回答表!X43="●",[6]回答表!S65,IF([6]回答表!AA43="●",[6]回答表!S85,""))</f>
        <v>令和</v>
      </c>
      <c r="BG36" s="117"/>
      <c r="BH36" s="117"/>
      <c r="BI36" s="117"/>
      <c r="BJ36" s="116"/>
      <c r="BK36" s="117"/>
      <c r="BL36" s="117"/>
      <c r="BM36" s="117"/>
      <c r="BN36" s="116"/>
      <c r="BO36" s="117"/>
      <c r="BP36" s="117"/>
      <c r="BQ36" s="118"/>
      <c r="BR36" s="37"/>
      <c r="BS36" s="24"/>
    </row>
    <row r="37" spans="1:71" ht="34.5"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34.5"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IF([6]回答表!X43="●",[6]回答表!G65,IF([6]回答表!AA43="●",[6]回答表!G85,""))</f>
        <v xml:space="preserve"> </v>
      </c>
      <c r="AN38" s="120"/>
      <c r="AO38" s="120"/>
      <c r="AP38" s="120"/>
      <c r="AQ38" s="120"/>
      <c r="AR38" s="120"/>
      <c r="AS38" s="120"/>
      <c r="AT38" s="121"/>
      <c r="AU38" s="119" t="str">
        <f>IF([6]回答表!X43="●",[6]回答表!G66,IF([6]回答表!AA43="●",[6]回答表!G86,""))</f>
        <v>●</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34.5"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f>IF([6]回答表!X43="●",[6]回答表!V65,IF([6]回答表!AA43="●",[6]回答表!V85,""))</f>
        <v>3</v>
      </c>
      <c r="BG39" s="249"/>
      <c r="BH39" s="249"/>
      <c r="BI39" s="250"/>
      <c r="BJ39" s="83">
        <f>IF([6]回答表!X43="●",[6]回答表!V66,IF([6]回答表!AA43="●",[6]回答表!V86,""))</f>
        <v>3</v>
      </c>
      <c r="BK39" s="249"/>
      <c r="BL39" s="249"/>
      <c r="BM39" s="250"/>
      <c r="BN39" s="83">
        <f>IF([6]回答表!X43="●",[6]回答表!V67,IF([6]回答表!AA43="●",[6]回答表!V87,""))</f>
        <v>31</v>
      </c>
      <c r="BO39" s="249"/>
      <c r="BP39" s="249"/>
      <c r="BQ39" s="250"/>
      <c r="BR39" s="37"/>
      <c r="BS39" s="24"/>
    </row>
    <row r="40" spans="1:71" ht="34.5"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34.5"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34.5"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IF([6]回答表!X43="●",[6]回答表!O71,IF([6]回答表!AA43="●",[6]回答表!O91,""))</f>
        <v xml:space="preserve">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34.5"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IF([6]回答表!X43="●",[6]回答表!O72,IF([6]回答表!AA43="●",[6]回答表!O92,""))</f>
        <v xml:space="preserve">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34.5" customHeight="1" x14ac:dyDescent="0.4">
      <c r="A44" s="24"/>
      <c r="B44" s="24"/>
      <c r="C44" s="32"/>
      <c r="D44" s="134" t="s">
        <v>26</v>
      </c>
      <c r="E44" s="135"/>
      <c r="F44" s="135"/>
      <c r="G44" s="135"/>
      <c r="H44" s="135"/>
      <c r="I44" s="135"/>
      <c r="J44" s="135"/>
      <c r="K44" s="135"/>
      <c r="L44" s="135"/>
      <c r="M44" s="136"/>
      <c r="N44" s="98" t="str">
        <f>IF([6]回答表!AA43="●","●","")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IF([6]回答表!X43="●",[6]回答表!O73,IF([6]回答表!AA43="●",[6]回答表!O93,""))</f>
        <v xml:space="preserve">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34.5"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IF([6]回答表!X43="●",[6]回答表!O74,IF([6]回答表!AA43="●",[6]回答表!O94,""))</f>
        <v xml:space="preserve">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34.5"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IF([6]回答表!X43="●",[6]回答表!AG71,IF([6]回答表!AA43="●",[6]回答表!AG91,""))</f>
        <v>●</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34.5"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IF([6]回答表!X43="●",[6]回答表!AG72,IF([6]回答表!AA43="●",[6]回答表!AG92,""))</f>
        <v xml:space="preserve">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IF([6]回答表!AD43="●","●","")</f>
        <v/>
      </c>
      <c r="O51" s="99"/>
      <c r="P51" s="99"/>
      <c r="Q51" s="100"/>
      <c r="R51" s="38"/>
      <c r="S51" s="38"/>
      <c r="T51" s="38"/>
      <c r="U51" s="107" t="str">
        <f>IF([6]回答表!AD43="●",[6]回答表!B99,"")</f>
        <v/>
      </c>
      <c r="V51" s="108"/>
      <c r="W51" s="108"/>
      <c r="X51" s="108"/>
      <c r="Y51" s="108"/>
      <c r="Z51" s="108"/>
      <c r="AA51" s="108"/>
      <c r="AB51" s="108"/>
      <c r="AC51" s="108"/>
      <c r="AD51" s="108"/>
      <c r="AE51" s="108"/>
      <c r="AF51" s="108"/>
      <c r="AG51" s="108"/>
      <c r="AH51" s="108"/>
      <c r="AI51" s="108"/>
      <c r="AJ51" s="109"/>
      <c r="AK51" s="55"/>
      <c r="AL51" s="55"/>
      <c r="AM51" s="107" t="str">
        <f>IF([6]回答表!AD43="●",[6]回答表!B104,"")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IF([6]回答表!X44="●","●","")</f>
        <v/>
      </c>
      <c r="O62" s="99"/>
      <c r="P62" s="99"/>
      <c r="Q62" s="100"/>
      <c r="R62" s="38"/>
      <c r="S62" s="38"/>
      <c r="T62" s="38"/>
      <c r="U62" s="107" t="str">
        <f>IF([6]回答表!X44="●",[6]回答表!B115,IF([6]回答表!AA44="●",[6]回答表!B127,""))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IF([6]回答表!X44="●",[6]回答表!S121,IF([6]回答表!AA44="●",[6]回答表!S133,""))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IF([6]回答表!X44="●",[6]回答表!J121,IF([6]回答表!AA44="●",[6]回答表!J133,""))</f>
        <v/>
      </c>
      <c r="AN65" s="120"/>
      <c r="AO65" s="120"/>
      <c r="AP65" s="120"/>
      <c r="AQ65" s="120"/>
      <c r="AR65" s="120"/>
      <c r="AS65" s="120"/>
      <c r="AT65" s="121"/>
      <c r="AU65" s="119" t="str">
        <f>IF([6]回答表!X44="●",[6]回答表!J122,IF([6]回答表!AA44="●",[6]回答表!J134,""))</f>
        <v/>
      </c>
      <c r="AV65" s="120"/>
      <c r="AW65" s="120"/>
      <c r="AX65" s="120"/>
      <c r="AY65" s="120"/>
      <c r="AZ65" s="120"/>
      <c r="BA65" s="120"/>
      <c r="BB65" s="121"/>
      <c r="BC65" s="39"/>
      <c r="BD65" s="34"/>
      <c r="BE65" s="34"/>
      <c r="BF65" s="83" t="str">
        <f>IF([6]回答表!X44="●",[6]回答表!V121,IF([6]回答表!AA44="●",[6]回答表!V133,""))</f>
        <v/>
      </c>
      <c r="BG65" s="84"/>
      <c r="BH65" s="84"/>
      <c r="BI65" s="84"/>
      <c r="BJ65" s="83" t="str">
        <f>IF([6]回答表!X44="●",[6]回答表!V122,IF([6]回答表!AA44="●",[6]回答表!V134,""))</f>
        <v/>
      </c>
      <c r="BK65" s="84"/>
      <c r="BL65" s="84"/>
      <c r="BM65" s="84"/>
      <c r="BN65" s="83" t="str">
        <f>IF([6]回答表!X44="●",[6]回答表!V123,IF([6]回答表!AA44="●",[6]回答表!V135,""))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IF([6]回答表!AA44="●","●","")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IF([6]回答表!AD44="●","●","")</f>
        <v/>
      </c>
      <c r="O74" s="99"/>
      <c r="P74" s="99"/>
      <c r="Q74" s="100"/>
      <c r="R74" s="38"/>
      <c r="S74" s="38"/>
      <c r="T74" s="38"/>
      <c r="U74" s="107" t="str">
        <f>IF([6]回答表!AD44="●",[6]回答表!B140,"")</f>
        <v/>
      </c>
      <c r="V74" s="108"/>
      <c r="W74" s="108"/>
      <c r="X74" s="108"/>
      <c r="Y74" s="108"/>
      <c r="Z74" s="108"/>
      <c r="AA74" s="108"/>
      <c r="AB74" s="108"/>
      <c r="AC74" s="108"/>
      <c r="AD74" s="108"/>
      <c r="AE74" s="108"/>
      <c r="AF74" s="108"/>
      <c r="AG74" s="108"/>
      <c r="AH74" s="108"/>
      <c r="AI74" s="108"/>
      <c r="AJ74" s="109"/>
      <c r="AK74" s="55"/>
      <c r="AL74" s="55"/>
      <c r="AM74" s="107" t="str">
        <f>IF([6]回答表!AD44="●",[6]回答表!B146,"")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IF([6]回答表!F17="水道事業",IF([6]回答表!X45="●","●",""),"")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IF([6]回答表!F17="水道事業",IF([6]回答表!X45="●",[6]回答表!B158,IF([6]回答表!AA45="●",[6]回答表!B223,"")),"")</f>
        <v/>
      </c>
      <c r="AN86" s="212"/>
      <c r="AO86" s="212"/>
      <c r="AP86" s="212"/>
      <c r="AQ86" s="212"/>
      <c r="AR86" s="212"/>
      <c r="AS86" s="212"/>
      <c r="AT86" s="212"/>
      <c r="AU86" s="212"/>
      <c r="AV86" s="212"/>
      <c r="AW86" s="212"/>
      <c r="AX86" s="212"/>
      <c r="AY86" s="212"/>
      <c r="AZ86" s="212"/>
      <c r="BA86" s="212"/>
      <c r="BB86" s="212"/>
      <c r="BC86" s="213"/>
      <c r="BD86" s="34"/>
      <c r="BE86" s="34"/>
      <c r="BF86" s="116" t="str">
        <f>IF([6]回答表!F17="水道事業",IF([6]回答表!X45="●",[6]回答表!B212,IF([6]回答表!AA45="●",[6]回答表!B278,"")),"")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IF([6]回答表!F17="水道事業",IF([6]回答表!X45="●",[6]回答表!J166,IF([6]回答表!AA45="●",[6]回答表!J231,"")),"")</f>
        <v/>
      </c>
      <c r="V88" s="120"/>
      <c r="W88" s="120"/>
      <c r="X88" s="120"/>
      <c r="Y88" s="120"/>
      <c r="Z88" s="120"/>
      <c r="AA88" s="120"/>
      <c r="AB88" s="121"/>
      <c r="AC88" s="119" t="str">
        <f>IF([6]回答表!F17="水道事業",IF([6]回答表!X45="●",[6]回答表!J173,IF([6]回答表!AA45="●",[6]回答表!J238,"")),"")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IF([6]回答表!F17="水道事業",IF([6]回答表!X45="●",[6]回答表!E212,IF([6]回答表!AA45="●",[6]回答表!E278,"")),"")</f>
        <v/>
      </c>
      <c r="BG89" s="84"/>
      <c r="BH89" s="84"/>
      <c r="BI89" s="84"/>
      <c r="BJ89" s="83" t="str">
        <f>IF([6]回答表!F17="水道事業",IF([6]回答表!X45="●",[6]回答表!E213,IF([6]回答表!AA45="●",[6]回答表!E279,"")),"")</f>
        <v/>
      </c>
      <c r="BK89" s="84"/>
      <c r="BL89" s="84"/>
      <c r="BM89" s="84"/>
      <c r="BN89" s="83" t="str">
        <f>IF([6]回答表!F17="水道事業",IF([6]回答表!X45="●",[6]回答表!E214,IF([6]回答表!AA45="●",[6]回答表!E280,"")),"")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IF([6]回答表!F17="水道事業",IF([6]回答表!AA45="●","●",""),"")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IF([6]回答表!F17="水道事業",IF([6]回答表!X45="●",[6]回答表!J176,IF([6]回答表!AA45="●",[6]回答表!J241,"")),"")</f>
        <v/>
      </c>
      <c r="V93" s="120"/>
      <c r="W93" s="120"/>
      <c r="X93" s="120"/>
      <c r="Y93" s="120"/>
      <c r="Z93" s="120"/>
      <c r="AA93" s="120"/>
      <c r="AB93" s="121"/>
      <c r="AC93" s="119" t="str">
        <f>IF([6]回答表!F17="水道事業",IF([6]回答表!X45="●",[6]回答表!J180,IF([6]回答表!AA45="●",[6]回答表!J245,"")),"")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IF([6]回答表!F17="水道事業",IF([6]回答表!AD45="○","○",""),"")</f>
        <v/>
      </c>
      <c r="O98" s="99"/>
      <c r="P98" s="99"/>
      <c r="Q98" s="100"/>
      <c r="R98" s="38"/>
      <c r="S98" s="38"/>
      <c r="T98" s="38"/>
      <c r="U98" s="107" t="str">
        <f>IF([6]回答表!F17="水道事業",IF([6]回答表!AD45="●",[6]回答表!B289,""),"")</f>
        <v/>
      </c>
      <c r="V98" s="108"/>
      <c r="W98" s="108"/>
      <c r="X98" s="108"/>
      <c r="Y98" s="108"/>
      <c r="Z98" s="108"/>
      <c r="AA98" s="108"/>
      <c r="AB98" s="108"/>
      <c r="AC98" s="108"/>
      <c r="AD98" s="108"/>
      <c r="AE98" s="108"/>
      <c r="AF98" s="108"/>
      <c r="AG98" s="108"/>
      <c r="AH98" s="108"/>
      <c r="AI98" s="108"/>
      <c r="AJ98" s="109"/>
      <c r="AK98" s="55"/>
      <c r="AL98" s="55"/>
      <c r="AM98" s="107" t="str">
        <f>IF([6]回答表!F17="水道事業",IF([6]回答表!AD45="●",[6]回答表!B295,""),"")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IF([6]回答表!F17="簡易水道事業",IF([6]回答表!X45="●",[6]回答表!B158,IF([6]回答表!AA45="●",[6]回答表!B223,"")),"")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IF([6]回答表!F17="簡易水道事業",IF([6]回答表!X45="●",[6]回答表!B212,IF([6]回答表!AA45="●",[6]回答表!B278,"")),"")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IF([6]回答表!F17="簡易水道事業",IF([6]回答表!X45="●","●",""),"")</f>
        <v/>
      </c>
      <c r="O112" s="99"/>
      <c r="P112" s="99"/>
      <c r="Q112" s="100"/>
      <c r="R112" s="38"/>
      <c r="S112" s="38"/>
      <c r="T112" s="38"/>
      <c r="U112" s="119" t="str">
        <f>IF([6]回答表!F17="簡易水道事業",IF([6]回答表!X45="●",[6]回答表!Y185,IF([6]回答表!AA45="●",[6]回答表!Y251,"")),"")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IF([6]回答表!F17="簡易水道事業",IF([6]回答表!X45="●",[6]回答表!E212,IF([6]回答表!AA45="●",[6]回答表!E278,"")),"")</f>
        <v/>
      </c>
      <c r="BG113" s="84"/>
      <c r="BH113" s="84"/>
      <c r="BI113" s="84"/>
      <c r="BJ113" s="83" t="str">
        <f>IF([6]回答表!F17="簡易水道事業",IF([6]回答表!X45="●",[6]回答表!E213,IF([6]回答表!AA45="●",[6]回答表!E279,"")),"")</f>
        <v/>
      </c>
      <c r="BK113" s="84"/>
      <c r="BL113" s="84"/>
      <c r="BM113" s="84"/>
      <c r="BN113" s="83" t="str">
        <f>IF([6]回答表!F17="簡易水道事業",IF([6]回答表!X45="●",[6]回答表!E214,IF([6]回答表!AA45="●",[6]回答表!E280,"")),"")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IF([6]回答表!F17="簡易水道事業",IF([6]回答表!X45="●",[6]回答表!Y186,IF([6]回答表!AA45="●",[6]回答表!Y252,"")),"")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IF([6]回答表!F17="簡易水道事業",IF([6]回答表!AA45="●","●",""),"")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IF([6]回答表!F17="簡易水道事業",IF([6]回答表!X45="●",[6]回答表!Y187,IF([6]回答表!AA45="●",[6]回答表!Y253,"")),"")</f>
        <v/>
      </c>
      <c r="V122" s="120"/>
      <c r="W122" s="120"/>
      <c r="X122" s="120"/>
      <c r="Y122" s="120"/>
      <c r="Z122" s="120"/>
      <c r="AA122" s="120"/>
      <c r="AB122" s="120"/>
      <c r="AC122" s="120"/>
      <c r="AD122" s="120"/>
      <c r="AE122" s="120"/>
      <c r="AF122" s="120"/>
      <c r="AG122" s="120"/>
      <c r="AH122" s="120"/>
      <c r="AI122" s="120"/>
      <c r="AJ122" s="121"/>
      <c r="AK122" s="18"/>
      <c r="AL122" s="18"/>
      <c r="AM122" s="228" t="str">
        <f>IF([6]回答表!F17="簡易水道事業",IF([6]回答表!X45="●",[6]回答表!Y189,IF([6]回答表!AA45="●",[6]回答表!Y255,"")),"")</f>
        <v/>
      </c>
      <c r="AN122" s="228"/>
      <c r="AO122" s="228"/>
      <c r="AP122" s="228"/>
      <c r="AQ122" s="228"/>
      <c r="AR122" s="228"/>
      <c r="AS122" s="228" t="str">
        <f>IF([6]回答表!F17="簡易水道事業",IF([6]回答表!X45="●",[6]回答表!Y190,IF([6]回答表!AA45="●",[6]回答表!Y256,"")),"")</f>
        <v/>
      </c>
      <c r="AT122" s="228"/>
      <c r="AU122" s="228"/>
      <c r="AV122" s="228"/>
      <c r="AW122" s="228"/>
      <c r="AX122" s="228"/>
      <c r="AY122" s="228" t="str">
        <f>IF([6]回答表!F17="簡易水道事業",IF([6]回答表!X45="●",[6]回答表!Y191,IF([6]回答表!AA45="●",[6]回答表!Y257,"")),"")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IF([6]回答表!F17="簡易水道事業",IF([6]回答表!AD45="●","●",""),"")</f>
        <v/>
      </c>
      <c r="O127" s="99"/>
      <c r="P127" s="99"/>
      <c r="Q127" s="100"/>
      <c r="R127" s="38"/>
      <c r="S127" s="38"/>
      <c r="T127" s="38"/>
      <c r="U127" s="107" t="str">
        <f>IF([6]回答表!F17="簡易水道事業",IF([6]回答表!AD45="●",[6]回答表!B289,""),"")</f>
        <v/>
      </c>
      <c r="V127" s="108"/>
      <c r="W127" s="108"/>
      <c r="X127" s="108"/>
      <c r="Y127" s="108"/>
      <c r="Z127" s="108"/>
      <c r="AA127" s="108"/>
      <c r="AB127" s="108"/>
      <c r="AC127" s="108"/>
      <c r="AD127" s="108"/>
      <c r="AE127" s="108"/>
      <c r="AF127" s="108"/>
      <c r="AG127" s="108"/>
      <c r="AH127" s="108"/>
      <c r="AI127" s="108"/>
      <c r="AJ127" s="109"/>
      <c r="AK127" s="55"/>
      <c r="AL127" s="55"/>
      <c r="AM127" s="107" t="str">
        <f>IF([6]回答表!F17="簡易水道事業",IF([6]回答表!AD45="●",[6]回答表!B295,""),"")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IF([6]回答表!F17="下水道事業",IF([6]回答表!X45="●","●",""),"")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IF([6]回答表!F17="下水道事業",IF([6]回答表!X45="●",[6]回答表!B158,IF([6]回答表!AA45="●",[6]回答表!B223,"")),"")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IF([6]回答表!F17="下水道事業",IF([6]回答表!X45="●",[6]回答表!B212,IF([6]回答表!AA45="●",[6]回答表!B278,"")),"")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IF([6]回答表!F17="下水道事業",IF([6]回答表!X45="●",[6]回答表!Y193,IF([6]回答表!AA45="●",[6]回答表!Y259,"")),"")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IF([6]回答表!F17="下水道事業",IF([6]回答表!X45="●",[6]回答表!E212,IF([6]回答表!AA45="●",[6]回答表!E278,"")),"")</f>
        <v/>
      </c>
      <c r="BG142" s="84"/>
      <c r="BH142" s="84"/>
      <c r="BI142" s="84"/>
      <c r="BJ142" s="83" t="str">
        <f>IF([6]回答表!F17="下水道事業",IF([6]回答表!X45="●",[6]回答表!E213,IF([6]回答表!AA45="●",[6]回答表!E279,"")),"")</f>
        <v/>
      </c>
      <c r="BK142" s="84"/>
      <c r="BL142" s="84"/>
      <c r="BM142" s="84"/>
      <c r="BN142" s="83" t="str">
        <f>IF([6]回答表!F17="下水道事業",IF([6]回答表!X45="●",[6]回答表!E214,IF([6]回答表!AA45="●",[6]回答表!E280,"")),"")</f>
        <v/>
      </c>
      <c r="BO142" s="84"/>
      <c r="BP142" s="84"/>
      <c r="BQ142" s="87"/>
      <c r="BR142" s="37"/>
      <c r="BX142" s="211" t="str">
        <f>IF([6]回答表!AQ20="下水道事業",IF([6]回答表!BI48="○",[6]回答表!AM161,IF([6]回答表!BL48="○",[6]回答表!AM226,"")),"")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IF([6]回答表!F17="下水道事業",IF([6]回答表!X45="●",[6]回答表!Y195,IF([6]回答表!AA45="●",[6]回答表!Y261,"")),"")</f>
        <v/>
      </c>
      <c r="V147" s="120"/>
      <c r="W147" s="120"/>
      <c r="X147" s="120"/>
      <c r="Y147" s="120"/>
      <c r="Z147" s="120"/>
      <c r="AA147" s="120"/>
      <c r="AB147" s="121"/>
      <c r="AC147" s="119" t="str">
        <f>IF([6]回答表!F17="下水道事業",IF([6]回答表!X45="●",[6]回答表!Y196,IF([6]回答表!AA45="●",[6]回答表!Y262,"")),"")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IF([6]回答表!F17="下水道事業",IF([6]回答表!X45="●",[6]回答表!Y198,IF([6]回答表!AA45="●",[6]回答表!Y264,"")),"")</f>
        <v/>
      </c>
      <c r="V153" s="120"/>
      <c r="W153" s="120"/>
      <c r="X153" s="120"/>
      <c r="Y153" s="120"/>
      <c r="Z153" s="120"/>
      <c r="AA153" s="120"/>
      <c r="AB153" s="121"/>
      <c r="AC153" s="119" t="str">
        <f>IF([6]回答表!F17="下水道事業",IF([6]回答表!X45="●",[6]回答表!Y199,IF([6]回答表!AA45="●",[6]回答表!Y265,"")),"")</f>
        <v/>
      </c>
      <c r="AD153" s="120"/>
      <c r="AE153" s="120"/>
      <c r="AF153" s="120"/>
      <c r="AG153" s="120"/>
      <c r="AH153" s="120"/>
      <c r="AI153" s="120"/>
      <c r="AJ153" s="121"/>
      <c r="AK153" s="119" t="str">
        <f>IF([6]回答表!F17="下水道事業",IF([6]回答表!X45="●",[6]回答表!Y200,IF([6]回答表!AA45="●",[6]回答表!Y266,"")),"")</f>
        <v/>
      </c>
      <c r="AL153" s="120"/>
      <c r="AM153" s="120"/>
      <c r="AN153" s="120"/>
      <c r="AO153" s="120"/>
      <c r="AP153" s="120"/>
      <c r="AQ153" s="120"/>
      <c r="AR153" s="121"/>
      <c r="AS153" s="119" t="str">
        <f>IF([6]回答表!F17="下水道事業",IF([6]回答表!X45="●",[6]回答表!Y201,IF([6]回答表!AA45="●",[6]回答表!Y267,"")),"")</f>
        <v/>
      </c>
      <c r="AT153" s="120"/>
      <c r="AU153" s="120"/>
      <c r="AV153" s="120"/>
      <c r="AW153" s="120"/>
      <c r="AX153" s="120"/>
      <c r="AY153" s="120"/>
      <c r="AZ153" s="121"/>
      <c r="BA153" s="119" t="str">
        <f>IF([6]回答表!F17="下水道事業",IF([6]回答表!X45="●",[6]回答表!Y202,IF([6]回答表!AA45="●",[6]回答表!Y268,"")),"")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IF([6]回答表!F17="下水道事業",IF([6]回答表!AA45="●","●",""),"")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IF([6]回答表!F17="下水道事業",IF([6]回答表!X45="●",[6]回答表!Y207,IF([6]回答表!AA45="●",[6]回答表!Y273,"")),"")</f>
        <v/>
      </c>
      <c r="V159" s="120"/>
      <c r="W159" s="120"/>
      <c r="X159" s="120"/>
      <c r="Y159" s="120"/>
      <c r="Z159" s="120"/>
      <c r="AA159" s="120"/>
      <c r="AB159" s="121"/>
      <c r="AC159" s="119" t="str">
        <f>IF([6]回答表!F17="下水道事業",IF([6]回答表!X45="●",[6]回答表!Y208,IF([6]回答表!AA45="●",[6]回答表!Y274,"")),"")</f>
        <v/>
      </c>
      <c r="AD159" s="120"/>
      <c r="AE159" s="120"/>
      <c r="AF159" s="120"/>
      <c r="AG159" s="120"/>
      <c r="AH159" s="120"/>
      <c r="AI159" s="120"/>
      <c r="AJ159" s="121"/>
      <c r="AK159" s="119" t="str">
        <f>IF([6]回答表!F17="下水道事業",IF([6]回答表!X45="●",[6]回答表!Y209,IF([6]回答表!AA45="●",[6]回答表!Y275,"")),"")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IF([6]回答表!F17="下水道事業",IF([6]回答表!AD45="●","●",""),"")</f>
        <v/>
      </c>
      <c r="O164" s="99"/>
      <c r="P164" s="99"/>
      <c r="Q164" s="100"/>
      <c r="R164" s="38"/>
      <c r="S164" s="38"/>
      <c r="T164" s="38"/>
      <c r="U164" s="107" t="str">
        <f>IF([6]回答表!F17="下水道事業",IF([6]回答表!AD45="●",[6]回答表!B289,""),"")</f>
        <v/>
      </c>
      <c r="V164" s="108"/>
      <c r="W164" s="108"/>
      <c r="X164" s="108"/>
      <c r="Y164" s="108"/>
      <c r="Z164" s="108"/>
      <c r="AA164" s="108"/>
      <c r="AB164" s="108"/>
      <c r="AC164" s="108"/>
      <c r="AD164" s="108"/>
      <c r="AE164" s="108"/>
      <c r="AF164" s="108"/>
      <c r="AG164" s="108"/>
      <c r="AH164" s="108"/>
      <c r="AI164" s="108"/>
      <c r="AJ164" s="109"/>
      <c r="AK164" s="55"/>
      <c r="AL164" s="55"/>
      <c r="AM164" s="107" t="str">
        <f>IF([6]回答表!F17="下水道事業",IF([6]回答表!AD45="●",[6]回答表!B295,""),"")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IF([6]回答表!BD17="●",IF([6]回答表!X45="●","●",""),"")</f>
        <v/>
      </c>
      <c r="O176" s="99"/>
      <c r="P176" s="99"/>
      <c r="Q176" s="100"/>
      <c r="R176" s="38"/>
      <c r="S176" s="38"/>
      <c r="T176" s="38"/>
      <c r="U176" s="107" t="str">
        <f>IF([6]回答表!BD17="●",IF([6]回答表!X45="●",[6]回答表!B158,IF([6]回答表!AA45="●",[6]回答表!B223,"")),"")</f>
        <v/>
      </c>
      <c r="V176" s="108"/>
      <c r="W176" s="108"/>
      <c r="X176" s="108"/>
      <c r="Y176" s="108"/>
      <c r="Z176" s="108"/>
      <c r="AA176" s="108"/>
      <c r="AB176" s="108"/>
      <c r="AC176" s="108"/>
      <c r="AD176" s="108"/>
      <c r="AE176" s="108"/>
      <c r="AF176" s="108"/>
      <c r="AG176" s="108"/>
      <c r="AH176" s="108"/>
      <c r="AI176" s="108"/>
      <c r="AJ176" s="109"/>
      <c r="AK176" s="49"/>
      <c r="AL176" s="49"/>
      <c r="AM176" s="116" t="str">
        <f>IF([6]回答表!BD17="●",IF([6]回答表!X45="●",[6]回答表!B212,IF([6]回答表!AA45="●",[6]回答表!B278,"")),"")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IF([6]回答表!BD17="●",IF([6]回答表!X45="●",[6]回答表!E212,IF([6]回答表!AA45="●",[6]回答表!E278,"")),"")</f>
        <v/>
      </c>
      <c r="AN179" s="84"/>
      <c r="AO179" s="84"/>
      <c r="AP179" s="84"/>
      <c r="AQ179" s="83" t="str">
        <f>IF([6]回答表!BD17="●",IF([6]回答表!X45="●",[6]回答表!E213,IF([6]回答表!AA45="●",[6]回答表!E279,"")),"")</f>
        <v/>
      </c>
      <c r="AR179" s="84"/>
      <c r="AS179" s="84"/>
      <c r="AT179" s="84"/>
      <c r="AU179" s="83" t="str">
        <f>IF([6]回答表!BD17="●",IF([6]回答表!X45="●",[6]回答表!E214,IF([6]回答表!AA45="●",[6]回答表!E280,"")),"")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IF([6]回答表!BD17="●",IF([6]回答表!AA45="●","●",""),"")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IF([6]回答表!BD17="●",IF([6]回答表!AD45="●","●",""),"")</f>
        <v/>
      </c>
      <c r="O188" s="99"/>
      <c r="P188" s="99"/>
      <c r="Q188" s="100"/>
      <c r="R188" s="38"/>
      <c r="S188" s="38"/>
      <c r="T188" s="38"/>
      <c r="U188" s="107" t="str">
        <f>IF([6]回答表!BD17="●",IF([6]回答表!AD45="●",[6]回答表!B289,""),"")</f>
        <v/>
      </c>
      <c r="V188" s="108"/>
      <c r="W188" s="108"/>
      <c r="X188" s="108"/>
      <c r="Y188" s="108"/>
      <c r="Z188" s="108"/>
      <c r="AA188" s="108"/>
      <c r="AB188" s="108"/>
      <c r="AC188" s="108"/>
      <c r="AD188" s="108"/>
      <c r="AE188" s="108"/>
      <c r="AF188" s="108"/>
      <c r="AG188" s="108"/>
      <c r="AH188" s="108"/>
      <c r="AI188" s="108"/>
      <c r="AJ188" s="109"/>
      <c r="AK188" s="55"/>
      <c r="AL188" s="55"/>
      <c r="AM188" s="107" t="str">
        <f>IF([6]回答表!BD17="●",IF([6]回答表!AD45="●",[6]回答表!B295,""),"")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37.5" customHeight="1" x14ac:dyDescent="0.4">
      <c r="C200" s="32"/>
      <c r="D200" s="190" t="s">
        <v>18</v>
      </c>
      <c r="E200" s="190"/>
      <c r="F200" s="190"/>
      <c r="G200" s="190"/>
      <c r="H200" s="190"/>
      <c r="I200" s="190"/>
      <c r="J200" s="190"/>
      <c r="K200" s="190"/>
      <c r="L200" s="190"/>
      <c r="M200" s="190"/>
      <c r="N200" s="98" t="str">
        <f>IF([6]回答表!X46="●","●","")</f>
        <v>●</v>
      </c>
      <c r="O200" s="99"/>
      <c r="P200" s="99"/>
      <c r="Q200" s="100"/>
      <c r="R200" s="38"/>
      <c r="S200" s="38"/>
      <c r="T200" s="38"/>
      <c r="U200" s="107" t="str">
        <f>IF([6]回答表!X46="●",[6]回答表!B307,IF([6]回答表!AA46="●",[6]回答表!B324,""))</f>
        <v>富根地区・仁鮒地区両簡易水道事業は、平成１５年の地方自治法改正により平成１８年６月から指定管理者制度に移行し、地域の住民で組織された水道組合が指定管理者となり事業を実施している。移行以前は管理委託制度に基づき水道組合へ業務を委託していたが、以前から事業費は給水使用料の範囲内で賄われているため、常にコスト意識を保ちながら事業運営に当たっており、移行後も同様な運営が実施されている。</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IF([6]回答表!X46="●",[6]回答表!U313,IF([6]回答表!AA46="●",[6]回答表!U330,""))</f>
        <v>平成</v>
      </c>
      <c r="BG200" s="117"/>
      <c r="BH200" s="117"/>
      <c r="BI200" s="117"/>
      <c r="BJ200" s="116"/>
      <c r="BK200" s="117"/>
      <c r="BL200" s="117"/>
      <c r="BM200" s="117"/>
      <c r="BN200" s="116"/>
      <c r="BO200" s="117"/>
      <c r="BP200" s="117"/>
      <c r="BQ200" s="118"/>
      <c r="BR200" s="37"/>
      <c r="BS200" s="24"/>
    </row>
    <row r="201" spans="1:71" ht="37.5"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37.5"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37.5"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IF([6]回答表!X46="●",[6]回答表!G313,IF([6]回答表!AA46="●",[6]回答表!G330,""))</f>
        <v xml:space="preserve"> </v>
      </c>
      <c r="AN203" s="120"/>
      <c r="AO203" s="120"/>
      <c r="AP203" s="120"/>
      <c r="AQ203" s="120"/>
      <c r="AR203" s="120"/>
      <c r="AS203" s="120"/>
      <c r="AT203" s="121"/>
      <c r="AU203" s="119" t="str">
        <f>IF([6]回答表!X46="●",[6]回答表!G314,IF([6]回答表!AA46="●",[6]回答表!G331,""))</f>
        <v>●</v>
      </c>
      <c r="AV203" s="120"/>
      <c r="AW203" s="120"/>
      <c r="AX203" s="120"/>
      <c r="AY203" s="120"/>
      <c r="AZ203" s="120"/>
      <c r="BA203" s="120"/>
      <c r="BB203" s="121"/>
      <c r="BC203" s="39"/>
      <c r="BD203" s="34"/>
      <c r="BE203" s="34"/>
      <c r="BF203" s="83">
        <f>IF([6]回答表!X46="●",[6]回答表!X313,IF([6]回答表!AA46="●",[6]回答表!X330,""))</f>
        <v>18</v>
      </c>
      <c r="BG203" s="84"/>
      <c r="BH203" s="84"/>
      <c r="BI203" s="84"/>
      <c r="BJ203" s="83">
        <f>IF([6]回答表!X46="●",[6]回答表!X314,IF([6]回答表!AA46="●",[6]回答表!X331,""))</f>
        <v>6</v>
      </c>
      <c r="BK203" s="84"/>
      <c r="BL203" s="84"/>
      <c r="BM203" s="87"/>
      <c r="BN203" s="83">
        <f>IF([6]回答表!X46="●",[6]回答表!X315,IF([6]回答表!AA46="●",[6]回答表!X332,""))</f>
        <v>1</v>
      </c>
      <c r="BO203" s="84"/>
      <c r="BP203" s="84"/>
      <c r="BQ203" s="87"/>
      <c r="BR203" s="37"/>
      <c r="BS203" s="24"/>
    </row>
    <row r="204" spans="1:71" ht="37.5"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37.5"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37.5" customHeight="1" x14ac:dyDescent="0.4">
      <c r="C206" s="32"/>
      <c r="D206" s="196" t="s">
        <v>26</v>
      </c>
      <c r="E206" s="190"/>
      <c r="F206" s="190"/>
      <c r="G206" s="190"/>
      <c r="H206" s="190"/>
      <c r="I206" s="190"/>
      <c r="J206" s="190"/>
      <c r="K206" s="190"/>
      <c r="L206" s="190"/>
      <c r="M206" s="191"/>
      <c r="N206" s="98" t="str">
        <f>IF([6]回答表!AA46="●","●","")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37.5"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37.5"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37.5"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IF([6]回答表!AD46="●","●","")</f>
        <v/>
      </c>
      <c r="O212" s="99"/>
      <c r="P212" s="99"/>
      <c r="Q212" s="100"/>
      <c r="R212" s="38"/>
      <c r="S212" s="38"/>
      <c r="T212" s="38"/>
      <c r="U212" s="107" t="str">
        <f>IF([6]回答表!AD46="●",[6]回答表!B337,"")</f>
        <v/>
      </c>
      <c r="V212" s="108"/>
      <c r="W212" s="108"/>
      <c r="X212" s="108"/>
      <c r="Y212" s="108"/>
      <c r="Z212" s="108"/>
      <c r="AA212" s="108"/>
      <c r="AB212" s="108"/>
      <c r="AC212" s="108"/>
      <c r="AD212" s="108"/>
      <c r="AE212" s="108"/>
      <c r="AF212" s="108"/>
      <c r="AG212" s="108"/>
      <c r="AH212" s="108"/>
      <c r="AI212" s="108"/>
      <c r="AJ212" s="109"/>
      <c r="AK212" s="62"/>
      <c r="AL212" s="62"/>
      <c r="AM212" s="107" t="str">
        <f>IF([6]回答表!AD46="●",[6]回答表!B343,"")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IF([6]回答表!X47="●","●","")</f>
        <v/>
      </c>
      <c r="O224" s="99"/>
      <c r="P224" s="99"/>
      <c r="Q224" s="100"/>
      <c r="R224" s="38"/>
      <c r="S224" s="38"/>
      <c r="T224" s="38"/>
      <c r="U224" s="107" t="str">
        <f>IF([6]回答表!X47="●",[6]回答表!B356,IF([6]回答表!AA47="●",[6]回答表!B379,""))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IF([6]回答表!X47="●",[6]回答表!B362,"")</f>
        <v/>
      </c>
      <c r="AO224" s="182"/>
      <c r="AP224" s="182"/>
      <c r="AQ224" s="182"/>
      <c r="AR224" s="182"/>
      <c r="AS224" s="182"/>
      <c r="AT224" s="182"/>
      <c r="AU224" s="182"/>
      <c r="AV224" s="182"/>
      <c r="AW224" s="182"/>
      <c r="AX224" s="182"/>
      <c r="AY224" s="182"/>
      <c r="AZ224" s="182"/>
      <c r="BA224" s="182"/>
      <c r="BB224" s="183"/>
      <c r="BC224" s="39"/>
      <c r="BD224" s="34"/>
      <c r="BE224" s="34"/>
      <c r="BF224" s="116" t="str">
        <f>IF([6]回答表!X47="●",[6]回答表!B368,IF([6]回答表!AA47="●",[6]回答表!B385,""))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IF([6]回答表!X47="●",[6]回答表!E368,IF([6]回答表!AA47="●",[6]回答表!E385,""))</f>
        <v/>
      </c>
      <c r="BG227" s="84"/>
      <c r="BH227" s="84"/>
      <c r="BI227" s="84"/>
      <c r="BJ227" s="83" t="str">
        <f>IF([6]回答表!X47="●",[6]回答表!E369,IF([6]回答表!AA47="●",[6]回答表!E386,""))</f>
        <v/>
      </c>
      <c r="BK227" s="84"/>
      <c r="BL227" s="84"/>
      <c r="BM227" s="87"/>
      <c r="BN227" s="83" t="str">
        <f>IF([6]回答表!X47="●",[6]回答表!E370,IF([6]回答表!AA47="●",[6]回答表!E387,""))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IF([6]回答表!AA47="●","●","")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IF([6]回答表!AD47="●","●","")</f>
        <v/>
      </c>
      <c r="O236" s="99"/>
      <c r="P236" s="99"/>
      <c r="Q236" s="100"/>
      <c r="R236" s="38"/>
      <c r="S236" s="38"/>
      <c r="T236" s="38"/>
      <c r="U236" s="107" t="str">
        <f>IF([6]回答表!AD47="●",[6]回答表!B392,"")</f>
        <v/>
      </c>
      <c r="V236" s="108"/>
      <c r="W236" s="108"/>
      <c r="X236" s="108"/>
      <c r="Y236" s="108"/>
      <c r="Z236" s="108"/>
      <c r="AA236" s="108"/>
      <c r="AB236" s="108"/>
      <c r="AC236" s="108"/>
      <c r="AD236" s="108"/>
      <c r="AE236" s="108"/>
      <c r="AF236" s="108"/>
      <c r="AG236" s="108"/>
      <c r="AH236" s="108"/>
      <c r="AI236" s="108"/>
      <c r="AJ236" s="109"/>
      <c r="AK236" s="62"/>
      <c r="AL236" s="62"/>
      <c r="AM236" s="107" t="str">
        <f>IF([6]回答表!AD47="●",[6]回答表!B398,"")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IF([6]回答表!X48="●","●","")</f>
        <v/>
      </c>
      <c r="O248" s="99"/>
      <c r="P248" s="99"/>
      <c r="Q248" s="100"/>
      <c r="R248" s="38"/>
      <c r="S248" s="38"/>
      <c r="T248" s="38"/>
      <c r="U248" s="107" t="str">
        <f>IF([6]回答表!X48="●",[6]回答表!B411,IF([6]回答表!AA48="●",[6]回答表!B425,""))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IF([6]回答表!X48="●",[6]回答表!BC418,IF([6]回答表!AA48="●",[6]回答表!BC432,""))</f>
        <v/>
      </c>
      <c r="AR248" s="151"/>
      <c r="AS248" s="151"/>
      <c r="AT248" s="151"/>
      <c r="AU248" s="173" t="s">
        <v>73</v>
      </c>
      <c r="AV248" s="174"/>
      <c r="AW248" s="174"/>
      <c r="AX248" s="175"/>
      <c r="AY248" s="151" t="str">
        <f>IF([6]回答表!X48="●",[6]回答表!BC423,IF([6]回答表!AA48="●",[6]回答表!BC437,""))</f>
        <v/>
      </c>
      <c r="AZ248" s="151"/>
      <c r="BA248" s="151"/>
      <c r="BB248" s="151"/>
      <c r="BC248" s="39"/>
      <c r="BD248" s="34"/>
      <c r="BE248" s="34"/>
      <c r="BF248" s="116" t="str">
        <f>IF([6]回答表!X48="●",[6]回答表!S417,IF([6]回答表!AA48="●",[6]回答表!S431,""))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IF([6]回答表!X48="●",[6]回答表!BC419,IF([6]回答表!AA48="●",[6]回答表!BC433,""))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IF([6]回答表!X48="●",[6]回答表!V417,IF([6]回答表!AA48="●",[6]回答表!V431,""))</f>
        <v/>
      </c>
      <c r="BG251" s="84"/>
      <c r="BH251" s="84"/>
      <c r="BI251" s="84"/>
      <c r="BJ251" s="83" t="str">
        <f>IF([6]回答表!X48="●",[6]回答表!V418,IF([6]回答表!AA48="●",[6]回答表!V432,""))</f>
        <v/>
      </c>
      <c r="BK251" s="84"/>
      <c r="BL251" s="84"/>
      <c r="BM251" s="87"/>
      <c r="BN251" s="83" t="str">
        <f>IF([6]回答表!X48="●",[6]回答表!V419,IF([6]回答表!AA48="●",[6]回答表!V433,""))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IF([6]回答表!X48="●",[6]回答表!BC420,IF([6]回答表!AA48="●",[6]回答表!BC434,""))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IF([6]回答表!X48="●",[6]回答表!BC424,IF([6]回答表!AA48="●",[6]回答表!BC438,""))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IF([6]回答表!AA48="●","●","")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IF([6]回答表!X48="●",[6]回答表!BC421,IF([6]回答表!AA48="●",[6]回答表!BC435,""))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IF([6]回答表!X48="●",[6]回答表!BC422,IF([6]回答表!AA48="●",[6]回答表!BC436,""))</f>
        <v/>
      </c>
      <c r="AR256" s="151"/>
      <c r="AS256" s="151"/>
      <c r="AT256" s="151"/>
      <c r="AU256" s="152" t="s">
        <v>79</v>
      </c>
      <c r="AV256" s="153"/>
      <c r="AW256" s="153"/>
      <c r="AX256" s="154"/>
      <c r="AY256" s="158" t="str">
        <f>IF([6]回答表!X48="●",[6]回答表!BC425,IF([6]回答表!AA48="●",[6]回答表!BC439,""))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IF([6]回答表!AD48="●","●","")</f>
        <v/>
      </c>
      <c r="O260" s="99"/>
      <c r="P260" s="99"/>
      <c r="Q260" s="100"/>
      <c r="R260" s="38"/>
      <c r="S260" s="38"/>
      <c r="T260" s="38"/>
      <c r="U260" s="107" t="str">
        <f>IF([6]回答表!AD48="●",[6]回答表!B439,"")</f>
        <v/>
      </c>
      <c r="V260" s="108"/>
      <c r="W260" s="108"/>
      <c r="X260" s="108"/>
      <c r="Y260" s="108"/>
      <c r="Z260" s="108"/>
      <c r="AA260" s="108"/>
      <c r="AB260" s="108"/>
      <c r="AC260" s="108"/>
      <c r="AD260" s="108"/>
      <c r="AE260" s="108"/>
      <c r="AF260" s="108"/>
      <c r="AG260" s="108"/>
      <c r="AH260" s="108"/>
      <c r="AI260" s="108"/>
      <c r="AJ260" s="109"/>
      <c r="AK260" s="55"/>
      <c r="AL260" s="55"/>
      <c r="AM260" s="107" t="str">
        <f>IF([6]回答表!AD48="●",[6]回答表!B445,"")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IF([6]回答表!X49="●","●","")</f>
        <v/>
      </c>
      <c r="O271" s="99"/>
      <c r="P271" s="99"/>
      <c r="Q271" s="100"/>
      <c r="R271" s="38"/>
      <c r="S271" s="38"/>
      <c r="T271" s="38"/>
      <c r="U271" s="107" t="str">
        <f>IF([6]回答表!X49="●",[6]回答表!B458,IF([6]回答表!AA49="●",[6]回答表!B475,""))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IF([6]回答表!X49="●",[6]回答表!B468,IF([6]回答表!AA49="●",[6]回答表!B485,""))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IF([6]回答表!X49="●",[6]回答表!G464,IF([6]回答表!AA49="●",[6]回答表!G481,""))</f>
        <v/>
      </c>
      <c r="AN273" s="120"/>
      <c r="AO273" s="120"/>
      <c r="AP273" s="120"/>
      <c r="AQ273" s="120"/>
      <c r="AR273" s="120"/>
      <c r="AS273" s="120"/>
      <c r="AT273" s="121"/>
      <c r="AU273" s="119" t="str">
        <f>IF([6]回答表!X49="●",[6]回答表!G465,IF([6]回答表!AA49="●",[6]回答表!G482,""))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IF([6]回答表!X49="●",[6]回答表!E468,IF([6]回答表!AA49="●",[6]回答表!E485,""))</f>
        <v/>
      </c>
      <c r="BG274" s="84"/>
      <c r="BH274" s="84"/>
      <c r="BI274" s="84"/>
      <c r="BJ274" s="83" t="str">
        <f>IF([6]回答表!X49="●",[6]回答表!E469,IF([6]回答表!AA49="●",[6]回答表!E486,""))</f>
        <v/>
      </c>
      <c r="BK274" s="84"/>
      <c r="BL274" s="84"/>
      <c r="BM274" s="87"/>
      <c r="BN274" s="83" t="str">
        <f>IF([6]回答表!X49="●",[6]回答表!E470,IF([6]回答表!AA49="●",[6]回答表!E487,""))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IF([6]回答表!AA49="●","●","")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IF([6]回答表!AD49="●","●","")</f>
        <v/>
      </c>
      <c r="O283" s="99"/>
      <c r="P283" s="99"/>
      <c r="Q283" s="100"/>
      <c r="R283" s="38"/>
      <c r="S283" s="38"/>
      <c r="T283" s="38"/>
      <c r="U283" s="107" t="str">
        <f>IF([6]回答表!AD49="●",[6]回答表!B492,"")</f>
        <v/>
      </c>
      <c r="V283" s="108"/>
      <c r="W283" s="108"/>
      <c r="X283" s="108"/>
      <c r="Y283" s="108"/>
      <c r="Z283" s="108"/>
      <c r="AA283" s="108"/>
      <c r="AB283" s="108"/>
      <c r="AC283" s="108"/>
      <c r="AD283" s="108"/>
      <c r="AE283" s="108"/>
      <c r="AF283" s="108"/>
      <c r="AG283" s="108"/>
      <c r="AH283" s="108"/>
      <c r="AI283" s="108"/>
      <c r="AJ283" s="109"/>
      <c r="AK283" s="49"/>
      <c r="AL283" s="49"/>
      <c r="AM283" s="107" t="str">
        <f>IF([6]回答表!AD49="●",[6]回答表!B498,"")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IF([6]回答表!R50="●",[6]回答表!B511,"")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AE8-52B7-4CC6-942C-30DF13614975}">
  <sheetPr>
    <pageSetUpPr fitToPage="1"/>
  </sheetPr>
  <dimension ref="A1:CN315"/>
  <sheetViews>
    <sheetView showZeros="0" view="pageBreakPreview" zoomScale="60" zoomScaleNormal="55" workbookViewId="0">
      <selection activeCell="U224" sqref="U224:AJ23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IF(COUNTIF([1]回答表!K15,"*")&gt;0,[1]回答表!K15,"")</f>
        <v>能代市</v>
      </c>
      <c r="D11" s="299"/>
      <c r="E11" s="299"/>
      <c r="F11" s="299"/>
      <c r="G11" s="299"/>
      <c r="H11" s="299"/>
      <c r="I11" s="299"/>
      <c r="J11" s="299"/>
      <c r="K11" s="299"/>
      <c r="L11" s="299"/>
      <c r="M11" s="299"/>
      <c r="N11" s="299"/>
      <c r="O11" s="299"/>
      <c r="P11" s="299"/>
      <c r="Q11" s="299"/>
      <c r="R11" s="299"/>
      <c r="S11" s="299"/>
      <c r="T11" s="299"/>
      <c r="U11" s="306" t="str">
        <f>IF(COUNTIF([1]回答表!F17,"*")&gt;0,[1]回答表!F17,"")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IF(COUNTIF([1]回答表!W17,"*")&gt;0,[1]回答表!W17,"")</f>
        <v>公共下水道</v>
      </c>
      <c r="AP11" s="301"/>
      <c r="AQ11" s="301"/>
      <c r="AR11" s="301"/>
      <c r="AS11" s="301"/>
      <c r="AT11" s="301"/>
      <c r="AU11" s="301"/>
      <c r="AV11" s="301"/>
      <c r="AW11" s="301"/>
      <c r="AX11" s="301"/>
      <c r="AY11" s="301"/>
      <c r="AZ11" s="301"/>
      <c r="BA11" s="301"/>
      <c r="BB11" s="301"/>
      <c r="BC11" s="301"/>
      <c r="BD11" s="301"/>
      <c r="BE11" s="301"/>
      <c r="BF11" s="302"/>
      <c r="BG11" s="305" t="str">
        <f>IF(COUNTIF([1]回答表!F19,"*")&gt;0,[1]回答表!F19,"")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IF([1]回答表!R43="●","●","")</f>
        <v/>
      </c>
      <c r="E24" s="123"/>
      <c r="F24" s="123"/>
      <c r="G24" s="123"/>
      <c r="H24" s="123"/>
      <c r="I24" s="123"/>
      <c r="J24" s="124"/>
      <c r="K24" s="122" t="str">
        <f>IF([1]回答表!R44="●","●","")</f>
        <v/>
      </c>
      <c r="L24" s="123"/>
      <c r="M24" s="123"/>
      <c r="N24" s="123"/>
      <c r="O24" s="123"/>
      <c r="P24" s="123"/>
      <c r="Q24" s="124"/>
      <c r="R24" s="122" t="str">
        <f>IF([1]回答表!R45="●","●","")</f>
        <v>●</v>
      </c>
      <c r="S24" s="123"/>
      <c r="T24" s="123"/>
      <c r="U24" s="123"/>
      <c r="V24" s="123"/>
      <c r="W24" s="123"/>
      <c r="X24" s="124"/>
      <c r="Y24" s="122" t="str">
        <f>IF([1]回答表!R46="●","●","")</f>
        <v/>
      </c>
      <c r="Z24" s="123"/>
      <c r="AA24" s="123"/>
      <c r="AB24" s="123"/>
      <c r="AC24" s="123"/>
      <c r="AD24" s="123"/>
      <c r="AE24" s="124"/>
      <c r="AF24" s="122" t="str">
        <f>IF([1]回答表!R47="●","●","")</f>
        <v>●</v>
      </c>
      <c r="AG24" s="123"/>
      <c r="AH24" s="123"/>
      <c r="AI24" s="123"/>
      <c r="AJ24" s="123"/>
      <c r="AK24" s="123"/>
      <c r="AL24" s="124"/>
      <c r="AM24" s="122" t="str">
        <f>IF([1]回答表!R48="●","●","")</f>
        <v/>
      </c>
      <c r="AN24" s="123"/>
      <c r="AO24" s="123"/>
      <c r="AP24" s="123"/>
      <c r="AQ24" s="123"/>
      <c r="AR24" s="123"/>
      <c r="AS24" s="124"/>
      <c r="AT24" s="122" t="str">
        <f>IF([1]回答表!R49="●","●","")</f>
        <v/>
      </c>
      <c r="AU24" s="123"/>
      <c r="AV24" s="123"/>
      <c r="AW24" s="123"/>
      <c r="AX24" s="123"/>
      <c r="AY24" s="123"/>
      <c r="AZ24" s="124"/>
      <c r="BA24" s="18"/>
      <c r="BB24" s="119" t="str">
        <f>IF([1]回答表!R50="●","●","")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IF([1]回答表!X43="●","●","")</f>
        <v/>
      </c>
      <c r="O36" s="99"/>
      <c r="P36" s="99"/>
      <c r="Q36" s="100"/>
      <c r="R36" s="38"/>
      <c r="S36" s="38"/>
      <c r="T36" s="38"/>
      <c r="U36" s="107" t="str">
        <f>IF([1]回答表!X43="●",[1]回答表!B59,IF([1]回答表!AA43="●",[1]回答表!B79,""))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IF([1]回答表!X43="●",[1]回答表!S65,IF([1]回答表!AA43="●",[1]回答表!S85,""))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IF([1]回答表!X43="●",[1]回答表!G65,IF([1]回答表!AA43="●",[1]回答表!G85,""))</f>
        <v/>
      </c>
      <c r="AN38" s="120"/>
      <c r="AO38" s="120"/>
      <c r="AP38" s="120"/>
      <c r="AQ38" s="120"/>
      <c r="AR38" s="120"/>
      <c r="AS38" s="120"/>
      <c r="AT38" s="121"/>
      <c r="AU38" s="119" t="str">
        <f>IF([1]回答表!X43="●",[1]回答表!G66,IF([1]回答表!AA43="●",[1]回答表!G86,""))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IF([1]回答表!X43="●",[1]回答表!V65,IF([1]回答表!AA43="●",[1]回答表!V85,""))</f>
        <v/>
      </c>
      <c r="BG39" s="249"/>
      <c r="BH39" s="249"/>
      <c r="BI39" s="250"/>
      <c r="BJ39" s="83" t="str">
        <f>IF([1]回答表!X43="●",[1]回答表!V66,IF([1]回答表!AA43="●",[1]回答表!V86,""))</f>
        <v/>
      </c>
      <c r="BK39" s="249"/>
      <c r="BL39" s="249"/>
      <c r="BM39" s="250"/>
      <c r="BN39" s="83" t="str">
        <f>IF([1]回答表!X43="●",[1]回答表!V67,IF([1]回答表!AA43="●",[1]回答表!V87,""))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IF([1]回答表!X43="●",[1]回答表!O71,IF([1]回答表!AA43="●",[1]回答表!O91,""))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IF([1]回答表!X43="●",[1]回答表!O72,IF([1]回答表!AA43="●",[1]回答表!O92,""))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IF([1]回答表!AA43="●","●","")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IF([1]回答表!X43="●",[1]回答表!O73,IF([1]回答表!AA43="●",[1]回答表!O93,""))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IF([1]回答表!X43="●",[1]回答表!O74,IF([1]回答表!AA43="●",[1]回答表!O94,""))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IF([1]回答表!X43="●",[1]回答表!AG71,IF([1]回答表!AA43="●",[1]回答表!AG91,""))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IF([1]回答表!X43="●",[1]回答表!AG72,IF([1]回答表!AA43="●",[1]回答表!AG92,""))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IF([1]回答表!AD43="●","●","")</f>
        <v/>
      </c>
      <c r="O51" s="99"/>
      <c r="P51" s="99"/>
      <c r="Q51" s="100"/>
      <c r="R51" s="38"/>
      <c r="S51" s="38"/>
      <c r="T51" s="38"/>
      <c r="U51" s="107" t="str">
        <f>IF([1]回答表!AD43="●",[1]回答表!B99,"")</f>
        <v/>
      </c>
      <c r="V51" s="108"/>
      <c r="W51" s="108"/>
      <c r="X51" s="108"/>
      <c r="Y51" s="108"/>
      <c r="Z51" s="108"/>
      <c r="AA51" s="108"/>
      <c r="AB51" s="108"/>
      <c r="AC51" s="108"/>
      <c r="AD51" s="108"/>
      <c r="AE51" s="108"/>
      <c r="AF51" s="108"/>
      <c r="AG51" s="108"/>
      <c r="AH51" s="108"/>
      <c r="AI51" s="108"/>
      <c r="AJ51" s="109"/>
      <c r="AK51" s="55"/>
      <c r="AL51" s="55"/>
      <c r="AM51" s="107" t="str">
        <f>IF([1]回答表!AD43="●",[1]回答表!B104,"")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IF([1]回答表!X44="●","●","")</f>
        <v/>
      </c>
      <c r="O62" s="99"/>
      <c r="P62" s="99"/>
      <c r="Q62" s="100"/>
      <c r="R62" s="38"/>
      <c r="S62" s="38"/>
      <c r="T62" s="38"/>
      <c r="U62" s="107" t="str">
        <f>IF([1]回答表!X44="●",[1]回答表!B115,IF([1]回答表!AA44="●",[1]回答表!B127,""))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IF([1]回答表!X44="●",[1]回答表!S121,IF([1]回答表!AA44="●",[1]回答表!S133,""))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IF([1]回答表!X44="●",[1]回答表!J121,IF([1]回答表!AA44="●",[1]回答表!J133,""))</f>
        <v/>
      </c>
      <c r="AN65" s="120"/>
      <c r="AO65" s="120"/>
      <c r="AP65" s="120"/>
      <c r="AQ65" s="120"/>
      <c r="AR65" s="120"/>
      <c r="AS65" s="120"/>
      <c r="AT65" s="121"/>
      <c r="AU65" s="119" t="str">
        <f>IF([1]回答表!X44="●",[1]回答表!J122,IF([1]回答表!AA44="●",[1]回答表!J134,""))</f>
        <v/>
      </c>
      <c r="AV65" s="120"/>
      <c r="AW65" s="120"/>
      <c r="AX65" s="120"/>
      <c r="AY65" s="120"/>
      <c r="AZ65" s="120"/>
      <c r="BA65" s="120"/>
      <c r="BB65" s="121"/>
      <c r="BC65" s="39"/>
      <c r="BD65" s="34"/>
      <c r="BE65" s="34"/>
      <c r="BF65" s="83" t="str">
        <f>IF([1]回答表!X44="●",[1]回答表!V121,IF([1]回答表!AA44="●",[1]回答表!V133,""))</f>
        <v/>
      </c>
      <c r="BG65" s="84"/>
      <c r="BH65" s="84"/>
      <c r="BI65" s="84"/>
      <c r="BJ65" s="83" t="str">
        <f>IF([1]回答表!X44="●",[1]回答表!V122,IF([1]回答表!AA44="●",[1]回答表!V134,""))</f>
        <v/>
      </c>
      <c r="BK65" s="84"/>
      <c r="BL65" s="84"/>
      <c r="BM65" s="84"/>
      <c r="BN65" s="83" t="str">
        <f>IF([1]回答表!X44="●",[1]回答表!V123,IF([1]回答表!AA44="●",[1]回答表!V135,""))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IF([1]回答表!AA44="●","●","")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IF([1]回答表!AD44="●","●","")</f>
        <v/>
      </c>
      <c r="O74" s="99"/>
      <c r="P74" s="99"/>
      <c r="Q74" s="100"/>
      <c r="R74" s="38"/>
      <c r="S74" s="38"/>
      <c r="T74" s="38"/>
      <c r="U74" s="107" t="str">
        <f>IF([1]回答表!AD44="●",[1]回答表!B140,"")</f>
        <v/>
      </c>
      <c r="V74" s="108"/>
      <c r="W74" s="108"/>
      <c r="X74" s="108"/>
      <c r="Y74" s="108"/>
      <c r="Z74" s="108"/>
      <c r="AA74" s="108"/>
      <c r="AB74" s="108"/>
      <c r="AC74" s="108"/>
      <c r="AD74" s="108"/>
      <c r="AE74" s="108"/>
      <c r="AF74" s="108"/>
      <c r="AG74" s="108"/>
      <c r="AH74" s="108"/>
      <c r="AI74" s="108"/>
      <c r="AJ74" s="109"/>
      <c r="AK74" s="55"/>
      <c r="AL74" s="55"/>
      <c r="AM74" s="107" t="str">
        <f>IF([1]回答表!AD44="●",[1]回答表!B146,"")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IF([1]回答表!F17="水道事業",IF([1]回答表!X45="●","●",""),"")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IF([1]回答表!F17="水道事業",IF([1]回答表!X45="●",[1]回答表!B158,IF([1]回答表!AA45="●",[1]回答表!B223,"")),"")</f>
        <v/>
      </c>
      <c r="AN86" s="212"/>
      <c r="AO86" s="212"/>
      <c r="AP86" s="212"/>
      <c r="AQ86" s="212"/>
      <c r="AR86" s="212"/>
      <c r="AS86" s="212"/>
      <c r="AT86" s="212"/>
      <c r="AU86" s="212"/>
      <c r="AV86" s="212"/>
      <c r="AW86" s="212"/>
      <c r="AX86" s="212"/>
      <c r="AY86" s="212"/>
      <c r="AZ86" s="212"/>
      <c r="BA86" s="212"/>
      <c r="BB86" s="212"/>
      <c r="BC86" s="213"/>
      <c r="BD86" s="34"/>
      <c r="BE86" s="34"/>
      <c r="BF86" s="116" t="str">
        <f>IF([1]回答表!F17="水道事業",IF([1]回答表!X45="●",[1]回答表!B212,IF([1]回答表!AA45="●",[1]回答表!B278,"")),"")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IF([1]回答表!F17="水道事業",IF([1]回答表!X45="●",[1]回答表!J166,IF([1]回答表!AA45="●",[1]回答表!J231,"")),"")</f>
        <v/>
      </c>
      <c r="V88" s="120"/>
      <c r="W88" s="120"/>
      <c r="X88" s="120"/>
      <c r="Y88" s="120"/>
      <c r="Z88" s="120"/>
      <c r="AA88" s="120"/>
      <c r="AB88" s="121"/>
      <c r="AC88" s="119" t="str">
        <f>IF([1]回答表!F17="水道事業",IF([1]回答表!X45="●",[1]回答表!J173,IF([1]回答表!AA45="●",[1]回答表!J238,"")),"")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IF([1]回答表!F17="水道事業",IF([1]回答表!X45="●",[1]回答表!E212,IF([1]回答表!AA45="●",[1]回答表!E278,"")),"")</f>
        <v/>
      </c>
      <c r="BG89" s="84"/>
      <c r="BH89" s="84"/>
      <c r="BI89" s="84"/>
      <c r="BJ89" s="83" t="str">
        <f>IF([1]回答表!F17="水道事業",IF([1]回答表!X45="●",[1]回答表!E213,IF([1]回答表!AA45="●",[1]回答表!E279,"")),"")</f>
        <v/>
      </c>
      <c r="BK89" s="84"/>
      <c r="BL89" s="84"/>
      <c r="BM89" s="84"/>
      <c r="BN89" s="83" t="str">
        <f>IF([1]回答表!F17="水道事業",IF([1]回答表!X45="●",[1]回答表!E214,IF([1]回答表!AA45="●",[1]回答表!E280,"")),"")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IF([1]回答表!F17="水道事業",IF([1]回答表!AA45="●","●",""),"")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IF([1]回答表!F17="水道事業",IF([1]回答表!X45="●",[1]回答表!J176,IF([1]回答表!AA45="●",[1]回答表!J241,"")),"")</f>
        <v/>
      </c>
      <c r="V93" s="120"/>
      <c r="W93" s="120"/>
      <c r="X93" s="120"/>
      <c r="Y93" s="120"/>
      <c r="Z93" s="120"/>
      <c r="AA93" s="120"/>
      <c r="AB93" s="121"/>
      <c r="AC93" s="119" t="str">
        <f>IF([1]回答表!F17="水道事業",IF([1]回答表!X45="●",[1]回答表!J180,IF([1]回答表!AA45="●",[1]回答表!J245,"")),"")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IF([1]回答表!F17="水道事業",IF([1]回答表!AD45="●","●",""),"")</f>
        <v/>
      </c>
      <c r="O98" s="99"/>
      <c r="P98" s="99"/>
      <c r="Q98" s="100"/>
      <c r="R98" s="38"/>
      <c r="S98" s="38"/>
      <c r="T98" s="38"/>
      <c r="U98" s="107" t="str">
        <f>IF([1]回答表!F17="水道事業",IF([1]回答表!AD45="●",[1]回答表!B289,""),"")</f>
        <v/>
      </c>
      <c r="V98" s="108"/>
      <c r="W98" s="108"/>
      <c r="X98" s="108"/>
      <c r="Y98" s="108"/>
      <c r="Z98" s="108"/>
      <c r="AA98" s="108"/>
      <c r="AB98" s="108"/>
      <c r="AC98" s="108"/>
      <c r="AD98" s="108"/>
      <c r="AE98" s="108"/>
      <c r="AF98" s="108"/>
      <c r="AG98" s="108"/>
      <c r="AH98" s="108"/>
      <c r="AI98" s="108"/>
      <c r="AJ98" s="109"/>
      <c r="AK98" s="55"/>
      <c r="AL98" s="55"/>
      <c r="AM98" s="107" t="str">
        <f>IF([1]回答表!F17="水道事業",IF([1]回答表!AD45="●",[1]回答表!B295,""),"")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IF([1]回答表!F17="簡易水道事業",IF([1]回答表!X45="●",[1]回答表!B158,IF([1]回答表!AA45="●",[1]回答表!B223,"")),"")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IF([1]回答表!F17="簡易水道事業",IF([1]回答表!X45="●",[1]回答表!B212,IF([1]回答表!AA45="●",[1]回答表!B278,"")),"")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IF([1]回答表!F17="簡易水道事業",IF([1]回答表!X45="●","●",""),"")</f>
        <v/>
      </c>
      <c r="O112" s="99"/>
      <c r="P112" s="99"/>
      <c r="Q112" s="100"/>
      <c r="R112" s="38"/>
      <c r="S112" s="38"/>
      <c r="T112" s="38"/>
      <c r="U112" s="119" t="str">
        <f>IF([1]回答表!F17="簡易水道事業",IF([1]回答表!X45="●",[1]回答表!Y185,IF([1]回答表!AA45="●",[1]回答表!Y251,"")),"")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IF([1]回答表!F17="簡易水道事業",IF([1]回答表!X45="●",[1]回答表!E212,IF([1]回答表!AA45="●",[1]回答表!E278,"")),"")</f>
        <v/>
      </c>
      <c r="BG113" s="84"/>
      <c r="BH113" s="84"/>
      <c r="BI113" s="84"/>
      <c r="BJ113" s="83" t="str">
        <f>IF([1]回答表!F17="簡易水道事業",IF([1]回答表!X45="●",[1]回答表!E213,IF([1]回答表!AA45="●",[1]回答表!E279,"")),"")</f>
        <v/>
      </c>
      <c r="BK113" s="84"/>
      <c r="BL113" s="84"/>
      <c r="BM113" s="84"/>
      <c r="BN113" s="83" t="str">
        <f>IF([1]回答表!F17="簡易水道事業",IF([1]回答表!X45="●",[1]回答表!E214,IF([1]回答表!AA45="●",[1]回答表!E280,"")),"")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IF([1]回答表!F17="簡易水道事業",IF([1]回答表!X45="●",[1]回答表!Y186,IF([1]回答表!AA45="●",[1]回答表!Y252,"")),"")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IF([1]回答表!F17="簡易水道事業",IF([1]回答表!AA45="●","●",""),"")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IF([1]回答表!F17="簡易水道事業",IF([1]回答表!X45="●",[1]回答表!Y187,IF([1]回答表!AA45="●",[1]回答表!Y253,"")),"")</f>
        <v/>
      </c>
      <c r="V122" s="120"/>
      <c r="W122" s="120"/>
      <c r="X122" s="120"/>
      <c r="Y122" s="120"/>
      <c r="Z122" s="120"/>
      <c r="AA122" s="120"/>
      <c r="AB122" s="120"/>
      <c r="AC122" s="120"/>
      <c r="AD122" s="120"/>
      <c r="AE122" s="120"/>
      <c r="AF122" s="120"/>
      <c r="AG122" s="120"/>
      <c r="AH122" s="120"/>
      <c r="AI122" s="120"/>
      <c r="AJ122" s="121"/>
      <c r="AK122" s="18"/>
      <c r="AL122" s="18"/>
      <c r="AM122" s="228" t="str">
        <f>IF([1]回答表!F17="簡易水道事業",IF([1]回答表!X45="●",[1]回答表!Y189,IF([1]回答表!AA45="●",[1]回答表!Y255,"")),"")</f>
        <v/>
      </c>
      <c r="AN122" s="228"/>
      <c r="AO122" s="228"/>
      <c r="AP122" s="228"/>
      <c r="AQ122" s="228"/>
      <c r="AR122" s="228"/>
      <c r="AS122" s="228" t="str">
        <f>IF([1]回答表!F17="簡易水道事業",IF([1]回答表!X45="●",[1]回答表!Y190,IF([1]回答表!AA45="●",[1]回答表!Y256,"")),"")</f>
        <v/>
      </c>
      <c r="AT122" s="228"/>
      <c r="AU122" s="228"/>
      <c r="AV122" s="228"/>
      <c r="AW122" s="228"/>
      <c r="AX122" s="228"/>
      <c r="AY122" s="228" t="str">
        <f>IF([1]回答表!F17="簡易水道事業",IF([1]回答表!X45="●",[1]回答表!Y191,IF([1]回答表!AA45="●",[1]回答表!Y257,"")),"")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IF([1]回答表!F17="簡易水道事業",IF([1]回答表!AD45="●","●",""),"")</f>
        <v/>
      </c>
      <c r="O127" s="99"/>
      <c r="P127" s="99"/>
      <c r="Q127" s="100"/>
      <c r="R127" s="38"/>
      <c r="S127" s="38"/>
      <c r="T127" s="38"/>
      <c r="U127" s="107" t="str">
        <f>IF([1]回答表!F17="簡易水道事業",IF([1]回答表!AD45="●",[1]回答表!B289,""),"")</f>
        <v/>
      </c>
      <c r="V127" s="108"/>
      <c r="W127" s="108"/>
      <c r="X127" s="108"/>
      <c r="Y127" s="108"/>
      <c r="Z127" s="108"/>
      <c r="AA127" s="108"/>
      <c r="AB127" s="108"/>
      <c r="AC127" s="108"/>
      <c r="AD127" s="108"/>
      <c r="AE127" s="108"/>
      <c r="AF127" s="108"/>
      <c r="AG127" s="108"/>
      <c r="AH127" s="108"/>
      <c r="AI127" s="108"/>
      <c r="AJ127" s="109"/>
      <c r="AK127" s="55"/>
      <c r="AL127" s="55"/>
      <c r="AM127" s="107" t="str">
        <f>IF([1]回答表!F17="簡易水道事業",IF([1]回答表!AD45="●",[1]回答表!B295,""),"")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21" customHeight="1" x14ac:dyDescent="0.4">
      <c r="C139" s="32"/>
      <c r="D139" s="190" t="s">
        <v>18</v>
      </c>
      <c r="E139" s="190"/>
      <c r="F139" s="190"/>
      <c r="G139" s="190"/>
      <c r="H139" s="190"/>
      <c r="I139" s="190"/>
      <c r="J139" s="190"/>
      <c r="K139" s="190"/>
      <c r="L139" s="190"/>
      <c r="M139" s="190"/>
      <c r="N139" s="98" t="str">
        <f>IF([1]回答表!F17="下水道事業",IF([1]回答表!X45="●","●",""),"")</f>
        <v>●</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313" t="str">
        <f>IF([1]回答表!F17="下水道事業",IF([1]回答表!X45="●",[1]回答表!B158,IF([1]回答表!AA45="●",[1]回答表!B223,"")),"")</f>
        <v>米代川流域下水道大館処理センター内に共同利用汚泥資源化施設を整備し、流域3市3町1組合から発生する脱水ケーキ等を原料に資源化物製造、長期間安定的に供給する。施設を運営する民間事業者は製造物を全量買い取り販売を行う。令和2年度4月1日より稼働運営開始した。単独で汚泥処理施設を整備し処理する場合と比較し約20%の経費削減。</v>
      </c>
      <c r="AN139" s="314"/>
      <c r="AO139" s="314"/>
      <c r="AP139" s="314"/>
      <c r="AQ139" s="314"/>
      <c r="AR139" s="314"/>
      <c r="AS139" s="314"/>
      <c r="AT139" s="314"/>
      <c r="AU139" s="314"/>
      <c r="AV139" s="314"/>
      <c r="AW139" s="314"/>
      <c r="AX139" s="314"/>
      <c r="AY139" s="314"/>
      <c r="AZ139" s="314"/>
      <c r="BA139" s="314"/>
      <c r="BB139" s="314"/>
      <c r="BC139" s="315"/>
      <c r="BD139" s="34"/>
      <c r="BE139" s="34"/>
      <c r="BF139" s="116" t="str">
        <f>IF([1]回答表!F17="下水道事業",IF([1]回答表!X45="●",[1]回答表!B212,IF([1]回答表!AA45="●",[1]回答表!B278,"")),"")</f>
        <v>令和</v>
      </c>
      <c r="BG139" s="117"/>
      <c r="BH139" s="117"/>
      <c r="BI139" s="117"/>
      <c r="BJ139" s="116"/>
      <c r="BK139" s="117"/>
      <c r="BL139" s="117"/>
      <c r="BM139" s="117"/>
      <c r="BN139" s="116"/>
      <c r="BO139" s="117"/>
      <c r="BP139" s="117"/>
      <c r="BQ139" s="118"/>
      <c r="BR139" s="37"/>
    </row>
    <row r="140" spans="3:92" ht="2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316"/>
      <c r="AN140" s="317"/>
      <c r="AO140" s="317"/>
      <c r="AP140" s="317"/>
      <c r="AQ140" s="317"/>
      <c r="AR140" s="317"/>
      <c r="AS140" s="317"/>
      <c r="AT140" s="317"/>
      <c r="AU140" s="317"/>
      <c r="AV140" s="317"/>
      <c r="AW140" s="317"/>
      <c r="AX140" s="317"/>
      <c r="AY140" s="317"/>
      <c r="AZ140" s="317"/>
      <c r="BA140" s="317"/>
      <c r="BB140" s="317"/>
      <c r="BC140" s="318"/>
      <c r="BD140" s="34"/>
      <c r="BE140" s="34"/>
      <c r="BF140" s="83"/>
      <c r="BG140" s="84"/>
      <c r="BH140" s="84"/>
      <c r="BI140" s="84"/>
      <c r="BJ140" s="83"/>
      <c r="BK140" s="84"/>
      <c r="BL140" s="84"/>
      <c r="BM140" s="84"/>
      <c r="BN140" s="83"/>
      <c r="BO140" s="84"/>
      <c r="BP140" s="84"/>
      <c r="BQ140" s="87"/>
      <c r="BR140" s="37"/>
    </row>
    <row r="141" spans="3:92" ht="21"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IF([1]回答表!F17="下水道事業",IF([1]回答表!X45="●",[1]回答表!Y193,IF([1]回答表!AA45="●",[1]回答表!Y259,"")),"")</f>
        <v xml:space="preserve"> </v>
      </c>
      <c r="V141" s="120"/>
      <c r="W141" s="120"/>
      <c r="X141" s="120"/>
      <c r="Y141" s="120"/>
      <c r="Z141" s="120"/>
      <c r="AA141" s="120"/>
      <c r="AB141" s="121"/>
      <c r="AC141" s="18"/>
      <c r="AD141" s="18"/>
      <c r="AE141" s="18"/>
      <c r="AF141" s="18"/>
      <c r="AG141" s="18"/>
      <c r="AH141" s="18"/>
      <c r="AI141" s="18"/>
      <c r="AJ141" s="18"/>
      <c r="AK141" s="49"/>
      <c r="AL141" s="18"/>
      <c r="AM141" s="316"/>
      <c r="AN141" s="317"/>
      <c r="AO141" s="317"/>
      <c r="AP141" s="317"/>
      <c r="AQ141" s="317"/>
      <c r="AR141" s="317"/>
      <c r="AS141" s="317"/>
      <c r="AT141" s="317"/>
      <c r="AU141" s="317"/>
      <c r="AV141" s="317"/>
      <c r="AW141" s="317"/>
      <c r="AX141" s="317"/>
      <c r="AY141" s="317"/>
      <c r="AZ141" s="317"/>
      <c r="BA141" s="317"/>
      <c r="BB141" s="317"/>
      <c r="BC141" s="318"/>
      <c r="BD141" s="34"/>
      <c r="BE141" s="34"/>
      <c r="BF141" s="83"/>
      <c r="BG141" s="84"/>
      <c r="BH141" s="84"/>
      <c r="BI141" s="84"/>
      <c r="BJ141" s="83"/>
      <c r="BK141" s="84"/>
      <c r="BL141" s="84"/>
      <c r="BM141" s="84"/>
      <c r="BN141" s="83"/>
      <c r="BO141" s="84"/>
      <c r="BP141" s="84"/>
      <c r="BQ141" s="87"/>
      <c r="BR141" s="37"/>
    </row>
    <row r="142" spans="3:92" ht="21"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316"/>
      <c r="AN142" s="317"/>
      <c r="AO142" s="317"/>
      <c r="AP142" s="317"/>
      <c r="AQ142" s="317"/>
      <c r="AR142" s="317"/>
      <c r="AS142" s="317"/>
      <c r="AT142" s="317"/>
      <c r="AU142" s="317"/>
      <c r="AV142" s="317"/>
      <c r="AW142" s="317"/>
      <c r="AX142" s="317"/>
      <c r="AY142" s="317"/>
      <c r="AZ142" s="317"/>
      <c r="BA142" s="317"/>
      <c r="BB142" s="317"/>
      <c r="BC142" s="318"/>
      <c r="BD142" s="34"/>
      <c r="BE142" s="34"/>
      <c r="BF142" s="83">
        <f>IF([1]回答表!F17="下水道事業",IF([1]回答表!X45="●",[1]回答表!E212,IF([1]回答表!AA45="●",[1]回答表!E278,"")),"")</f>
        <v>2</v>
      </c>
      <c r="BG142" s="84"/>
      <c r="BH142" s="84"/>
      <c r="BI142" s="84"/>
      <c r="BJ142" s="83">
        <f>IF([1]回答表!F17="下水道事業",IF([1]回答表!X45="●",[1]回答表!E213,IF([1]回答表!AA45="●",[1]回答表!E279,"")),"")</f>
        <v>4</v>
      </c>
      <c r="BK142" s="84"/>
      <c r="BL142" s="84"/>
      <c r="BM142" s="84"/>
      <c r="BN142" s="83">
        <f>IF([1]回答表!F17="下水道事業",IF([1]回答表!X45="●",[1]回答表!E214,IF([1]回答表!AA45="●",[1]回答表!E280,"")),"")</f>
        <v>1</v>
      </c>
      <c r="BO142" s="84"/>
      <c r="BP142" s="84"/>
      <c r="BQ142" s="87"/>
      <c r="BR142" s="37"/>
      <c r="BX142" s="211" t="str">
        <f>IF([1]回答表!AQ20="下水道事業",IF([1]回答表!BI48="○",[1]回答表!AM161,IF([1]回答表!BL48="○",[1]回答表!AM226,"")),"")</f>
        <v/>
      </c>
      <c r="BY142" s="212"/>
      <c r="BZ142" s="212"/>
      <c r="CA142" s="212"/>
      <c r="CB142" s="212"/>
      <c r="CC142" s="212"/>
      <c r="CD142" s="212"/>
      <c r="CE142" s="212"/>
      <c r="CF142" s="212"/>
      <c r="CG142" s="212"/>
      <c r="CH142" s="212"/>
      <c r="CI142" s="212"/>
      <c r="CJ142" s="212"/>
      <c r="CK142" s="212"/>
      <c r="CL142" s="212"/>
      <c r="CM142" s="212"/>
      <c r="CN142" s="213"/>
    </row>
    <row r="143" spans="3:92" ht="21"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316"/>
      <c r="AN143" s="317"/>
      <c r="AO143" s="317"/>
      <c r="AP143" s="317"/>
      <c r="AQ143" s="317"/>
      <c r="AR143" s="317"/>
      <c r="AS143" s="317"/>
      <c r="AT143" s="317"/>
      <c r="AU143" s="317"/>
      <c r="AV143" s="317"/>
      <c r="AW143" s="317"/>
      <c r="AX143" s="317"/>
      <c r="AY143" s="317"/>
      <c r="AZ143" s="317"/>
      <c r="BA143" s="317"/>
      <c r="BB143" s="317"/>
      <c r="BC143" s="318"/>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21"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316"/>
      <c r="AN144" s="317"/>
      <c r="AO144" s="317"/>
      <c r="AP144" s="317"/>
      <c r="AQ144" s="317"/>
      <c r="AR144" s="317"/>
      <c r="AS144" s="317"/>
      <c r="AT144" s="317"/>
      <c r="AU144" s="317"/>
      <c r="AV144" s="317"/>
      <c r="AW144" s="317"/>
      <c r="AX144" s="317"/>
      <c r="AY144" s="317"/>
      <c r="AZ144" s="317"/>
      <c r="BA144" s="317"/>
      <c r="BB144" s="317"/>
      <c r="BC144" s="318"/>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2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316"/>
      <c r="AN145" s="317"/>
      <c r="AO145" s="317"/>
      <c r="AP145" s="317"/>
      <c r="AQ145" s="317"/>
      <c r="AR145" s="317"/>
      <c r="AS145" s="317"/>
      <c r="AT145" s="317"/>
      <c r="AU145" s="317"/>
      <c r="AV145" s="317"/>
      <c r="AW145" s="317"/>
      <c r="AX145" s="317"/>
      <c r="AY145" s="317"/>
      <c r="AZ145" s="317"/>
      <c r="BA145" s="317"/>
      <c r="BB145" s="317"/>
      <c r="BC145" s="318"/>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2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316"/>
      <c r="AN146" s="317"/>
      <c r="AO146" s="317"/>
      <c r="AP146" s="317"/>
      <c r="AQ146" s="317"/>
      <c r="AR146" s="317"/>
      <c r="AS146" s="317"/>
      <c r="AT146" s="317"/>
      <c r="AU146" s="317"/>
      <c r="AV146" s="317"/>
      <c r="AW146" s="317"/>
      <c r="AX146" s="317"/>
      <c r="AY146" s="317"/>
      <c r="AZ146" s="317"/>
      <c r="BA146" s="317"/>
      <c r="BB146" s="317"/>
      <c r="BC146" s="318"/>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21" customHeight="1" x14ac:dyDescent="0.4">
      <c r="C147" s="32"/>
      <c r="D147" s="18"/>
      <c r="E147" s="18"/>
      <c r="F147" s="18"/>
      <c r="G147" s="18"/>
      <c r="H147" s="18"/>
      <c r="I147" s="18"/>
      <c r="J147" s="18"/>
      <c r="K147" s="18"/>
      <c r="L147" s="18"/>
      <c r="M147" s="18"/>
      <c r="N147" s="18"/>
      <c r="O147" s="18"/>
      <c r="P147" s="34"/>
      <c r="Q147" s="34"/>
      <c r="R147" s="34"/>
      <c r="S147" s="38"/>
      <c r="T147" s="38"/>
      <c r="U147" s="119" t="str">
        <f>IF([1]回答表!F17="下水道事業",IF([1]回答表!X45="●",[1]回答表!Y195,IF([1]回答表!AA45="●",[1]回答表!Y261,"")),"")</f>
        <v xml:space="preserve"> </v>
      </c>
      <c r="V147" s="120"/>
      <c r="W147" s="120"/>
      <c r="X147" s="120"/>
      <c r="Y147" s="120"/>
      <c r="Z147" s="120"/>
      <c r="AA147" s="120"/>
      <c r="AB147" s="121"/>
      <c r="AC147" s="119" t="str">
        <f>IF([1]回答表!F17="下水道事業",IF([1]回答表!X45="●",[1]回答表!Y196,IF([1]回答表!AA45="●",[1]回答表!Y262,"")),"")</f>
        <v xml:space="preserve"> </v>
      </c>
      <c r="AD147" s="120"/>
      <c r="AE147" s="120"/>
      <c r="AF147" s="120"/>
      <c r="AG147" s="120"/>
      <c r="AH147" s="120"/>
      <c r="AI147" s="120"/>
      <c r="AJ147" s="121"/>
      <c r="AK147" s="49"/>
      <c r="AL147" s="34"/>
      <c r="AM147" s="316"/>
      <c r="AN147" s="317"/>
      <c r="AO147" s="317"/>
      <c r="AP147" s="317"/>
      <c r="AQ147" s="317"/>
      <c r="AR147" s="317"/>
      <c r="AS147" s="317"/>
      <c r="AT147" s="317"/>
      <c r="AU147" s="317"/>
      <c r="AV147" s="317"/>
      <c r="AW147" s="317"/>
      <c r="AX147" s="317"/>
      <c r="AY147" s="317"/>
      <c r="AZ147" s="317"/>
      <c r="BA147" s="317"/>
      <c r="BB147" s="317"/>
      <c r="BC147" s="318"/>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21"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319"/>
      <c r="AN148" s="320"/>
      <c r="AO148" s="320"/>
      <c r="AP148" s="320"/>
      <c r="AQ148" s="320"/>
      <c r="AR148" s="320"/>
      <c r="AS148" s="320"/>
      <c r="AT148" s="320"/>
      <c r="AU148" s="320"/>
      <c r="AV148" s="320"/>
      <c r="AW148" s="320"/>
      <c r="AX148" s="320"/>
      <c r="AY148" s="320"/>
      <c r="AZ148" s="320"/>
      <c r="BA148" s="320"/>
      <c r="BB148" s="320"/>
      <c r="BC148" s="321"/>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IF([1]回答表!F17="下水道事業",IF([1]回答表!X45="●",[1]回答表!Y198,IF([1]回答表!AA45="●",[1]回答表!Y264,"")),"")</f>
        <v xml:space="preserve"> </v>
      </c>
      <c r="V153" s="120"/>
      <c r="W153" s="120"/>
      <c r="X153" s="120"/>
      <c r="Y153" s="120"/>
      <c r="Z153" s="120"/>
      <c r="AA153" s="120"/>
      <c r="AB153" s="121"/>
      <c r="AC153" s="119" t="str">
        <f>IF([1]回答表!F17="下水道事業",IF([1]回答表!X45="●",[1]回答表!Y199,IF([1]回答表!AA45="●",[1]回答表!Y265,"")),"")</f>
        <v xml:space="preserve"> </v>
      </c>
      <c r="AD153" s="120"/>
      <c r="AE153" s="120"/>
      <c r="AF153" s="120"/>
      <c r="AG153" s="120"/>
      <c r="AH153" s="120"/>
      <c r="AI153" s="120"/>
      <c r="AJ153" s="121"/>
      <c r="AK153" s="119" t="str">
        <f>IF([1]回答表!F17="下水道事業",IF([1]回答表!X45="●",[1]回答表!Y200,IF([1]回答表!AA45="●",[1]回答表!Y266,"")),"")</f>
        <v xml:space="preserve"> </v>
      </c>
      <c r="AL153" s="120"/>
      <c r="AM153" s="120"/>
      <c r="AN153" s="120"/>
      <c r="AO153" s="120"/>
      <c r="AP153" s="120"/>
      <c r="AQ153" s="120"/>
      <c r="AR153" s="121"/>
      <c r="AS153" s="119" t="str">
        <f>IF([1]回答表!F17="下水道事業",IF([1]回答表!X45="●",[1]回答表!Y201,IF([1]回答表!AA45="●",[1]回答表!Y267,"")),"")</f>
        <v xml:space="preserve"> </v>
      </c>
      <c r="AT153" s="120"/>
      <c r="AU153" s="120"/>
      <c r="AV153" s="120"/>
      <c r="AW153" s="120"/>
      <c r="AX153" s="120"/>
      <c r="AY153" s="120"/>
      <c r="AZ153" s="121"/>
      <c r="BA153" s="119" t="str">
        <f>IF([1]回答表!F17="下水道事業",IF([1]回答表!X45="●",[1]回答表!Y202,IF([1]回答表!AA45="●",[1]回答表!Y268,"")),"")</f>
        <v xml:space="preserve">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IF([1]回答表!F17="下水道事業",IF([1]回答表!AA45="●","●",""),"")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IF([1]回答表!F17="下水道事業",IF([1]回答表!X45="●",[1]回答表!Y207,IF([1]回答表!AA45="●",[1]回答表!Y273,"")),"")</f>
        <v>●</v>
      </c>
      <c r="V159" s="120"/>
      <c r="W159" s="120"/>
      <c r="X159" s="120"/>
      <c r="Y159" s="120"/>
      <c r="Z159" s="120"/>
      <c r="AA159" s="120"/>
      <c r="AB159" s="121"/>
      <c r="AC159" s="119" t="str">
        <f>IF([1]回答表!F17="下水道事業",IF([1]回答表!X45="●",[1]回答表!Y208,IF([1]回答表!AA45="●",[1]回答表!Y274,"")),"")</f>
        <v xml:space="preserve"> </v>
      </c>
      <c r="AD159" s="120"/>
      <c r="AE159" s="120"/>
      <c r="AF159" s="120"/>
      <c r="AG159" s="120"/>
      <c r="AH159" s="120"/>
      <c r="AI159" s="120"/>
      <c r="AJ159" s="121"/>
      <c r="AK159" s="119" t="str">
        <f>IF([1]回答表!F17="下水道事業",IF([1]回答表!X45="●",[1]回答表!Y209,IF([1]回答表!AA45="●",[1]回答表!Y275,"")),"")</f>
        <v xml:space="preserve">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IF([1]回答表!F17="下水道事業",IF([1]回答表!AD45="●","●",""),"")</f>
        <v/>
      </c>
      <c r="O164" s="99"/>
      <c r="P164" s="99"/>
      <c r="Q164" s="100"/>
      <c r="R164" s="38"/>
      <c r="S164" s="38"/>
      <c r="T164" s="38"/>
      <c r="U164" s="107" t="str">
        <f>IF([1]回答表!F17="下水道事業",IF([1]回答表!AD45="●",[1]回答表!B289,""),"")</f>
        <v/>
      </c>
      <c r="V164" s="108"/>
      <c r="W164" s="108"/>
      <c r="X164" s="108"/>
      <c r="Y164" s="108"/>
      <c r="Z164" s="108"/>
      <c r="AA164" s="108"/>
      <c r="AB164" s="108"/>
      <c r="AC164" s="108"/>
      <c r="AD164" s="108"/>
      <c r="AE164" s="108"/>
      <c r="AF164" s="108"/>
      <c r="AG164" s="108"/>
      <c r="AH164" s="108"/>
      <c r="AI164" s="108"/>
      <c r="AJ164" s="109"/>
      <c r="AK164" s="55"/>
      <c r="AL164" s="55"/>
      <c r="AM164" s="107" t="str">
        <f>IF([1]回答表!F17="下水道事業",IF([1]回答表!AD45="●",[1]回答表!B295,""),"")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IF([1]回答表!BD17="●",IF([1]回答表!X45="●","●",""),"")</f>
        <v/>
      </c>
      <c r="O176" s="99"/>
      <c r="P176" s="99"/>
      <c r="Q176" s="100"/>
      <c r="R176" s="38"/>
      <c r="S176" s="38"/>
      <c r="T176" s="38"/>
      <c r="U176" s="107" t="str">
        <f>IF([1]回答表!BD17="●",IF([1]回答表!X45="●",[1]回答表!B158,IF([1]回答表!AA45="●",[1]回答表!B223,"")),"")</f>
        <v/>
      </c>
      <c r="V176" s="108"/>
      <c r="W176" s="108"/>
      <c r="X176" s="108"/>
      <c r="Y176" s="108"/>
      <c r="Z176" s="108"/>
      <c r="AA176" s="108"/>
      <c r="AB176" s="108"/>
      <c r="AC176" s="108"/>
      <c r="AD176" s="108"/>
      <c r="AE176" s="108"/>
      <c r="AF176" s="108"/>
      <c r="AG176" s="108"/>
      <c r="AH176" s="108"/>
      <c r="AI176" s="108"/>
      <c r="AJ176" s="109"/>
      <c r="AK176" s="49"/>
      <c r="AL176" s="49"/>
      <c r="AM176" s="116" t="str">
        <f>IF([1]回答表!BD17="●",IF([1]回答表!X45="●",[1]回答表!B212,IF([1]回答表!AA45="●",[1]回答表!B278,"")),"")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IF([1]回答表!BD17="●",IF([1]回答表!X45="●",[1]回答表!E212,IF([1]回答表!AA45="●",[1]回答表!E278,"")),"")</f>
        <v/>
      </c>
      <c r="AN179" s="84"/>
      <c r="AO179" s="84"/>
      <c r="AP179" s="84"/>
      <c r="AQ179" s="83" t="str">
        <f>IF([1]回答表!BD17="●",IF([1]回答表!X45="●",[1]回答表!E213,IF([1]回答表!AA45="●",[1]回答表!E279,"")),"")</f>
        <v/>
      </c>
      <c r="AR179" s="84"/>
      <c r="AS179" s="84"/>
      <c r="AT179" s="84"/>
      <c r="AU179" s="83" t="str">
        <f>IF([1]回答表!BD17="●",IF([1]回答表!X45="●",[1]回答表!E214,IF([1]回答表!AA45="●",[1]回答表!E280,"")),"")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IF([1]回答表!BD17="●",IF([1]回答表!AA45="●","●",""),"")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IF([1]回答表!BD17="●",IF([1]回答表!AD45="●","●",""),"")</f>
        <v/>
      </c>
      <c r="O188" s="99"/>
      <c r="P188" s="99"/>
      <c r="Q188" s="100"/>
      <c r="R188" s="38"/>
      <c r="S188" s="38"/>
      <c r="T188" s="38"/>
      <c r="U188" s="107" t="str">
        <f>IF([1]回答表!BD17="●",IF([1]回答表!AD45="●",[1]回答表!B289,""),"")</f>
        <v/>
      </c>
      <c r="V188" s="108"/>
      <c r="W188" s="108"/>
      <c r="X188" s="108"/>
      <c r="Y188" s="108"/>
      <c r="Z188" s="108"/>
      <c r="AA188" s="108"/>
      <c r="AB188" s="108"/>
      <c r="AC188" s="108"/>
      <c r="AD188" s="108"/>
      <c r="AE188" s="108"/>
      <c r="AF188" s="108"/>
      <c r="AG188" s="108"/>
      <c r="AH188" s="108"/>
      <c r="AI188" s="108"/>
      <c r="AJ188" s="109"/>
      <c r="AK188" s="55"/>
      <c r="AL188" s="55"/>
      <c r="AM188" s="107" t="str">
        <f>IF([1]回答表!BD17="●",IF([1]回答表!AD45="●",[1]回答表!B295,""),"")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IF([1]回答表!X46="●","●","")</f>
        <v/>
      </c>
      <c r="O200" s="99"/>
      <c r="P200" s="99"/>
      <c r="Q200" s="100"/>
      <c r="R200" s="38"/>
      <c r="S200" s="38"/>
      <c r="T200" s="38"/>
      <c r="U200" s="107" t="str">
        <f>IF([1]回答表!X46="●",[1]回答表!B307,IF([1]回答表!AA46="●",[1]回答表!B324,""))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IF([1]回答表!X46="●",[1]回答表!U313,IF([1]回答表!AA46="●",[1]回答表!U330,""))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IF([1]回答表!X46="●",[1]回答表!G313,IF([1]回答表!AA46="●",[1]回答表!G330,""))</f>
        <v/>
      </c>
      <c r="AN203" s="120"/>
      <c r="AO203" s="120"/>
      <c r="AP203" s="120"/>
      <c r="AQ203" s="120"/>
      <c r="AR203" s="120"/>
      <c r="AS203" s="120"/>
      <c r="AT203" s="121"/>
      <c r="AU203" s="119" t="str">
        <f>IF([1]回答表!X46="●",[1]回答表!G314,IF([1]回答表!AA46="●",[1]回答表!G331,""))</f>
        <v/>
      </c>
      <c r="AV203" s="120"/>
      <c r="AW203" s="120"/>
      <c r="AX203" s="120"/>
      <c r="AY203" s="120"/>
      <c r="AZ203" s="120"/>
      <c r="BA203" s="120"/>
      <c r="BB203" s="121"/>
      <c r="BC203" s="39"/>
      <c r="BD203" s="34"/>
      <c r="BE203" s="34"/>
      <c r="BF203" s="83" t="str">
        <f>IF([1]回答表!X46="●",[1]回答表!X313,IF([1]回答表!AA46="●",[1]回答表!X330,""))</f>
        <v/>
      </c>
      <c r="BG203" s="84"/>
      <c r="BH203" s="84"/>
      <c r="BI203" s="84"/>
      <c r="BJ203" s="83" t="str">
        <f>IF([1]回答表!X46="●",[1]回答表!X314,IF([1]回答表!AA46="●",[1]回答表!X331,""))</f>
        <v/>
      </c>
      <c r="BK203" s="84"/>
      <c r="BL203" s="84"/>
      <c r="BM203" s="87"/>
      <c r="BN203" s="83" t="str">
        <f>IF([1]回答表!X46="●",[1]回答表!X315,IF([1]回答表!AA46="●",[1]回答表!X332,""))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IF([1]回答表!AA46="●","●","")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IF([1]回答表!AD46="●","●","")</f>
        <v/>
      </c>
      <c r="O212" s="99"/>
      <c r="P212" s="99"/>
      <c r="Q212" s="100"/>
      <c r="R212" s="38"/>
      <c r="S212" s="38"/>
      <c r="T212" s="38"/>
      <c r="U212" s="107" t="str">
        <f>IF([1]回答表!AD46="●",[1]回答表!B337,"")</f>
        <v/>
      </c>
      <c r="V212" s="108"/>
      <c r="W212" s="108"/>
      <c r="X212" s="108"/>
      <c r="Y212" s="108"/>
      <c r="Z212" s="108"/>
      <c r="AA212" s="108"/>
      <c r="AB212" s="108"/>
      <c r="AC212" s="108"/>
      <c r="AD212" s="108"/>
      <c r="AE212" s="108"/>
      <c r="AF212" s="108"/>
      <c r="AG212" s="108"/>
      <c r="AH212" s="108"/>
      <c r="AI212" s="108"/>
      <c r="AJ212" s="109"/>
      <c r="AK212" s="62"/>
      <c r="AL212" s="62"/>
      <c r="AM212" s="107" t="str">
        <f>IF([1]回答表!AD46="●",[1]回答表!B343,"")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37.5" customHeight="1" x14ac:dyDescent="0.4">
      <c r="A224" s="24"/>
      <c r="B224" s="24"/>
      <c r="C224" s="32"/>
      <c r="D224" s="89" t="s">
        <v>18</v>
      </c>
      <c r="E224" s="90"/>
      <c r="F224" s="90"/>
      <c r="G224" s="90"/>
      <c r="H224" s="90"/>
      <c r="I224" s="90"/>
      <c r="J224" s="90"/>
      <c r="K224" s="90"/>
      <c r="L224" s="90"/>
      <c r="M224" s="91"/>
      <c r="N224" s="98" t="str">
        <f>IF([1]回答表!X47="●","●","")</f>
        <v>●</v>
      </c>
      <c r="O224" s="99"/>
      <c r="P224" s="99"/>
      <c r="Q224" s="100"/>
      <c r="R224" s="38"/>
      <c r="S224" s="38"/>
      <c r="T224" s="38"/>
      <c r="U224" s="107" t="str">
        <f>IF([1]回答表!X47="●",[1]回答表!B356,IF([1]回答表!AA47="●",[1]回答表!B379,""))</f>
        <v>秋田県では、平成６年度に「秋田県汚泥処理総合計画」を策定し、汚泥の減量化及び再資源化に取り組んできた。平成１３年度に「秋田県汚泥処理総合計画」を改定し、汚泥の有効利用促進及び産業廃棄物処分場への排出量ゼロを目指したが、秋田県の下水汚泥のリサイクル率は低い状況にあったため、「秋田県汚泥処理総合計画」を見直し、農業集落排水や浄化槽汚泥も含めた総合的な「秋田県下水バイオマス利活用計画」を平成２１年度に策定した。
　能代市としても、国の循環型社会構築の方針により、汚泥のリサイクル化を図ることが求められており、下水道法においても、発生汚泥量等の減量化に努める旨の規定が設けられていたため、秋田県より、平成25年5月29日付け、下水－297で照会のあった「広域汚泥処理への参加の意向」について、平成25年6月7日付けで能代市も「参加する」と回答した。
　その後、平成27年2月25日付けで秋田県及び関係自治体（３市３町１組合）と協議書を締結し、平成29年度から施設の建設工事に着手し令和2年度から供用開始している。
　効果額については算出していない。</v>
      </c>
      <c r="V224" s="108"/>
      <c r="W224" s="108"/>
      <c r="X224" s="108"/>
      <c r="Y224" s="108"/>
      <c r="Z224" s="108"/>
      <c r="AA224" s="108"/>
      <c r="AB224" s="108"/>
      <c r="AC224" s="108"/>
      <c r="AD224" s="108"/>
      <c r="AE224" s="108"/>
      <c r="AF224" s="108"/>
      <c r="AG224" s="108"/>
      <c r="AH224" s="108"/>
      <c r="AI224" s="108"/>
      <c r="AJ224" s="109"/>
      <c r="AK224" s="49"/>
      <c r="AL224" s="49"/>
      <c r="AM224" s="49"/>
      <c r="AN224" s="107" t="str">
        <f>IF([1]回答表!X47="●",[1]回答表!B362,"")</f>
        <v>・業務内容：レベルⅡ＋α（運転管理、ユーティリティ、５０万円以下の簡易修繕）
・要求水準：放流水質、脱水汚泥の含水率（超過した場合は委託料の減額）</v>
      </c>
      <c r="AO224" s="182"/>
      <c r="AP224" s="182"/>
      <c r="AQ224" s="182"/>
      <c r="AR224" s="182"/>
      <c r="AS224" s="182"/>
      <c r="AT224" s="182"/>
      <c r="AU224" s="182"/>
      <c r="AV224" s="182"/>
      <c r="AW224" s="182"/>
      <c r="AX224" s="182"/>
      <c r="AY224" s="182"/>
      <c r="AZ224" s="182"/>
      <c r="BA224" s="182"/>
      <c r="BB224" s="183"/>
      <c r="BC224" s="39"/>
      <c r="BD224" s="34"/>
      <c r="BE224" s="34"/>
      <c r="BF224" s="116" t="str">
        <f>IF([1]回答表!X47="●",[1]回答表!B368,IF([1]回答表!AA47="●",[1]回答表!B385,""))</f>
        <v>平成</v>
      </c>
      <c r="BG224" s="117"/>
      <c r="BH224" s="117"/>
      <c r="BI224" s="117"/>
      <c r="BJ224" s="116"/>
      <c r="BK224" s="117"/>
      <c r="BL224" s="117"/>
      <c r="BM224" s="117"/>
      <c r="BN224" s="116"/>
      <c r="BO224" s="117"/>
      <c r="BP224" s="117"/>
      <c r="BQ224" s="118"/>
      <c r="BR224" s="37"/>
      <c r="BS224" s="24"/>
    </row>
    <row r="225" spans="1:71" ht="37.5"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37.5"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37.5"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f>IF([1]回答表!X47="●",[1]回答表!E368,IF([1]回答表!AA47="●",[1]回答表!E385,""))</f>
        <v>20</v>
      </c>
      <c r="BG227" s="84"/>
      <c r="BH227" s="84"/>
      <c r="BI227" s="84"/>
      <c r="BJ227" s="83">
        <f>IF([1]回答表!X47="●",[1]回答表!E369,IF([1]回答表!AA47="●",[1]回答表!E386,""))</f>
        <v>4</v>
      </c>
      <c r="BK227" s="84"/>
      <c r="BL227" s="84"/>
      <c r="BM227" s="87"/>
      <c r="BN227" s="83">
        <f>IF([1]回答表!X47="●",[1]回答表!E370,IF([1]回答表!AA47="●",[1]回答表!E387,""))</f>
        <v>1</v>
      </c>
      <c r="BO227" s="84"/>
      <c r="BP227" s="84"/>
      <c r="BQ227" s="87"/>
      <c r="BR227" s="37"/>
      <c r="BS227" s="24"/>
    </row>
    <row r="228" spans="1:71" ht="37.5"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37.5"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37.5" customHeight="1" x14ac:dyDescent="0.4">
      <c r="A230" s="24"/>
      <c r="B230" s="24"/>
      <c r="C230" s="32"/>
      <c r="D230" s="134" t="s">
        <v>26</v>
      </c>
      <c r="E230" s="135"/>
      <c r="F230" s="135"/>
      <c r="G230" s="135"/>
      <c r="H230" s="135"/>
      <c r="I230" s="135"/>
      <c r="J230" s="135"/>
      <c r="K230" s="135"/>
      <c r="L230" s="135"/>
      <c r="M230" s="136"/>
      <c r="N230" s="98" t="str">
        <f>IF([1]回答表!AA47="●","●","")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37.5"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37.5"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37.5"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IF([1]回答表!AD47="●","●","")</f>
        <v/>
      </c>
      <c r="O236" s="99"/>
      <c r="P236" s="99"/>
      <c r="Q236" s="100"/>
      <c r="R236" s="38"/>
      <c r="S236" s="38"/>
      <c r="T236" s="38"/>
      <c r="U236" s="107" t="str">
        <f>IF([1]回答表!AD47="●",[1]回答表!B392,"")</f>
        <v/>
      </c>
      <c r="V236" s="108"/>
      <c r="W236" s="108"/>
      <c r="X236" s="108"/>
      <c r="Y236" s="108"/>
      <c r="Z236" s="108"/>
      <c r="AA236" s="108"/>
      <c r="AB236" s="108"/>
      <c r="AC236" s="108"/>
      <c r="AD236" s="108"/>
      <c r="AE236" s="108"/>
      <c r="AF236" s="108"/>
      <c r="AG236" s="108"/>
      <c r="AH236" s="108"/>
      <c r="AI236" s="108"/>
      <c r="AJ236" s="109"/>
      <c r="AK236" s="62"/>
      <c r="AL236" s="62"/>
      <c r="AM236" s="107" t="str">
        <f>IF([1]回答表!AD47="●",[1]回答表!B398,"")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IF([1]回答表!X48="●","●","")</f>
        <v/>
      </c>
      <c r="O248" s="99"/>
      <c r="P248" s="99"/>
      <c r="Q248" s="100"/>
      <c r="R248" s="38"/>
      <c r="S248" s="38"/>
      <c r="T248" s="38"/>
      <c r="U248" s="107" t="str">
        <f>IF([1]回答表!X48="●",[1]回答表!B411,IF([1]回答表!AA48="●",[1]回答表!B425,""))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IF([1]回答表!X48="●",[1]回答表!BC418,IF([1]回答表!AA48="●",[1]回答表!BC432,""))</f>
        <v/>
      </c>
      <c r="AR248" s="151"/>
      <c r="AS248" s="151"/>
      <c r="AT248" s="151"/>
      <c r="AU248" s="173" t="s">
        <v>73</v>
      </c>
      <c r="AV248" s="174"/>
      <c r="AW248" s="174"/>
      <c r="AX248" s="175"/>
      <c r="AY248" s="151" t="str">
        <f>IF([1]回答表!X48="●",[1]回答表!BC423,IF([1]回答表!AA48="●",[1]回答表!BC437,""))</f>
        <v/>
      </c>
      <c r="AZ248" s="151"/>
      <c r="BA248" s="151"/>
      <c r="BB248" s="151"/>
      <c r="BC248" s="39"/>
      <c r="BD248" s="34"/>
      <c r="BE248" s="34"/>
      <c r="BF248" s="116" t="str">
        <f>IF([1]回答表!X48="●",[1]回答表!S417,IF([1]回答表!AA48="●",[1]回答表!S431,""))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IF([1]回答表!X48="●",[1]回答表!BC419,IF([1]回答表!AA48="●",[1]回答表!BC433,""))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IF([1]回答表!X48="●",[1]回答表!V417,IF([1]回答表!AA48="●",[1]回答表!V431,""))</f>
        <v/>
      </c>
      <c r="BG251" s="84"/>
      <c r="BH251" s="84"/>
      <c r="BI251" s="84"/>
      <c r="BJ251" s="83" t="str">
        <f>IF([1]回答表!X48="●",[1]回答表!V418,IF([1]回答表!AA48="●",[1]回答表!V432,""))</f>
        <v/>
      </c>
      <c r="BK251" s="84"/>
      <c r="BL251" s="84"/>
      <c r="BM251" s="87"/>
      <c r="BN251" s="83" t="str">
        <f>IF([1]回答表!X48="●",[1]回答表!V419,IF([1]回答表!AA48="●",[1]回答表!V433,""))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IF([1]回答表!X48="●",[1]回答表!BC420,IF([1]回答表!AA48="●",[1]回答表!BC434,""))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IF([1]回答表!X48="●",[1]回答表!BC424,IF([1]回答表!AA48="●",[1]回答表!BC438,""))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IF([1]回答表!AA48="●","●","")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IF([1]回答表!X48="●",[1]回答表!BC421,IF([1]回答表!AA48="●",[1]回答表!BC435,""))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IF([1]回答表!X48="●",[1]回答表!BC422,IF([1]回答表!AA48="●",[1]回答表!BC436,""))</f>
        <v/>
      </c>
      <c r="AR256" s="151"/>
      <c r="AS256" s="151"/>
      <c r="AT256" s="151"/>
      <c r="AU256" s="152" t="s">
        <v>79</v>
      </c>
      <c r="AV256" s="153"/>
      <c r="AW256" s="153"/>
      <c r="AX256" s="154"/>
      <c r="AY256" s="158" t="str">
        <f>IF([1]回答表!X48="●",[1]回答表!BC425,IF([1]回答表!AA48="●",[1]回答表!BC439,""))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IF([1]回答表!AD48="●","●","")</f>
        <v/>
      </c>
      <c r="O260" s="99"/>
      <c r="P260" s="99"/>
      <c r="Q260" s="100"/>
      <c r="R260" s="38"/>
      <c r="S260" s="38"/>
      <c r="T260" s="38"/>
      <c r="U260" s="107" t="str">
        <f>IF([1]回答表!AD48="●",[1]回答表!B439,"")</f>
        <v/>
      </c>
      <c r="V260" s="108"/>
      <c r="W260" s="108"/>
      <c r="X260" s="108"/>
      <c r="Y260" s="108"/>
      <c r="Z260" s="108"/>
      <c r="AA260" s="108"/>
      <c r="AB260" s="108"/>
      <c r="AC260" s="108"/>
      <c r="AD260" s="108"/>
      <c r="AE260" s="108"/>
      <c r="AF260" s="108"/>
      <c r="AG260" s="108"/>
      <c r="AH260" s="108"/>
      <c r="AI260" s="108"/>
      <c r="AJ260" s="109"/>
      <c r="AK260" s="55"/>
      <c r="AL260" s="55"/>
      <c r="AM260" s="107" t="str">
        <f>IF([1]回答表!AD48="●",[1]回答表!B445,"")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IF([1]回答表!X49="●","●","")</f>
        <v/>
      </c>
      <c r="O271" s="99"/>
      <c r="P271" s="99"/>
      <c r="Q271" s="100"/>
      <c r="R271" s="38"/>
      <c r="S271" s="38"/>
      <c r="T271" s="38"/>
      <c r="U271" s="107" t="str">
        <f>IF([1]回答表!X49="●",[1]回答表!B458,IF([1]回答表!AA49="●",[1]回答表!B475,""))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IF([1]回答表!X49="●",[1]回答表!B468,IF([1]回答表!AA49="●",[1]回答表!B485,""))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IF([1]回答表!X49="●",[1]回答表!G464,IF([1]回答表!AA49="●",[1]回答表!G481,""))</f>
        <v/>
      </c>
      <c r="AN273" s="120"/>
      <c r="AO273" s="120"/>
      <c r="AP273" s="120"/>
      <c r="AQ273" s="120"/>
      <c r="AR273" s="120"/>
      <c r="AS273" s="120"/>
      <c r="AT273" s="121"/>
      <c r="AU273" s="119" t="str">
        <f>IF([1]回答表!X49="●",[1]回答表!G465,IF([1]回答表!AA49="●",[1]回答表!G482,""))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IF([1]回答表!X49="●",[1]回答表!E468,IF([1]回答表!AA49="●",[1]回答表!E485,""))</f>
        <v/>
      </c>
      <c r="BG274" s="84"/>
      <c r="BH274" s="84"/>
      <c r="BI274" s="84"/>
      <c r="BJ274" s="83" t="str">
        <f>IF([1]回答表!X49="●",[1]回答表!E469,IF([1]回答表!AA49="●",[1]回答表!E486,""))</f>
        <v/>
      </c>
      <c r="BK274" s="84"/>
      <c r="BL274" s="84"/>
      <c r="BM274" s="87"/>
      <c r="BN274" s="83" t="str">
        <f>IF([1]回答表!X49="●",[1]回答表!E470,IF([1]回答表!AA49="●",[1]回答表!E487,""))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IF([1]回答表!AA49="●","●","")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IF([1]回答表!AD49="●","●","")</f>
        <v/>
      </c>
      <c r="O283" s="99"/>
      <c r="P283" s="99"/>
      <c r="Q283" s="100"/>
      <c r="R283" s="38"/>
      <c r="S283" s="38"/>
      <c r="T283" s="38"/>
      <c r="U283" s="107" t="str">
        <f>IF([1]回答表!AD49="●",[1]回答表!B492,"")</f>
        <v/>
      </c>
      <c r="V283" s="108"/>
      <c r="W283" s="108"/>
      <c r="X283" s="108"/>
      <c r="Y283" s="108"/>
      <c r="Z283" s="108"/>
      <c r="AA283" s="108"/>
      <c r="AB283" s="108"/>
      <c r="AC283" s="108"/>
      <c r="AD283" s="108"/>
      <c r="AE283" s="108"/>
      <c r="AF283" s="108"/>
      <c r="AG283" s="108"/>
      <c r="AH283" s="108"/>
      <c r="AI283" s="108"/>
      <c r="AJ283" s="109"/>
      <c r="AK283" s="49"/>
      <c r="AL283" s="49"/>
      <c r="AM283" s="107" t="str">
        <f>IF([1]回答表!AD49="●",[1]回答表!B498,"")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IF([1]回答表!R50="●",[1]回答表!B511,"")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F8FFA-EEF3-4D15-A893-C640ABE907CB}">
  <sheetPr>
    <pageSetUpPr fitToPage="1"/>
  </sheetPr>
  <dimension ref="A1:CN315"/>
  <sheetViews>
    <sheetView showZeros="0" view="pageBreakPreview" zoomScale="60" zoomScaleNormal="55" workbookViewId="0">
      <selection activeCell="AM168" sqref="AM16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IF(COUNTIF([3]回答表!K15,"*")&gt;0,[3]回答表!K15,"")</f>
        <v>能代市</v>
      </c>
      <c r="D11" s="299"/>
      <c r="E11" s="299"/>
      <c r="F11" s="299"/>
      <c r="G11" s="299"/>
      <c r="H11" s="299"/>
      <c r="I11" s="299"/>
      <c r="J11" s="299"/>
      <c r="K11" s="299"/>
      <c r="L11" s="299"/>
      <c r="M11" s="299"/>
      <c r="N11" s="299"/>
      <c r="O11" s="299"/>
      <c r="P11" s="299"/>
      <c r="Q11" s="299"/>
      <c r="R11" s="299"/>
      <c r="S11" s="299"/>
      <c r="T11" s="299"/>
      <c r="U11" s="306" t="str">
        <f>IF(COUNTIF([3]回答表!F17,"*")&gt;0,[3]回答表!F17,"")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IF(COUNTIF([3]回答表!W17,"*")&gt;0,[3]回答表!W17,"")</f>
        <v>農業集落排水施設</v>
      </c>
      <c r="AP11" s="301"/>
      <c r="AQ11" s="301"/>
      <c r="AR11" s="301"/>
      <c r="AS11" s="301"/>
      <c r="AT11" s="301"/>
      <c r="AU11" s="301"/>
      <c r="AV11" s="301"/>
      <c r="AW11" s="301"/>
      <c r="AX11" s="301"/>
      <c r="AY11" s="301"/>
      <c r="AZ11" s="301"/>
      <c r="BA11" s="301"/>
      <c r="BB11" s="301"/>
      <c r="BC11" s="301"/>
      <c r="BD11" s="301"/>
      <c r="BE11" s="301"/>
      <c r="BF11" s="302"/>
      <c r="BG11" s="305" t="str">
        <f>IF(COUNTIF([3]回答表!F19,"*")&gt;0,[3]回答表!F19,"")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IF([3]回答表!R43="●","●","")</f>
        <v/>
      </c>
      <c r="E24" s="123"/>
      <c r="F24" s="123"/>
      <c r="G24" s="123"/>
      <c r="H24" s="123"/>
      <c r="I24" s="123"/>
      <c r="J24" s="124"/>
      <c r="K24" s="122" t="str">
        <f>IF([3]回答表!R44="●","●","")</f>
        <v/>
      </c>
      <c r="L24" s="123"/>
      <c r="M24" s="123"/>
      <c r="N24" s="123"/>
      <c r="O24" s="123"/>
      <c r="P24" s="123"/>
      <c r="Q24" s="124"/>
      <c r="R24" s="122" t="str">
        <f>IF([3]回答表!R45="●","●","")</f>
        <v>●</v>
      </c>
      <c r="S24" s="123"/>
      <c r="T24" s="123"/>
      <c r="U24" s="123"/>
      <c r="V24" s="123"/>
      <c r="W24" s="123"/>
      <c r="X24" s="124"/>
      <c r="Y24" s="122" t="str">
        <f>IF([3]回答表!R46="●","●","")</f>
        <v/>
      </c>
      <c r="Z24" s="123"/>
      <c r="AA24" s="123"/>
      <c r="AB24" s="123"/>
      <c r="AC24" s="123"/>
      <c r="AD24" s="123"/>
      <c r="AE24" s="124"/>
      <c r="AF24" s="122" t="str">
        <f>IF([3]回答表!R47="●","●","")</f>
        <v/>
      </c>
      <c r="AG24" s="123"/>
      <c r="AH24" s="123"/>
      <c r="AI24" s="123"/>
      <c r="AJ24" s="123"/>
      <c r="AK24" s="123"/>
      <c r="AL24" s="124"/>
      <c r="AM24" s="122" t="str">
        <f>IF([3]回答表!R48="●","●","")</f>
        <v/>
      </c>
      <c r="AN24" s="123"/>
      <c r="AO24" s="123"/>
      <c r="AP24" s="123"/>
      <c r="AQ24" s="123"/>
      <c r="AR24" s="123"/>
      <c r="AS24" s="124"/>
      <c r="AT24" s="122" t="str">
        <f>IF([3]回答表!R49="●","●","")</f>
        <v/>
      </c>
      <c r="AU24" s="123"/>
      <c r="AV24" s="123"/>
      <c r="AW24" s="123"/>
      <c r="AX24" s="123"/>
      <c r="AY24" s="123"/>
      <c r="AZ24" s="124"/>
      <c r="BA24" s="18"/>
      <c r="BB24" s="119" t="str">
        <f>IF([3]回答表!R50="●","●","")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IF([3]回答表!X43="●","●","")</f>
        <v/>
      </c>
      <c r="O36" s="99"/>
      <c r="P36" s="99"/>
      <c r="Q36" s="100"/>
      <c r="R36" s="38"/>
      <c r="S36" s="38"/>
      <c r="T36" s="38"/>
      <c r="U36" s="107" t="str">
        <f>IF([3]回答表!X43="●",[3]回答表!B59,IF([3]回答表!AA43="●",[3]回答表!B79,""))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IF([3]回答表!X43="●",[3]回答表!S65,IF([3]回答表!AA43="●",[3]回答表!S85,""))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IF([3]回答表!X43="●",[3]回答表!G65,IF([3]回答表!AA43="●",[3]回答表!G85,""))</f>
        <v/>
      </c>
      <c r="AN38" s="120"/>
      <c r="AO38" s="120"/>
      <c r="AP38" s="120"/>
      <c r="AQ38" s="120"/>
      <c r="AR38" s="120"/>
      <c r="AS38" s="120"/>
      <c r="AT38" s="121"/>
      <c r="AU38" s="119" t="str">
        <f>IF([3]回答表!X43="●",[3]回答表!G66,IF([3]回答表!AA43="●",[3]回答表!G86,""))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IF([3]回答表!X43="●",[3]回答表!V65,IF([3]回答表!AA43="●",[3]回答表!V85,""))</f>
        <v/>
      </c>
      <c r="BG39" s="249"/>
      <c r="BH39" s="249"/>
      <c r="BI39" s="250"/>
      <c r="BJ39" s="83" t="str">
        <f>IF([3]回答表!X43="●",[3]回答表!V66,IF([3]回答表!AA43="●",[3]回答表!V86,""))</f>
        <v/>
      </c>
      <c r="BK39" s="249"/>
      <c r="BL39" s="249"/>
      <c r="BM39" s="250"/>
      <c r="BN39" s="83" t="str">
        <f>IF([3]回答表!X43="●",[3]回答表!V67,IF([3]回答表!AA43="●",[3]回答表!V87,""))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IF([3]回答表!X43="●",[3]回答表!O71,IF([3]回答表!AA43="●",[3]回答表!O91,""))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IF([3]回答表!X43="●",[3]回答表!O72,IF([3]回答表!AA43="●",[3]回答表!O92,""))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IF([3]回答表!AA43="●","●","")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IF([3]回答表!X43="●",[3]回答表!O73,IF([3]回答表!AA43="●",[3]回答表!O93,""))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IF([3]回答表!X43="●",[3]回答表!O74,IF([3]回答表!AA43="●",[3]回答表!O94,""))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IF([3]回答表!X43="●",[3]回答表!AG71,IF([3]回答表!AA43="●",[3]回答表!AG91,""))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IF([3]回答表!X43="●",[3]回答表!AG72,IF([3]回答表!AA43="●",[3]回答表!AG92,""))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IF([3]回答表!AD43="●","●","")</f>
        <v/>
      </c>
      <c r="O51" s="99"/>
      <c r="P51" s="99"/>
      <c r="Q51" s="100"/>
      <c r="R51" s="38"/>
      <c r="S51" s="38"/>
      <c r="T51" s="38"/>
      <c r="U51" s="107" t="str">
        <f>IF([3]回答表!AD43="●",[3]回答表!B99,"")</f>
        <v/>
      </c>
      <c r="V51" s="108"/>
      <c r="W51" s="108"/>
      <c r="X51" s="108"/>
      <c r="Y51" s="108"/>
      <c r="Z51" s="108"/>
      <c r="AA51" s="108"/>
      <c r="AB51" s="108"/>
      <c r="AC51" s="108"/>
      <c r="AD51" s="108"/>
      <c r="AE51" s="108"/>
      <c r="AF51" s="108"/>
      <c r="AG51" s="108"/>
      <c r="AH51" s="108"/>
      <c r="AI51" s="108"/>
      <c r="AJ51" s="109"/>
      <c r="AK51" s="55"/>
      <c r="AL51" s="55"/>
      <c r="AM51" s="107" t="str">
        <f>IF([3]回答表!AD43="●",[3]回答表!B104,"")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IF([3]回答表!X44="●","●","")</f>
        <v/>
      </c>
      <c r="O62" s="99"/>
      <c r="P62" s="99"/>
      <c r="Q62" s="100"/>
      <c r="R62" s="38"/>
      <c r="S62" s="38"/>
      <c r="T62" s="38"/>
      <c r="U62" s="107" t="str">
        <f>IF([3]回答表!X44="●",[3]回答表!B115,IF([3]回答表!AA44="●",[3]回答表!B127,""))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IF([3]回答表!X44="●",[3]回答表!S121,IF([3]回答表!AA44="●",[3]回答表!S133,""))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IF([3]回答表!X44="●",[3]回答表!J121,IF([3]回答表!AA44="●",[3]回答表!J133,""))</f>
        <v/>
      </c>
      <c r="AN65" s="120"/>
      <c r="AO65" s="120"/>
      <c r="AP65" s="120"/>
      <c r="AQ65" s="120"/>
      <c r="AR65" s="120"/>
      <c r="AS65" s="120"/>
      <c r="AT65" s="121"/>
      <c r="AU65" s="119" t="str">
        <f>IF([3]回答表!X44="●",[3]回答表!J122,IF([3]回答表!AA44="●",[3]回答表!J134,""))</f>
        <v/>
      </c>
      <c r="AV65" s="120"/>
      <c r="AW65" s="120"/>
      <c r="AX65" s="120"/>
      <c r="AY65" s="120"/>
      <c r="AZ65" s="120"/>
      <c r="BA65" s="120"/>
      <c r="BB65" s="121"/>
      <c r="BC65" s="39"/>
      <c r="BD65" s="34"/>
      <c r="BE65" s="34"/>
      <c r="BF65" s="83" t="str">
        <f>IF([3]回答表!X44="●",[3]回答表!V121,IF([3]回答表!AA44="●",[3]回答表!V133,""))</f>
        <v/>
      </c>
      <c r="BG65" s="84"/>
      <c r="BH65" s="84"/>
      <c r="BI65" s="84"/>
      <c r="BJ65" s="83" t="str">
        <f>IF([3]回答表!X44="●",[3]回答表!V122,IF([3]回答表!AA44="●",[3]回答表!V134,""))</f>
        <v/>
      </c>
      <c r="BK65" s="84"/>
      <c r="BL65" s="84"/>
      <c r="BM65" s="84"/>
      <c r="BN65" s="83" t="str">
        <f>IF([3]回答表!X44="●",[3]回答表!V123,IF([3]回答表!AA44="●",[3]回答表!V135,""))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IF([3]回答表!AA44="●","●","")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IF([3]回答表!AD44="●","●","")</f>
        <v/>
      </c>
      <c r="O74" s="99"/>
      <c r="P74" s="99"/>
      <c r="Q74" s="100"/>
      <c r="R74" s="38"/>
      <c r="S74" s="38"/>
      <c r="T74" s="38"/>
      <c r="U74" s="107" t="str">
        <f>IF([3]回答表!AD44="●",[3]回答表!B140,"")</f>
        <v/>
      </c>
      <c r="V74" s="108"/>
      <c r="W74" s="108"/>
      <c r="X74" s="108"/>
      <c r="Y74" s="108"/>
      <c r="Z74" s="108"/>
      <c r="AA74" s="108"/>
      <c r="AB74" s="108"/>
      <c r="AC74" s="108"/>
      <c r="AD74" s="108"/>
      <c r="AE74" s="108"/>
      <c r="AF74" s="108"/>
      <c r="AG74" s="108"/>
      <c r="AH74" s="108"/>
      <c r="AI74" s="108"/>
      <c r="AJ74" s="109"/>
      <c r="AK74" s="55"/>
      <c r="AL74" s="55"/>
      <c r="AM74" s="107" t="str">
        <f>IF([3]回答表!AD44="●",[3]回答表!B146,"")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IF([3]回答表!F17="水道事業",IF([3]回答表!X45="●","●",""),"")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IF([3]回答表!F17="水道事業",IF([3]回答表!X45="●",[3]回答表!B158,IF([3]回答表!AA45="●",[3]回答表!B223,"")),"")</f>
        <v/>
      </c>
      <c r="AN86" s="212"/>
      <c r="AO86" s="212"/>
      <c r="AP86" s="212"/>
      <c r="AQ86" s="212"/>
      <c r="AR86" s="212"/>
      <c r="AS86" s="212"/>
      <c r="AT86" s="212"/>
      <c r="AU86" s="212"/>
      <c r="AV86" s="212"/>
      <c r="AW86" s="212"/>
      <c r="AX86" s="212"/>
      <c r="AY86" s="212"/>
      <c r="AZ86" s="212"/>
      <c r="BA86" s="212"/>
      <c r="BB86" s="212"/>
      <c r="BC86" s="213"/>
      <c r="BD86" s="34"/>
      <c r="BE86" s="34"/>
      <c r="BF86" s="116" t="str">
        <f>IF([3]回答表!F17="水道事業",IF([3]回答表!X45="●",[3]回答表!B212,IF([3]回答表!AA45="●",[3]回答表!B278,"")),"")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IF([3]回答表!F17="水道事業",IF([3]回答表!X45="●",[3]回答表!J166,IF([3]回答表!AA45="●",[3]回答表!J231,"")),"")</f>
        <v/>
      </c>
      <c r="V88" s="120"/>
      <c r="W88" s="120"/>
      <c r="X88" s="120"/>
      <c r="Y88" s="120"/>
      <c r="Z88" s="120"/>
      <c r="AA88" s="120"/>
      <c r="AB88" s="121"/>
      <c r="AC88" s="119" t="str">
        <f>IF([3]回答表!F17="水道事業",IF([3]回答表!X45="●",[3]回答表!J173,IF([3]回答表!AA45="●",[3]回答表!J238,"")),"")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IF([3]回答表!F17="水道事業",IF([3]回答表!X45="●",[3]回答表!E212,IF([3]回答表!AA45="●",[3]回答表!E278,"")),"")</f>
        <v/>
      </c>
      <c r="BG89" s="84"/>
      <c r="BH89" s="84"/>
      <c r="BI89" s="84"/>
      <c r="BJ89" s="83" t="str">
        <f>IF([3]回答表!F17="水道事業",IF([3]回答表!X45="●",[3]回答表!E213,IF([3]回答表!AA45="●",[3]回答表!E279,"")),"")</f>
        <v/>
      </c>
      <c r="BK89" s="84"/>
      <c r="BL89" s="84"/>
      <c r="BM89" s="84"/>
      <c r="BN89" s="83" t="str">
        <f>IF([3]回答表!F17="水道事業",IF([3]回答表!X45="●",[3]回答表!E214,IF([3]回答表!AA45="●",[3]回答表!E280,"")),"")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IF([3]回答表!F17="水道事業",IF([3]回答表!AA45="●","●",""),"")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IF([3]回答表!F17="水道事業",IF([3]回答表!X45="●",[3]回答表!J176,IF([3]回答表!AA45="●",[3]回答表!J241,"")),"")</f>
        <v/>
      </c>
      <c r="V93" s="120"/>
      <c r="W93" s="120"/>
      <c r="X93" s="120"/>
      <c r="Y93" s="120"/>
      <c r="Z93" s="120"/>
      <c r="AA93" s="120"/>
      <c r="AB93" s="121"/>
      <c r="AC93" s="119" t="str">
        <f>IF([3]回答表!F17="水道事業",IF([3]回答表!X45="●",[3]回答表!J180,IF([3]回答表!AA45="●",[3]回答表!J245,"")),"")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IF([3]回答表!F17="水道事業",IF([3]回答表!AD45="○","○",""),"")</f>
        <v/>
      </c>
      <c r="O98" s="99"/>
      <c r="P98" s="99"/>
      <c r="Q98" s="100"/>
      <c r="R98" s="38"/>
      <c r="S98" s="38"/>
      <c r="T98" s="38"/>
      <c r="U98" s="107" t="str">
        <f>IF([3]回答表!F17="水道事業",IF([3]回答表!AD45="●",[3]回答表!B289,""),"")</f>
        <v/>
      </c>
      <c r="V98" s="108"/>
      <c r="W98" s="108"/>
      <c r="X98" s="108"/>
      <c r="Y98" s="108"/>
      <c r="Z98" s="108"/>
      <c r="AA98" s="108"/>
      <c r="AB98" s="108"/>
      <c r="AC98" s="108"/>
      <c r="AD98" s="108"/>
      <c r="AE98" s="108"/>
      <c r="AF98" s="108"/>
      <c r="AG98" s="108"/>
      <c r="AH98" s="108"/>
      <c r="AI98" s="108"/>
      <c r="AJ98" s="109"/>
      <c r="AK98" s="55"/>
      <c r="AL98" s="55"/>
      <c r="AM98" s="107" t="str">
        <f>IF([3]回答表!F17="水道事業",IF([3]回答表!AD45="●",[3]回答表!B295,""),"")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IF([3]回答表!F17="簡易水道事業",IF([3]回答表!X45="●",[3]回答表!B158,IF([3]回答表!AA45="●",[3]回答表!B223,"")),"")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IF([3]回答表!F17="簡易水道事業",IF([3]回答表!X45="●",[3]回答表!B212,IF([3]回答表!AA45="●",[3]回答表!B278,"")),"")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IF([3]回答表!F17="簡易水道事業",IF([3]回答表!X45="●","●",""),"")</f>
        <v/>
      </c>
      <c r="O112" s="99"/>
      <c r="P112" s="99"/>
      <c r="Q112" s="100"/>
      <c r="R112" s="38"/>
      <c r="S112" s="38"/>
      <c r="T112" s="38"/>
      <c r="U112" s="119" t="str">
        <f>IF([3]回答表!F17="簡易水道事業",IF([3]回答表!X45="●",[3]回答表!Y185,IF([3]回答表!AA45="●",[3]回答表!Y251,"")),"")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IF([3]回答表!F17="簡易水道事業",IF([3]回答表!X45="●",[3]回答表!E212,IF([3]回答表!AA45="●",[3]回答表!E278,"")),"")</f>
        <v/>
      </c>
      <c r="BG113" s="84"/>
      <c r="BH113" s="84"/>
      <c r="BI113" s="84"/>
      <c r="BJ113" s="83" t="str">
        <f>IF([3]回答表!F17="簡易水道事業",IF([3]回答表!X45="●",[3]回答表!E213,IF([3]回答表!AA45="●",[3]回答表!E279,"")),"")</f>
        <v/>
      </c>
      <c r="BK113" s="84"/>
      <c r="BL113" s="84"/>
      <c r="BM113" s="84"/>
      <c r="BN113" s="83" t="str">
        <f>IF([3]回答表!F17="簡易水道事業",IF([3]回答表!X45="●",[3]回答表!E214,IF([3]回答表!AA45="●",[3]回答表!E280,"")),"")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IF([3]回答表!F17="簡易水道事業",IF([3]回答表!X45="●",[3]回答表!Y186,IF([3]回答表!AA45="●",[3]回答表!Y252,"")),"")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IF([3]回答表!F17="簡易水道事業",IF([3]回答表!AA45="●","●",""),"")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IF([3]回答表!F17="簡易水道事業",IF([3]回答表!X45="●",[3]回答表!Y187,IF([3]回答表!AA45="●",[3]回答表!Y253,"")),"")</f>
        <v/>
      </c>
      <c r="V122" s="120"/>
      <c r="W122" s="120"/>
      <c r="X122" s="120"/>
      <c r="Y122" s="120"/>
      <c r="Z122" s="120"/>
      <c r="AA122" s="120"/>
      <c r="AB122" s="120"/>
      <c r="AC122" s="120"/>
      <c r="AD122" s="120"/>
      <c r="AE122" s="120"/>
      <c r="AF122" s="120"/>
      <c r="AG122" s="120"/>
      <c r="AH122" s="120"/>
      <c r="AI122" s="120"/>
      <c r="AJ122" s="121"/>
      <c r="AK122" s="18"/>
      <c r="AL122" s="18"/>
      <c r="AM122" s="228" t="str">
        <f>IF([3]回答表!F17="簡易水道事業",IF([3]回答表!X45="●",[3]回答表!Y189,IF([3]回答表!AA45="●",[3]回答表!Y255,"")),"")</f>
        <v/>
      </c>
      <c r="AN122" s="228"/>
      <c r="AO122" s="228"/>
      <c r="AP122" s="228"/>
      <c r="AQ122" s="228"/>
      <c r="AR122" s="228"/>
      <c r="AS122" s="228" t="str">
        <f>IF([3]回答表!F17="簡易水道事業",IF([3]回答表!X45="●",[3]回答表!Y190,IF([3]回答表!AA45="●",[3]回答表!Y256,"")),"")</f>
        <v/>
      </c>
      <c r="AT122" s="228"/>
      <c r="AU122" s="228"/>
      <c r="AV122" s="228"/>
      <c r="AW122" s="228"/>
      <c r="AX122" s="228"/>
      <c r="AY122" s="228" t="str">
        <f>IF([3]回答表!F17="簡易水道事業",IF([3]回答表!X45="●",[3]回答表!Y191,IF([3]回答表!AA45="●",[3]回答表!Y257,"")),"")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IF([3]回答表!F17="簡易水道事業",IF([3]回答表!AD45="●","●",""),"")</f>
        <v/>
      </c>
      <c r="O127" s="99"/>
      <c r="P127" s="99"/>
      <c r="Q127" s="100"/>
      <c r="R127" s="38"/>
      <c r="S127" s="38"/>
      <c r="T127" s="38"/>
      <c r="U127" s="107" t="str">
        <f>IF([3]回答表!F17="簡易水道事業",IF([3]回答表!AD45="●",[3]回答表!B289,""),"")</f>
        <v/>
      </c>
      <c r="V127" s="108"/>
      <c r="W127" s="108"/>
      <c r="X127" s="108"/>
      <c r="Y127" s="108"/>
      <c r="Z127" s="108"/>
      <c r="AA127" s="108"/>
      <c r="AB127" s="108"/>
      <c r="AC127" s="108"/>
      <c r="AD127" s="108"/>
      <c r="AE127" s="108"/>
      <c r="AF127" s="108"/>
      <c r="AG127" s="108"/>
      <c r="AH127" s="108"/>
      <c r="AI127" s="108"/>
      <c r="AJ127" s="109"/>
      <c r="AK127" s="55"/>
      <c r="AL127" s="55"/>
      <c r="AM127" s="107" t="str">
        <f>IF([3]回答表!F17="簡易水道事業",IF([3]回答表!AD45="●",[3]回答表!B295,""),"")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IF([3]回答表!F17="下水道事業",IF([3]回答表!X45="●","●",""),"")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IF([3]回答表!F17="下水道事業",IF([3]回答表!X45="●",[3]回答表!B158,IF([3]回答表!AA45="●",[3]回答表!B223,"")),"")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IF([3]回答表!F17="下水道事業",IF([3]回答表!X45="●",[3]回答表!B212,IF([3]回答表!AA45="●",[3]回答表!B278,"")),"")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IF([3]回答表!F17="下水道事業",IF([3]回答表!X45="●",[3]回答表!Y193,IF([3]回答表!AA45="●",[3]回答表!Y259,"")),"")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IF([3]回答表!F17="下水道事業",IF([3]回答表!X45="●",[3]回答表!E212,IF([3]回答表!AA45="●",[3]回答表!E278,"")),"")</f>
        <v/>
      </c>
      <c r="BG142" s="84"/>
      <c r="BH142" s="84"/>
      <c r="BI142" s="84"/>
      <c r="BJ142" s="83" t="str">
        <f>IF([3]回答表!F17="下水道事業",IF([3]回答表!X45="●",[3]回答表!E213,IF([3]回答表!AA45="●",[3]回答表!E279,"")),"")</f>
        <v/>
      </c>
      <c r="BK142" s="84"/>
      <c r="BL142" s="84"/>
      <c r="BM142" s="84"/>
      <c r="BN142" s="83" t="str">
        <f>IF([3]回答表!F17="下水道事業",IF([3]回答表!X45="●",[3]回答表!E214,IF([3]回答表!AA45="●",[3]回答表!E280,"")),"")</f>
        <v/>
      </c>
      <c r="BO142" s="84"/>
      <c r="BP142" s="84"/>
      <c r="BQ142" s="87"/>
      <c r="BR142" s="37"/>
      <c r="BX142" s="211" t="str">
        <f>IF([3]回答表!AQ20="下水道事業",IF([3]回答表!BI48="○",[3]回答表!AM161,IF([3]回答表!BL48="○",[3]回答表!AM226,"")),"")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IF([3]回答表!F17="下水道事業",IF([3]回答表!X45="●",[3]回答表!Y195,IF([3]回答表!AA45="●",[3]回答表!Y261,"")),"")</f>
        <v/>
      </c>
      <c r="V147" s="120"/>
      <c r="W147" s="120"/>
      <c r="X147" s="120"/>
      <c r="Y147" s="120"/>
      <c r="Z147" s="120"/>
      <c r="AA147" s="120"/>
      <c r="AB147" s="121"/>
      <c r="AC147" s="119" t="str">
        <f>IF([3]回答表!F17="下水道事業",IF([3]回答表!X45="●",[3]回答表!Y196,IF([3]回答表!AA45="●",[3]回答表!Y262,"")),"")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IF([3]回答表!F17="下水道事業",IF([3]回答表!X45="●",[3]回答表!Y198,IF([3]回答表!AA45="●",[3]回答表!Y264,"")),"")</f>
        <v/>
      </c>
      <c r="V153" s="120"/>
      <c r="W153" s="120"/>
      <c r="X153" s="120"/>
      <c r="Y153" s="120"/>
      <c r="Z153" s="120"/>
      <c r="AA153" s="120"/>
      <c r="AB153" s="121"/>
      <c r="AC153" s="119" t="str">
        <f>IF([3]回答表!F17="下水道事業",IF([3]回答表!X45="●",[3]回答表!Y199,IF([3]回答表!AA45="●",[3]回答表!Y265,"")),"")</f>
        <v/>
      </c>
      <c r="AD153" s="120"/>
      <c r="AE153" s="120"/>
      <c r="AF153" s="120"/>
      <c r="AG153" s="120"/>
      <c r="AH153" s="120"/>
      <c r="AI153" s="120"/>
      <c r="AJ153" s="121"/>
      <c r="AK153" s="119" t="str">
        <f>IF([3]回答表!F17="下水道事業",IF([3]回答表!X45="●",[3]回答表!Y200,IF([3]回答表!AA45="●",[3]回答表!Y266,"")),"")</f>
        <v/>
      </c>
      <c r="AL153" s="120"/>
      <c r="AM153" s="120"/>
      <c r="AN153" s="120"/>
      <c r="AO153" s="120"/>
      <c r="AP153" s="120"/>
      <c r="AQ153" s="120"/>
      <c r="AR153" s="121"/>
      <c r="AS153" s="119" t="str">
        <f>IF([3]回答表!F17="下水道事業",IF([3]回答表!X45="●",[3]回答表!Y201,IF([3]回答表!AA45="●",[3]回答表!Y267,"")),"")</f>
        <v/>
      </c>
      <c r="AT153" s="120"/>
      <c r="AU153" s="120"/>
      <c r="AV153" s="120"/>
      <c r="AW153" s="120"/>
      <c r="AX153" s="120"/>
      <c r="AY153" s="120"/>
      <c r="AZ153" s="121"/>
      <c r="BA153" s="119" t="str">
        <f>IF([3]回答表!F17="下水道事業",IF([3]回答表!X45="●",[3]回答表!Y202,IF([3]回答表!AA45="●",[3]回答表!Y268,"")),"")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IF([3]回答表!F17="下水道事業",IF([3]回答表!AA45="●","●",""),"")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IF([3]回答表!F17="下水道事業",IF([3]回答表!X45="●",[3]回答表!Y207,IF([3]回答表!AA45="●",[3]回答表!Y273,"")),"")</f>
        <v/>
      </c>
      <c r="V159" s="120"/>
      <c r="W159" s="120"/>
      <c r="X159" s="120"/>
      <c r="Y159" s="120"/>
      <c r="Z159" s="120"/>
      <c r="AA159" s="120"/>
      <c r="AB159" s="121"/>
      <c r="AC159" s="119" t="str">
        <f>IF([3]回答表!F17="下水道事業",IF([3]回答表!X45="●",[3]回答表!Y208,IF([3]回答表!AA45="●",[3]回答表!Y274,"")),"")</f>
        <v/>
      </c>
      <c r="AD159" s="120"/>
      <c r="AE159" s="120"/>
      <c r="AF159" s="120"/>
      <c r="AG159" s="120"/>
      <c r="AH159" s="120"/>
      <c r="AI159" s="120"/>
      <c r="AJ159" s="121"/>
      <c r="AK159" s="119" t="str">
        <f>IF([3]回答表!F17="下水道事業",IF([3]回答表!X45="●",[3]回答表!Y209,IF([3]回答表!AA45="●",[3]回答表!Y275,"")),"")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59.25" customHeight="1" x14ac:dyDescent="0.4">
      <c r="C164" s="32"/>
      <c r="D164" s="190" t="s">
        <v>33</v>
      </c>
      <c r="E164" s="190"/>
      <c r="F164" s="190"/>
      <c r="G164" s="190"/>
      <c r="H164" s="190"/>
      <c r="I164" s="190"/>
      <c r="J164" s="190"/>
      <c r="K164" s="190"/>
      <c r="L164" s="190"/>
      <c r="M164" s="191"/>
      <c r="N164" s="98" t="str">
        <f>IF([3]回答表!F17="下水道事業",IF([3]回答表!AD45="●","●",""),"")</f>
        <v>●</v>
      </c>
      <c r="O164" s="99"/>
      <c r="P164" s="99"/>
      <c r="Q164" s="100"/>
      <c r="R164" s="38"/>
      <c r="S164" s="38"/>
      <c r="T164" s="38"/>
      <c r="U164" s="107" t="str">
        <f>IF([3]回答表!F17="下水道事業",IF([3]回答表!AD45="●",[3]回答表!B289,""),"")</f>
        <v>平成２７年度策定の能代市生活排水処理整備構想では、人口減少を考慮し、検討した結果公共下水道への接続が最も有利としている。接続時期は近隣区域の公共下水道整備が令和７年度頃の予定となっているため、令和８年度以降に接続する見込みとなっている。</v>
      </c>
      <c r="V164" s="108"/>
      <c r="W164" s="108"/>
      <c r="X164" s="108"/>
      <c r="Y164" s="108"/>
      <c r="Z164" s="108"/>
      <c r="AA164" s="108"/>
      <c r="AB164" s="108"/>
      <c r="AC164" s="108"/>
      <c r="AD164" s="108"/>
      <c r="AE164" s="108"/>
      <c r="AF164" s="108"/>
      <c r="AG164" s="108"/>
      <c r="AH164" s="108"/>
      <c r="AI164" s="108"/>
      <c r="AJ164" s="109"/>
      <c r="AK164" s="55"/>
      <c r="AL164" s="55"/>
      <c r="AM164" s="107" t="str">
        <f>IF([3]回答表!F17="下水道事業",IF([3]回答表!AD45="●",[3]回答表!B295,""),"")</f>
        <v>特に無し。</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59.25"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59.25"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59.25"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IF([3]回答表!BD17="●",IF([3]回答表!X45="●","●",""),"")</f>
        <v/>
      </c>
      <c r="O176" s="99"/>
      <c r="P176" s="99"/>
      <c r="Q176" s="100"/>
      <c r="R176" s="38"/>
      <c r="S176" s="38"/>
      <c r="T176" s="38"/>
      <c r="U176" s="107" t="str">
        <f>IF([3]回答表!BD17="●",IF([3]回答表!X45="●",[3]回答表!B158,IF([3]回答表!AA45="●",[3]回答表!B223,"")),"")</f>
        <v/>
      </c>
      <c r="V176" s="108"/>
      <c r="W176" s="108"/>
      <c r="X176" s="108"/>
      <c r="Y176" s="108"/>
      <c r="Z176" s="108"/>
      <c r="AA176" s="108"/>
      <c r="AB176" s="108"/>
      <c r="AC176" s="108"/>
      <c r="AD176" s="108"/>
      <c r="AE176" s="108"/>
      <c r="AF176" s="108"/>
      <c r="AG176" s="108"/>
      <c r="AH176" s="108"/>
      <c r="AI176" s="108"/>
      <c r="AJ176" s="109"/>
      <c r="AK176" s="49"/>
      <c r="AL176" s="49"/>
      <c r="AM176" s="116" t="str">
        <f>IF([3]回答表!BD17="●",IF([3]回答表!X45="●",[3]回答表!B212,IF([3]回答表!AA45="●",[3]回答表!B278,"")),"")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IF([3]回答表!BD17="●",IF([3]回答表!X45="●",[3]回答表!E212,IF([3]回答表!AA45="●",[3]回答表!E278,"")),"")</f>
        <v/>
      </c>
      <c r="AN179" s="84"/>
      <c r="AO179" s="84"/>
      <c r="AP179" s="84"/>
      <c r="AQ179" s="83" t="str">
        <f>IF([3]回答表!BD17="●",IF([3]回答表!X45="●",[3]回答表!E213,IF([3]回答表!AA45="●",[3]回答表!E279,"")),"")</f>
        <v/>
      </c>
      <c r="AR179" s="84"/>
      <c r="AS179" s="84"/>
      <c r="AT179" s="84"/>
      <c r="AU179" s="83" t="str">
        <f>IF([3]回答表!BD17="●",IF([3]回答表!X45="●",[3]回答表!E214,IF([3]回答表!AA45="●",[3]回答表!E280,"")),"")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IF([3]回答表!BD17="●",IF([3]回答表!AA45="●","●",""),"")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IF([3]回答表!BD17="●",IF([3]回答表!AD45="●","●",""),"")</f>
        <v/>
      </c>
      <c r="O188" s="99"/>
      <c r="P188" s="99"/>
      <c r="Q188" s="100"/>
      <c r="R188" s="38"/>
      <c r="S188" s="38"/>
      <c r="T188" s="38"/>
      <c r="U188" s="107" t="str">
        <f>IF([3]回答表!BD17="●",IF([3]回答表!AD45="●",[3]回答表!B289,""),"")</f>
        <v/>
      </c>
      <c r="V188" s="108"/>
      <c r="W188" s="108"/>
      <c r="X188" s="108"/>
      <c r="Y188" s="108"/>
      <c r="Z188" s="108"/>
      <c r="AA188" s="108"/>
      <c r="AB188" s="108"/>
      <c r="AC188" s="108"/>
      <c r="AD188" s="108"/>
      <c r="AE188" s="108"/>
      <c r="AF188" s="108"/>
      <c r="AG188" s="108"/>
      <c r="AH188" s="108"/>
      <c r="AI188" s="108"/>
      <c r="AJ188" s="109"/>
      <c r="AK188" s="55"/>
      <c r="AL188" s="55"/>
      <c r="AM188" s="107" t="str">
        <f>IF([3]回答表!BD17="●",IF([3]回答表!AD45="●",[3]回答表!B295,""),"")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IF([3]回答表!X46="●","●","")</f>
        <v/>
      </c>
      <c r="O200" s="99"/>
      <c r="P200" s="99"/>
      <c r="Q200" s="100"/>
      <c r="R200" s="38"/>
      <c r="S200" s="38"/>
      <c r="T200" s="38"/>
      <c r="U200" s="107" t="str">
        <f>IF([3]回答表!X46="●",[3]回答表!B307,IF([3]回答表!AA46="●",[3]回答表!B324,""))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IF([3]回答表!X46="●",[3]回答表!U313,IF([3]回答表!AA46="●",[3]回答表!U330,""))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IF([3]回答表!X46="●",[3]回答表!G313,IF([3]回答表!AA46="●",[3]回答表!G330,""))</f>
        <v/>
      </c>
      <c r="AN203" s="120"/>
      <c r="AO203" s="120"/>
      <c r="AP203" s="120"/>
      <c r="AQ203" s="120"/>
      <c r="AR203" s="120"/>
      <c r="AS203" s="120"/>
      <c r="AT203" s="121"/>
      <c r="AU203" s="119" t="str">
        <f>IF([3]回答表!X46="●",[3]回答表!G314,IF([3]回答表!AA46="●",[3]回答表!G331,""))</f>
        <v/>
      </c>
      <c r="AV203" s="120"/>
      <c r="AW203" s="120"/>
      <c r="AX203" s="120"/>
      <c r="AY203" s="120"/>
      <c r="AZ203" s="120"/>
      <c r="BA203" s="120"/>
      <c r="BB203" s="121"/>
      <c r="BC203" s="39"/>
      <c r="BD203" s="34"/>
      <c r="BE203" s="34"/>
      <c r="BF203" s="83" t="str">
        <f>IF([3]回答表!X46="●",[3]回答表!X313,IF([3]回答表!AA46="●",[3]回答表!X330,""))</f>
        <v/>
      </c>
      <c r="BG203" s="84"/>
      <c r="BH203" s="84"/>
      <c r="BI203" s="84"/>
      <c r="BJ203" s="83" t="str">
        <f>IF([3]回答表!X46="●",[3]回答表!X314,IF([3]回答表!AA46="●",[3]回答表!X331,""))</f>
        <v/>
      </c>
      <c r="BK203" s="84"/>
      <c r="BL203" s="84"/>
      <c r="BM203" s="87"/>
      <c r="BN203" s="83" t="str">
        <f>IF([3]回答表!X46="●",[3]回答表!X315,IF([3]回答表!AA46="●",[3]回答表!X332,""))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IF([3]回答表!AA46="●","●","")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IF([3]回答表!AD46="●","●","")</f>
        <v/>
      </c>
      <c r="O212" s="99"/>
      <c r="P212" s="99"/>
      <c r="Q212" s="100"/>
      <c r="R212" s="38"/>
      <c r="S212" s="38"/>
      <c r="T212" s="38"/>
      <c r="U212" s="107" t="str">
        <f>IF([3]回答表!AD46="●",[3]回答表!B337,"")</f>
        <v/>
      </c>
      <c r="V212" s="108"/>
      <c r="W212" s="108"/>
      <c r="X212" s="108"/>
      <c r="Y212" s="108"/>
      <c r="Z212" s="108"/>
      <c r="AA212" s="108"/>
      <c r="AB212" s="108"/>
      <c r="AC212" s="108"/>
      <c r="AD212" s="108"/>
      <c r="AE212" s="108"/>
      <c r="AF212" s="108"/>
      <c r="AG212" s="108"/>
      <c r="AH212" s="108"/>
      <c r="AI212" s="108"/>
      <c r="AJ212" s="109"/>
      <c r="AK212" s="62"/>
      <c r="AL212" s="62"/>
      <c r="AM212" s="107" t="str">
        <f>IF([3]回答表!AD46="●",[3]回答表!B343,"")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IF([3]回答表!X47="●","●","")</f>
        <v/>
      </c>
      <c r="O224" s="99"/>
      <c r="P224" s="99"/>
      <c r="Q224" s="100"/>
      <c r="R224" s="38"/>
      <c r="S224" s="38"/>
      <c r="T224" s="38"/>
      <c r="U224" s="107" t="str">
        <f>IF([3]回答表!X47="●",[3]回答表!B356,IF([3]回答表!AA47="●",[3]回答表!B379,""))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IF([3]回答表!X47="●",[3]回答表!B362,"")</f>
        <v/>
      </c>
      <c r="AO224" s="182"/>
      <c r="AP224" s="182"/>
      <c r="AQ224" s="182"/>
      <c r="AR224" s="182"/>
      <c r="AS224" s="182"/>
      <c r="AT224" s="182"/>
      <c r="AU224" s="182"/>
      <c r="AV224" s="182"/>
      <c r="AW224" s="182"/>
      <c r="AX224" s="182"/>
      <c r="AY224" s="182"/>
      <c r="AZ224" s="182"/>
      <c r="BA224" s="182"/>
      <c r="BB224" s="183"/>
      <c r="BC224" s="39"/>
      <c r="BD224" s="34"/>
      <c r="BE224" s="34"/>
      <c r="BF224" s="116" t="str">
        <f>IF([3]回答表!X47="●",[3]回答表!B368,IF([3]回答表!AA47="●",[3]回答表!B385,""))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IF([3]回答表!X47="●",[3]回答表!E368,IF([3]回答表!AA47="●",[3]回答表!E385,""))</f>
        <v/>
      </c>
      <c r="BG227" s="84"/>
      <c r="BH227" s="84"/>
      <c r="BI227" s="84"/>
      <c r="BJ227" s="83" t="str">
        <f>IF([3]回答表!X47="●",[3]回答表!E369,IF([3]回答表!AA47="●",[3]回答表!E386,""))</f>
        <v/>
      </c>
      <c r="BK227" s="84"/>
      <c r="BL227" s="84"/>
      <c r="BM227" s="87"/>
      <c r="BN227" s="83" t="str">
        <f>IF([3]回答表!X47="●",[3]回答表!E370,IF([3]回答表!AA47="●",[3]回答表!E387,""))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IF([3]回答表!AA47="●","●","")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IF([3]回答表!AD47="●","●","")</f>
        <v/>
      </c>
      <c r="O236" s="99"/>
      <c r="P236" s="99"/>
      <c r="Q236" s="100"/>
      <c r="R236" s="38"/>
      <c r="S236" s="38"/>
      <c r="T236" s="38"/>
      <c r="U236" s="107" t="str">
        <f>IF([3]回答表!AD47="●",[3]回答表!B392,"")</f>
        <v/>
      </c>
      <c r="V236" s="108"/>
      <c r="W236" s="108"/>
      <c r="X236" s="108"/>
      <c r="Y236" s="108"/>
      <c r="Z236" s="108"/>
      <c r="AA236" s="108"/>
      <c r="AB236" s="108"/>
      <c r="AC236" s="108"/>
      <c r="AD236" s="108"/>
      <c r="AE236" s="108"/>
      <c r="AF236" s="108"/>
      <c r="AG236" s="108"/>
      <c r="AH236" s="108"/>
      <c r="AI236" s="108"/>
      <c r="AJ236" s="109"/>
      <c r="AK236" s="62"/>
      <c r="AL236" s="62"/>
      <c r="AM236" s="107" t="str">
        <f>IF([3]回答表!AD47="●",[3]回答表!B398,"")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IF([3]回答表!X48="●","●","")</f>
        <v/>
      </c>
      <c r="O248" s="99"/>
      <c r="P248" s="99"/>
      <c r="Q248" s="100"/>
      <c r="R248" s="38"/>
      <c r="S248" s="38"/>
      <c r="T248" s="38"/>
      <c r="U248" s="107" t="str">
        <f>IF([3]回答表!X48="●",[3]回答表!B411,IF([3]回答表!AA48="●",[3]回答表!B425,""))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IF([3]回答表!X48="●",[3]回答表!BC418,IF([3]回答表!AA48="●",[3]回答表!BC432,""))</f>
        <v/>
      </c>
      <c r="AR248" s="151"/>
      <c r="AS248" s="151"/>
      <c r="AT248" s="151"/>
      <c r="AU248" s="173" t="s">
        <v>73</v>
      </c>
      <c r="AV248" s="174"/>
      <c r="AW248" s="174"/>
      <c r="AX248" s="175"/>
      <c r="AY248" s="151" t="str">
        <f>IF([3]回答表!X48="●",[3]回答表!BC423,IF([3]回答表!AA48="●",[3]回答表!BC437,""))</f>
        <v/>
      </c>
      <c r="AZ248" s="151"/>
      <c r="BA248" s="151"/>
      <c r="BB248" s="151"/>
      <c r="BC248" s="39"/>
      <c r="BD248" s="34"/>
      <c r="BE248" s="34"/>
      <c r="BF248" s="116" t="str">
        <f>IF([3]回答表!X48="●",[3]回答表!S417,IF([3]回答表!AA48="●",[3]回答表!S431,""))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IF([3]回答表!X48="●",[3]回答表!BC419,IF([3]回答表!AA48="●",[3]回答表!BC433,""))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IF([3]回答表!X48="●",[3]回答表!V417,IF([3]回答表!AA48="●",[3]回答表!V431,""))</f>
        <v/>
      </c>
      <c r="BG251" s="84"/>
      <c r="BH251" s="84"/>
      <c r="BI251" s="84"/>
      <c r="BJ251" s="83" t="str">
        <f>IF([3]回答表!X48="●",[3]回答表!V418,IF([3]回答表!AA48="●",[3]回答表!V432,""))</f>
        <v/>
      </c>
      <c r="BK251" s="84"/>
      <c r="BL251" s="84"/>
      <c r="BM251" s="87"/>
      <c r="BN251" s="83" t="str">
        <f>IF([3]回答表!X48="●",[3]回答表!V419,IF([3]回答表!AA48="●",[3]回答表!V433,""))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IF([3]回答表!X48="●",[3]回答表!BC420,IF([3]回答表!AA48="●",[3]回答表!BC434,""))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IF([3]回答表!X48="●",[3]回答表!BC424,IF([3]回答表!AA48="●",[3]回答表!BC438,""))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IF([3]回答表!AA48="●","●","")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IF([3]回答表!X48="●",[3]回答表!BC421,IF([3]回答表!AA48="●",[3]回答表!BC435,""))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IF([3]回答表!X48="●",[3]回答表!BC422,IF([3]回答表!AA48="●",[3]回答表!BC436,""))</f>
        <v/>
      </c>
      <c r="AR256" s="151"/>
      <c r="AS256" s="151"/>
      <c r="AT256" s="151"/>
      <c r="AU256" s="152" t="s">
        <v>79</v>
      </c>
      <c r="AV256" s="153"/>
      <c r="AW256" s="153"/>
      <c r="AX256" s="154"/>
      <c r="AY256" s="158" t="str">
        <f>IF([3]回答表!X48="●",[3]回答表!BC425,IF([3]回答表!AA48="●",[3]回答表!BC439,""))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IF([3]回答表!AD48="●","●","")</f>
        <v/>
      </c>
      <c r="O260" s="99"/>
      <c r="P260" s="99"/>
      <c r="Q260" s="100"/>
      <c r="R260" s="38"/>
      <c r="S260" s="38"/>
      <c r="T260" s="38"/>
      <c r="U260" s="107" t="str">
        <f>IF([3]回答表!AD48="●",[3]回答表!B439,"")</f>
        <v/>
      </c>
      <c r="V260" s="108"/>
      <c r="W260" s="108"/>
      <c r="X260" s="108"/>
      <c r="Y260" s="108"/>
      <c r="Z260" s="108"/>
      <c r="AA260" s="108"/>
      <c r="AB260" s="108"/>
      <c r="AC260" s="108"/>
      <c r="AD260" s="108"/>
      <c r="AE260" s="108"/>
      <c r="AF260" s="108"/>
      <c r="AG260" s="108"/>
      <c r="AH260" s="108"/>
      <c r="AI260" s="108"/>
      <c r="AJ260" s="109"/>
      <c r="AK260" s="55"/>
      <c r="AL260" s="55"/>
      <c r="AM260" s="107" t="str">
        <f>IF([3]回答表!AD48="●",[3]回答表!B445,"")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IF([3]回答表!X49="●","●","")</f>
        <v/>
      </c>
      <c r="O271" s="99"/>
      <c r="P271" s="99"/>
      <c r="Q271" s="100"/>
      <c r="R271" s="38"/>
      <c r="S271" s="38"/>
      <c r="T271" s="38"/>
      <c r="U271" s="107" t="str">
        <f>IF([3]回答表!X49="●",[3]回答表!B458,IF([3]回答表!AA49="●",[3]回答表!B475,""))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IF([3]回答表!X49="●",[3]回答表!B468,IF([3]回答表!AA49="●",[3]回答表!B485,""))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IF([3]回答表!X49="●",[3]回答表!G464,IF([3]回答表!AA49="●",[3]回答表!G481,""))</f>
        <v/>
      </c>
      <c r="AN273" s="120"/>
      <c r="AO273" s="120"/>
      <c r="AP273" s="120"/>
      <c r="AQ273" s="120"/>
      <c r="AR273" s="120"/>
      <c r="AS273" s="120"/>
      <c r="AT273" s="121"/>
      <c r="AU273" s="119" t="str">
        <f>IF([3]回答表!X49="●",[3]回答表!G465,IF([3]回答表!AA49="●",[3]回答表!G482,""))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IF([3]回答表!X49="●",[3]回答表!E468,IF([3]回答表!AA49="●",[3]回答表!E485,""))</f>
        <v/>
      </c>
      <c r="BG274" s="84"/>
      <c r="BH274" s="84"/>
      <c r="BI274" s="84"/>
      <c r="BJ274" s="83" t="str">
        <f>IF([3]回答表!X49="●",[3]回答表!E469,IF([3]回答表!AA49="●",[3]回答表!E486,""))</f>
        <v/>
      </c>
      <c r="BK274" s="84"/>
      <c r="BL274" s="84"/>
      <c r="BM274" s="87"/>
      <c r="BN274" s="83" t="str">
        <f>IF([3]回答表!X49="●",[3]回答表!E470,IF([3]回答表!AA49="●",[3]回答表!E487,""))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IF([3]回答表!AA49="●","●","")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IF([3]回答表!AD49="●","●","")</f>
        <v/>
      </c>
      <c r="O283" s="99"/>
      <c r="P283" s="99"/>
      <c r="Q283" s="100"/>
      <c r="R283" s="38"/>
      <c r="S283" s="38"/>
      <c r="T283" s="38"/>
      <c r="U283" s="107" t="str">
        <f>IF([3]回答表!AD49="●",[3]回答表!B492,"")</f>
        <v/>
      </c>
      <c r="V283" s="108"/>
      <c r="W283" s="108"/>
      <c r="X283" s="108"/>
      <c r="Y283" s="108"/>
      <c r="Z283" s="108"/>
      <c r="AA283" s="108"/>
      <c r="AB283" s="108"/>
      <c r="AC283" s="108"/>
      <c r="AD283" s="108"/>
      <c r="AE283" s="108"/>
      <c r="AF283" s="108"/>
      <c r="AG283" s="108"/>
      <c r="AH283" s="108"/>
      <c r="AI283" s="108"/>
      <c r="AJ283" s="109"/>
      <c r="AK283" s="49"/>
      <c r="AL283" s="49"/>
      <c r="AM283" s="107" t="str">
        <f>IF([3]回答表!AD49="●",[3]回答表!B498,"")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IF([3]回答表!R50="●",[3]回答表!B511,"")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7AF6-7A4C-44BF-A010-54731B4B753F}">
  <sheetPr>
    <pageSetUpPr fitToPage="1"/>
  </sheetPr>
  <dimension ref="A1:CN315"/>
  <sheetViews>
    <sheetView showZeros="0" view="pageBreakPreview" zoomScale="60" zoomScaleNormal="55" workbookViewId="0">
      <selection activeCell="AK109" sqref="AK109"/>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IF(COUNTIF([2]回答表!K15,"*")&gt;0,[2]回答表!K15,"")</f>
        <v>能代市</v>
      </c>
      <c r="D11" s="299"/>
      <c r="E11" s="299"/>
      <c r="F11" s="299"/>
      <c r="G11" s="299"/>
      <c r="H11" s="299"/>
      <c r="I11" s="299"/>
      <c r="J11" s="299"/>
      <c r="K11" s="299"/>
      <c r="L11" s="299"/>
      <c r="M11" s="299"/>
      <c r="N11" s="299"/>
      <c r="O11" s="299"/>
      <c r="P11" s="299"/>
      <c r="Q11" s="299"/>
      <c r="R11" s="299"/>
      <c r="S11" s="299"/>
      <c r="T11" s="299"/>
      <c r="U11" s="306" t="str">
        <f>IF(COUNTIF([2]回答表!F17,"*")&gt;0,[2]回答表!F17,"")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IF(COUNTIF([2]回答表!W17,"*")&gt;0,[2]回答表!W17,"")</f>
        <v>特定地域排水処理施設</v>
      </c>
      <c r="AP11" s="301"/>
      <c r="AQ11" s="301"/>
      <c r="AR11" s="301"/>
      <c r="AS11" s="301"/>
      <c r="AT11" s="301"/>
      <c r="AU11" s="301"/>
      <c r="AV11" s="301"/>
      <c r="AW11" s="301"/>
      <c r="AX11" s="301"/>
      <c r="AY11" s="301"/>
      <c r="AZ11" s="301"/>
      <c r="BA11" s="301"/>
      <c r="BB11" s="301"/>
      <c r="BC11" s="301"/>
      <c r="BD11" s="301"/>
      <c r="BE11" s="301"/>
      <c r="BF11" s="302"/>
      <c r="BG11" s="305" t="str">
        <f>IF(COUNTIF([2]回答表!F19,"*")&gt;0,[2]回答表!F19,"")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IF([2]回答表!R43="●","●","")</f>
        <v/>
      </c>
      <c r="E24" s="123"/>
      <c r="F24" s="123"/>
      <c r="G24" s="123"/>
      <c r="H24" s="123"/>
      <c r="I24" s="123"/>
      <c r="J24" s="124"/>
      <c r="K24" s="122" t="str">
        <f>IF([2]回答表!R44="●","●","")</f>
        <v/>
      </c>
      <c r="L24" s="123"/>
      <c r="M24" s="123"/>
      <c r="N24" s="123"/>
      <c r="O24" s="123"/>
      <c r="P24" s="123"/>
      <c r="Q24" s="124"/>
      <c r="R24" s="122" t="str">
        <f>IF([2]回答表!R45="●","●","")</f>
        <v/>
      </c>
      <c r="S24" s="123"/>
      <c r="T24" s="123"/>
      <c r="U24" s="123"/>
      <c r="V24" s="123"/>
      <c r="W24" s="123"/>
      <c r="X24" s="124"/>
      <c r="Y24" s="122" t="str">
        <f>IF([2]回答表!R46="●","●","")</f>
        <v/>
      </c>
      <c r="Z24" s="123"/>
      <c r="AA24" s="123"/>
      <c r="AB24" s="123"/>
      <c r="AC24" s="123"/>
      <c r="AD24" s="123"/>
      <c r="AE24" s="124"/>
      <c r="AF24" s="122" t="str">
        <f>IF([2]回答表!R47="●","●","")</f>
        <v/>
      </c>
      <c r="AG24" s="123"/>
      <c r="AH24" s="123"/>
      <c r="AI24" s="123"/>
      <c r="AJ24" s="123"/>
      <c r="AK24" s="123"/>
      <c r="AL24" s="124"/>
      <c r="AM24" s="122" t="str">
        <f>IF([2]回答表!R48="●","●","")</f>
        <v/>
      </c>
      <c r="AN24" s="123"/>
      <c r="AO24" s="123"/>
      <c r="AP24" s="123"/>
      <c r="AQ24" s="123"/>
      <c r="AR24" s="123"/>
      <c r="AS24" s="124"/>
      <c r="AT24" s="122" t="str">
        <f>IF([2]回答表!R49="●","●","")</f>
        <v/>
      </c>
      <c r="AU24" s="123"/>
      <c r="AV24" s="123"/>
      <c r="AW24" s="123"/>
      <c r="AX24" s="123"/>
      <c r="AY24" s="123"/>
      <c r="AZ24" s="124"/>
      <c r="BA24" s="18"/>
      <c r="BB24" s="119" t="str">
        <f>IF([2]回答表!R50="●","●","")</f>
        <v>●</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IF([2]回答表!X43="●","●","")</f>
        <v/>
      </c>
      <c r="O36" s="99"/>
      <c r="P36" s="99"/>
      <c r="Q36" s="100"/>
      <c r="R36" s="38"/>
      <c r="S36" s="38"/>
      <c r="T36" s="38"/>
      <c r="U36" s="107" t="str">
        <f>IF([2]回答表!X43="●",[2]回答表!B59,IF([2]回答表!AA43="●",[2]回答表!B79,""))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IF([2]回答表!X43="●",[2]回答表!S65,IF([2]回答表!AA43="●",[2]回答表!S85,""))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IF([2]回答表!X43="●",[2]回答表!G65,IF([2]回答表!AA43="●",[2]回答表!G85,""))</f>
        <v/>
      </c>
      <c r="AN38" s="120"/>
      <c r="AO38" s="120"/>
      <c r="AP38" s="120"/>
      <c r="AQ38" s="120"/>
      <c r="AR38" s="120"/>
      <c r="AS38" s="120"/>
      <c r="AT38" s="121"/>
      <c r="AU38" s="119" t="str">
        <f>IF([2]回答表!X43="●",[2]回答表!G66,IF([2]回答表!AA43="●",[2]回答表!G86,""))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IF([2]回答表!X43="●",[2]回答表!V65,IF([2]回答表!AA43="●",[2]回答表!V85,""))</f>
        <v/>
      </c>
      <c r="BG39" s="249"/>
      <c r="BH39" s="249"/>
      <c r="BI39" s="250"/>
      <c r="BJ39" s="83" t="str">
        <f>IF([2]回答表!X43="●",[2]回答表!V66,IF([2]回答表!AA43="●",[2]回答表!V86,""))</f>
        <v/>
      </c>
      <c r="BK39" s="249"/>
      <c r="BL39" s="249"/>
      <c r="BM39" s="250"/>
      <c r="BN39" s="83" t="str">
        <f>IF([2]回答表!X43="●",[2]回答表!V67,IF([2]回答表!AA43="●",[2]回答表!V87,""))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IF([2]回答表!X43="●",[2]回答表!O71,IF([2]回答表!AA43="●",[2]回答表!O91,""))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IF([2]回答表!X43="●",[2]回答表!O72,IF([2]回答表!AA43="●",[2]回答表!O92,""))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IF([2]回答表!AA43="●","●","")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IF([2]回答表!X43="●",[2]回答表!O73,IF([2]回答表!AA43="●",[2]回答表!O93,""))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IF([2]回答表!X43="●",[2]回答表!O74,IF([2]回答表!AA43="●",[2]回答表!O94,""))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IF([2]回答表!X43="●",[2]回答表!AG71,IF([2]回答表!AA43="●",[2]回答表!AG91,""))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IF([2]回答表!X43="●",[2]回答表!AG72,IF([2]回答表!AA43="●",[2]回答表!AG92,""))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IF([2]回答表!AD43="●","●","")</f>
        <v/>
      </c>
      <c r="O51" s="99"/>
      <c r="P51" s="99"/>
      <c r="Q51" s="100"/>
      <c r="R51" s="38"/>
      <c r="S51" s="38"/>
      <c r="T51" s="38"/>
      <c r="U51" s="107" t="str">
        <f>IF([2]回答表!AD43="●",[2]回答表!B99,"")</f>
        <v/>
      </c>
      <c r="V51" s="108"/>
      <c r="W51" s="108"/>
      <c r="X51" s="108"/>
      <c r="Y51" s="108"/>
      <c r="Z51" s="108"/>
      <c r="AA51" s="108"/>
      <c r="AB51" s="108"/>
      <c r="AC51" s="108"/>
      <c r="AD51" s="108"/>
      <c r="AE51" s="108"/>
      <c r="AF51" s="108"/>
      <c r="AG51" s="108"/>
      <c r="AH51" s="108"/>
      <c r="AI51" s="108"/>
      <c r="AJ51" s="109"/>
      <c r="AK51" s="55"/>
      <c r="AL51" s="55"/>
      <c r="AM51" s="107" t="str">
        <f>IF([2]回答表!AD43="●",[2]回答表!B104,"")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IF([2]回答表!X44="●","●","")</f>
        <v/>
      </c>
      <c r="O62" s="99"/>
      <c r="P62" s="99"/>
      <c r="Q62" s="100"/>
      <c r="R62" s="38"/>
      <c r="S62" s="38"/>
      <c r="T62" s="38"/>
      <c r="U62" s="107" t="str">
        <f>IF([2]回答表!X44="●",[2]回答表!B115,IF([2]回答表!AA44="●",[2]回答表!B127,""))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IF([2]回答表!X44="●",[2]回答表!S121,IF([2]回答表!AA44="●",[2]回答表!S133,""))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IF([2]回答表!X44="●",[2]回答表!J121,IF([2]回答表!AA44="●",[2]回答表!J133,""))</f>
        <v/>
      </c>
      <c r="AN65" s="120"/>
      <c r="AO65" s="120"/>
      <c r="AP65" s="120"/>
      <c r="AQ65" s="120"/>
      <c r="AR65" s="120"/>
      <c r="AS65" s="120"/>
      <c r="AT65" s="121"/>
      <c r="AU65" s="119" t="str">
        <f>IF([2]回答表!X44="●",[2]回答表!J122,IF([2]回答表!AA44="●",[2]回答表!J134,""))</f>
        <v/>
      </c>
      <c r="AV65" s="120"/>
      <c r="AW65" s="120"/>
      <c r="AX65" s="120"/>
      <c r="AY65" s="120"/>
      <c r="AZ65" s="120"/>
      <c r="BA65" s="120"/>
      <c r="BB65" s="121"/>
      <c r="BC65" s="39"/>
      <c r="BD65" s="34"/>
      <c r="BE65" s="34"/>
      <c r="BF65" s="83" t="str">
        <f>IF([2]回答表!X44="●",[2]回答表!V121,IF([2]回答表!AA44="●",[2]回答表!V133,""))</f>
        <v/>
      </c>
      <c r="BG65" s="84"/>
      <c r="BH65" s="84"/>
      <c r="BI65" s="84"/>
      <c r="BJ65" s="83" t="str">
        <f>IF([2]回答表!X44="●",[2]回答表!V122,IF([2]回答表!AA44="●",[2]回答表!V134,""))</f>
        <v/>
      </c>
      <c r="BK65" s="84"/>
      <c r="BL65" s="84"/>
      <c r="BM65" s="84"/>
      <c r="BN65" s="83" t="str">
        <f>IF([2]回答表!X44="●",[2]回答表!V123,IF([2]回答表!AA44="●",[2]回答表!V135,""))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IF([2]回答表!AA44="●","●","")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IF([2]回答表!AD44="●","●","")</f>
        <v/>
      </c>
      <c r="O74" s="99"/>
      <c r="P74" s="99"/>
      <c r="Q74" s="100"/>
      <c r="R74" s="38"/>
      <c r="S74" s="38"/>
      <c r="T74" s="38"/>
      <c r="U74" s="107" t="str">
        <f>IF([2]回答表!AD44="●",[2]回答表!B140,"")</f>
        <v/>
      </c>
      <c r="V74" s="108"/>
      <c r="W74" s="108"/>
      <c r="X74" s="108"/>
      <c r="Y74" s="108"/>
      <c r="Z74" s="108"/>
      <c r="AA74" s="108"/>
      <c r="AB74" s="108"/>
      <c r="AC74" s="108"/>
      <c r="AD74" s="108"/>
      <c r="AE74" s="108"/>
      <c r="AF74" s="108"/>
      <c r="AG74" s="108"/>
      <c r="AH74" s="108"/>
      <c r="AI74" s="108"/>
      <c r="AJ74" s="109"/>
      <c r="AK74" s="55"/>
      <c r="AL74" s="55"/>
      <c r="AM74" s="107" t="str">
        <f>IF([2]回答表!AD44="●",[2]回答表!B146,"")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IF([2]回答表!F17="水道事業",IF([2]回答表!X45="●","●",""),"")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IF([2]回答表!F17="水道事業",IF([2]回答表!X45="●",[2]回答表!B158,IF([2]回答表!AA45="●",[2]回答表!B223,"")),"")</f>
        <v/>
      </c>
      <c r="AN86" s="212"/>
      <c r="AO86" s="212"/>
      <c r="AP86" s="212"/>
      <c r="AQ86" s="212"/>
      <c r="AR86" s="212"/>
      <c r="AS86" s="212"/>
      <c r="AT86" s="212"/>
      <c r="AU86" s="212"/>
      <c r="AV86" s="212"/>
      <c r="AW86" s="212"/>
      <c r="AX86" s="212"/>
      <c r="AY86" s="212"/>
      <c r="AZ86" s="212"/>
      <c r="BA86" s="212"/>
      <c r="BB86" s="212"/>
      <c r="BC86" s="213"/>
      <c r="BD86" s="34"/>
      <c r="BE86" s="34"/>
      <c r="BF86" s="116" t="str">
        <f>IF([2]回答表!F17="水道事業",IF([2]回答表!X45="●",[2]回答表!B212,IF([2]回答表!AA45="●",[2]回答表!B278,"")),"")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IF([2]回答表!F17="水道事業",IF([2]回答表!X45="●",[2]回答表!J166,IF([2]回答表!AA45="●",[2]回答表!J231,"")),"")</f>
        <v/>
      </c>
      <c r="V88" s="120"/>
      <c r="W88" s="120"/>
      <c r="X88" s="120"/>
      <c r="Y88" s="120"/>
      <c r="Z88" s="120"/>
      <c r="AA88" s="120"/>
      <c r="AB88" s="121"/>
      <c r="AC88" s="119" t="str">
        <f>IF([2]回答表!F17="水道事業",IF([2]回答表!X45="●",[2]回答表!J173,IF([2]回答表!AA45="●",[2]回答表!J238,"")),"")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IF([2]回答表!F17="水道事業",IF([2]回答表!X45="●",[2]回答表!E212,IF([2]回答表!AA45="●",[2]回答表!E278,"")),"")</f>
        <v/>
      </c>
      <c r="BG89" s="84"/>
      <c r="BH89" s="84"/>
      <c r="BI89" s="84"/>
      <c r="BJ89" s="83" t="str">
        <f>IF([2]回答表!F17="水道事業",IF([2]回答表!X45="●",[2]回答表!E213,IF([2]回答表!AA45="●",[2]回答表!E279,"")),"")</f>
        <v/>
      </c>
      <c r="BK89" s="84"/>
      <c r="BL89" s="84"/>
      <c r="BM89" s="84"/>
      <c r="BN89" s="83" t="str">
        <f>IF([2]回答表!F17="水道事業",IF([2]回答表!X45="●",[2]回答表!E214,IF([2]回答表!AA45="●",[2]回答表!E280,"")),"")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IF([2]回答表!F17="水道事業",IF([2]回答表!AA45="●","●",""),"")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IF([2]回答表!F17="水道事業",IF([2]回答表!X45="●",[2]回答表!J176,IF([2]回答表!AA45="●",[2]回答表!J241,"")),"")</f>
        <v/>
      </c>
      <c r="V93" s="120"/>
      <c r="W93" s="120"/>
      <c r="X93" s="120"/>
      <c r="Y93" s="120"/>
      <c r="Z93" s="120"/>
      <c r="AA93" s="120"/>
      <c r="AB93" s="121"/>
      <c r="AC93" s="119" t="str">
        <f>IF([2]回答表!F17="水道事業",IF([2]回答表!X45="●",[2]回答表!J180,IF([2]回答表!AA45="●",[2]回答表!J245,"")),"")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IF([2]回答表!F17="水道事業",IF([2]回答表!AD45="●","●",""),"")</f>
        <v/>
      </c>
      <c r="O98" s="99"/>
      <c r="P98" s="99"/>
      <c r="Q98" s="100"/>
      <c r="R98" s="38"/>
      <c r="S98" s="38"/>
      <c r="T98" s="38"/>
      <c r="U98" s="107" t="str">
        <f>IF([2]回答表!F17="水道事業",IF([2]回答表!AD45="●",[2]回答表!B289,""),"")</f>
        <v/>
      </c>
      <c r="V98" s="108"/>
      <c r="W98" s="108"/>
      <c r="X98" s="108"/>
      <c r="Y98" s="108"/>
      <c r="Z98" s="108"/>
      <c r="AA98" s="108"/>
      <c r="AB98" s="108"/>
      <c r="AC98" s="108"/>
      <c r="AD98" s="108"/>
      <c r="AE98" s="108"/>
      <c r="AF98" s="108"/>
      <c r="AG98" s="108"/>
      <c r="AH98" s="108"/>
      <c r="AI98" s="108"/>
      <c r="AJ98" s="109"/>
      <c r="AK98" s="55"/>
      <c r="AL98" s="55"/>
      <c r="AM98" s="107" t="str">
        <f>IF([2]回答表!F17="水道事業",IF([2]回答表!AD45="●",[2]回答表!B295,""),"")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IF([2]回答表!F17="簡易水道事業",IF([2]回答表!X45="●",[2]回答表!B158,IF([2]回答表!AA45="●",[2]回答表!B223,"")),"")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IF([2]回答表!F17="簡易水道事業",IF([2]回答表!X45="●",[2]回答表!B212,IF([2]回答表!AA45="●",[2]回答表!B278,"")),"")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IF([2]回答表!F17="簡易水道事業",IF([2]回答表!X45="●","●",""),"")</f>
        <v/>
      </c>
      <c r="O112" s="99"/>
      <c r="P112" s="99"/>
      <c r="Q112" s="100"/>
      <c r="R112" s="38"/>
      <c r="S112" s="38"/>
      <c r="T112" s="38"/>
      <c r="U112" s="119" t="str">
        <f>IF([2]回答表!F17="簡易水道事業",IF([2]回答表!X45="●",[2]回答表!Y185,IF([2]回答表!AA45="●",[2]回答表!Y251,"")),"")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IF([2]回答表!F17="簡易水道事業",IF([2]回答表!X45="●",[2]回答表!E212,IF([2]回答表!AA45="●",[2]回答表!E278,"")),"")</f>
        <v/>
      </c>
      <c r="BG113" s="84"/>
      <c r="BH113" s="84"/>
      <c r="BI113" s="84"/>
      <c r="BJ113" s="83" t="str">
        <f>IF([2]回答表!F17="簡易水道事業",IF([2]回答表!X45="●",[2]回答表!E213,IF([2]回答表!AA45="●",[2]回答表!E279,"")),"")</f>
        <v/>
      </c>
      <c r="BK113" s="84"/>
      <c r="BL113" s="84"/>
      <c r="BM113" s="84"/>
      <c r="BN113" s="83" t="str">
        <f>IF([2]回答表!F17="簡易水道事業",IF([2]回答表!X45="●",[2]回答表!E214,IF([2]回答表!AA45="●",[2]回答表!E280,"")),"")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IF([2]回答表!F17="簡易水道事業",IF([2]回答表!X45="●",[2]回答表!Y186,IF([2]回答表!AA45="●",[2]回答表!Y252,"")),"")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IF([2]回答表!F17="簡易水道事業",IF([2]回答表!AA45="●","●",""),"")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IF([2]回答表!F17="簡易水道事業",IF([2]回答表!X45="●",[2]回答表!Y187,IF([2]回答表!AA45="●",[2]回答表!Y253,"")),"")</f>
        <v/>
      </c>
      <c r="V122" s="120"/>
      <c r="W122" s="120"/>
      <c r="X122" s="120"/>
      <c r="Y122" s="120"/>
      <c r="Z122" s="120"/>
      <c r="AA122" s="120"/>
      <c r="AB122" s="120"/>
      <c r="AC122" s="120"/>
      <c r="AD122" s="120"/>
      <c r="AE122" s="120"/>
      <c r="AF122" s="120"/>
      <c r="AG122" s="120"/>
      <c r="AH122" s="120"/>
      <c r="AI122" s="120"/>
      <c r="AJ122" s="121"/>
      <c r="AK122" s="18"/>
      <c r="AL122" s="18"/>
      <c r="AM122" s="228" t="str">
        <f>IF([2]回答表!F17="簡易水道事業",IF([2]回答表!X45="●",[2]回答表!Y189,IF([2]回答表!AA45="●",[2]回答表!Y255,"")),"")</f>
        <v/>
      </c>
      <c r="AN122" s="228"/>
      <c r="AO122" s="228"/>
      <c r="AP122" s="228"/>
      <c r="AQ122" s="228"/>
      <c r="AR122" s="228"/>
      <c r="AS122" s="228" t="str">
        <f>IF([2]回答表!F17="簡易水道事業",IF([2]回答表!X45="●",[2]回答表!Y190,IF([2]回答表!AA45="●",[2]回答表!Y256,"")),"")</f>
        <v/>
      </c>
      <c r="AT122" s="228"/>
      <c r="AU122" s="228"/>
      <c r="AV122" s="228"/>
      <c r="AW122" s="228"/>
      <c r="AX122" s="228"/>
      <c r="AY122" s="228" t="str">
        <f>IF([2]回答表!F17="簡易水道事業",IF([2]回答表!X45="●",[2]回答表!Y191,IF([2]回答表!AA45="●",[2]回答表!Y257,"")),"")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IF([2]回答表!F17="簡易水道事業",IF([2]回答表!AD45="●","●",""),"")</f>
        <v/>
      </c>
      <c r="O127" s="99"/>
      <c r="P127" s="99"/>
      <c r="Q127" s="100"/>
      <c r="R127" s="38"/>
      <c r="S127" s="38"/>
      <c r="T127" s="38"/>
      <c r="U127" s="107" t="str">
        <f>IF([2]回答表!F17="簡易水道事業",IF([2]回答表!AD45="●",[2]回答表!B289,""),"")</f>
        <v/>
      </c>
      <c r="V127" s="108"/>
      <c r="W127" s="108"/>
      <c r="X127" s="108"/>
      <c r="Y127" s="108"/>
      <c r="Z127" s="108"/>
      <c r="AA127" s="108"/>
      <c r="AB127" s="108"/>
      <c r="AC127" s="108"/>
      <c r="AD127" s="108"/>
      <c r="AE127" s="108"/>
      <c r="AF127" s="108"/>
      <c r="AG127" s="108"/>
      <c r="AH127" s="108"/>
      <c r="AI127" s="108"/>
      <c r="AJ127" s="109"/>
      <c r="AK127" s="55"/>
      <c r="AL127" s="55"/>
      <c r="AM127" s="107" t="str">
        <f>IF([2]回答表!F17="簡易水道事業",IF([2]回答表!AD45="●",[2]回答表!B295,""),"")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IF([2]回答表!F17="下水道事業",IF([2]回答表!X45="●","●",""),"")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IF([2]回答表!F17="下水道事業",IF([2]回答表!X45="●",[2]回答表!B158,IF([2]回答表!AA45="●",[2]回答表!B223,"")),"")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IF([2]回答表!F17="下水道事業",IF([2]回答表!X45="●",[2]回答表!B212,IF([2]回答表!AA45="●",[2]回答表!B278,"")),"")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IF([2]回答表!F17="下水道事業",IF([2]回答表!X45="●",[2]回答表!Y193,IF([2]回答表!AA45="●",[2]回答表!Y259,"")),"")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IF([2]回答表!F17="下水道事業",IF([2]回答表!X45="●",[2]回答表!E212,IF([2]回答表!AA45="●",[2]回答表!E278,"")),"")</f>
        <v/>
      </c>
      <c r="BG142" s="84"/>
      <c r="BH142" s="84"/>
      <c r="BI142" s="84"/>
      <c r="BJ142" s="83" t="str">
        <f>IF([2]回答表!F17="下水道事業",IF([2]回答表!X45="●",[2]回答表!E213,IF([2]回答表!AA45="●",[2]回答表!E279,"")),"")</f>
        <v/>
      </c>
      <c r="BK142" s="84"/>
      <c r="BL142" s="84"/>
      <c r="BM142" s="84"/>
      <c r="BN142" s="83" t="str">
        <f>IF([2]回答表!F17="下水道事業",IF([2]回答表!X45="●",[2]回答表!E214,IF([2]回答表!AA45="●",[2]回答表!E280,"")),"")</f>
        <v/>
      </c>
      <c r="BO142" s="84"/>
      <c r="BP142" s="84"/>
      <c r="BQ142" s="87"/>
      <c r="BR142" s="37"/>
      <c r="BX142" s="211" t="str">
        <f>IF([2]回答表!AQ20="下水道事業",IF([2]回答表!BI48="○",[2]回答表!AM161,IF([2]回答表!BL48="○",[2]回答表!AM226,"")),"")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IF([2]回答表!F17="下水道事業",IF([2]回答表!X45="●",[2]回答表!Y195,IF([2]回答表!AA45="●",[2]回答表!Y261,"")),"")</f>
        <v/>
      </c>
      <c r="V147" s="120"/>
      <c r="W147" s="120"/>
      <c r="X147" s="120"/>
      <c r="Y147" s="120"/>
      <c r="Z147" s="120"/>
      <c r="AA147" s="120"/>
      <c r="AB147" s="121"/>
      <c r="AC147" s="119" t="str">
        <f>IF([2]回答表!F17="下水道事業",IF([2]回答表!X45="●",[2]回答表!Y196,IF([2]回答表!AA45="●",[2]回答表!Y262,"")),"")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IF([2]回答表!F17="下水道事業",IF([2]回答表!X45="●",[2]回答表!Y198,IF([2]回答表!AA45="●",[2]回答表!Y264,"")),"")</f>
        <v/>
      </c>
      <c r="V153" s="120"/>
      <c r="W153" s="120"/>
      <c r="X153" s="120"/>
      <c r="Y153" s="120"/>
      <c r="Z153" s="120"/>
      <c r="AA153" s="120"/>
      <c r="AB153" s="121"/>
      <c r="AC153" s="119" t="str">
        <f>IF([2]回答表!F17="下水道事業",IF([2]回答表!X45="●",[2]回答表!Y199,IF([2]回答表!AA45="●",[2]回答表!Y265,"")),"")</f>
        <v/>
      </c>
      <c r="AD153" s="120"/>
      <c r="AE153" s="120"/>
      <c r="AF153" s="120"/>
      <c r="AG153" s="120"/>
      <c r="AH153" s="120"/>
      <c r="AI153" s="120"/>
      <c r="AJ153" s="121"/>
      <c r="AK153" s="119" t="str">
        <f>IF([2]回答表!F17="下水道事業",IF([2]回答表!X45="●",[2]回答表!Y200,IF([2]回答表!AA45="●",[2]回答表!Y266,"")),"")</f>
        <v/>
      </c>
      <c r="AL153" s="120"/>
      <c r="AM153" s="120"/>
      <c r="AN153" s="120"/>
      <c r="AO153" s="120"/>
      <c r="AP153" s="120"/>
      <c r="AQ153" s="120"/>
      <c r="AR153" s="121"/>
      <c r="AS153" s="119" t="str">
        <f>IF([2]回答表!F17="下水道事業",IF([2]回答表!X45="●",[2]回答表!Y201,IF([2]回答表!AA45="●",[2]回答表!Y267,"")),"")</f>
        <v/>
      </c>
      <c r="AT153" s="120"/>
      <c r="AU153" s="120"/>
      <c r="AV153" s="120"/>
      <c r="AW153" s="120"/>
      <c r="AX153" s="120"/>
      <c r="AY153" s="120"/>
      <c r="AZ153" s="121"/>
      <c r="BA153" s="119" t="str">
        <f>IF([2]回答表!F17="下水道事業",IF([2]回答表!X45="●",[2]回答表!Y202,IF([2]回答表!AA45="●",[2]回答表!Y268,"")),"")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IF([2]回答表!F17="下水道事業",IF([2]回答表!AA45="●","●",""),"")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IF([2]回答表!F17="下水道事業",IF([2]回答表!X45="●",[2]回答表!Y207,IF([2]回答表!AA45="●",[2]回答表!Y273,"")),"")</f>
        <v/>
      </c>
      <c r="V159" s="120"/>
      <c r="W159" s="120"/>
      <c r="X159" s="120"/>
      <c r="Y159" s="120"/>
      <c r="Z159" s="120"/>
      <c r="AA159" s="120"/>
      <c r="AB159" s="121"/>
      <c r="AC159" s="119" t="str">
        <f>IF([2]回答表!F17="下水道事業",IF([2]回答表!X45="●",[2]回答表!Y208,IF([2]回答表!AA45="●",[2]回答表!Y274,"")),"")</f>
        <v/>
      </c>
      <c r="AD159" s="120"/>
      <c r="AE159" s="120"/>
      <c r="AF159" s="120"/>
      <c r="AG159" s="120"/>
      <c r="AH159" s="120"/>
      <c r="AI159" s="120"/>
      <c r="AJ159" s="121"/>
      <c r="AK159" s="119" t="str">
        <f>IF([2]回答表!F17="下水道事業",IF([2]回答表!X45="●",[2]回答表!Y209,IF([2]回答表!AA45="●",[2]回答表!Y275,"")),"")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IF([2]回答表!F17="下水道事業",IF([2]回答表!AD45="●","●",""),"")</f>
        <v/>
      </c>
      <c r="O164" s="99"/>
      <c r="P164" s="99"/>
      <c r="Q164" s="100"/>
      <c r="R164" s="38"/>
      <c r="S164" s="38"/>
      <c r="T164" s="38"/>
      <c r="U164" s="107" t="str">
        <f>IF([2]回答表!F17="下水道事業",IF([2]回答表!AD45="●",[2]回答表!B289,""),"")</f>
        <v/>
      </c>
      <c r="V164" s="108"/>
      <c r="W164" s="108"/>
      <c r="X164" s="108"/>
      <c r="Y164" s="108"/>
      <c r="Z164" s="108"/>
      <c r="AA164" s="108"/>
      <c r="AB164" s="108"/>
      <c r="AC164" s="108"/>
      <c r="AD164" s="108"/>
      <c r="AE164" s="108"/>
      <c r="AF164" s="108"/>
      <c r="AG164" s="108"/>
      <c r="AH164" s="108"/>
      <c r="AI164" s="108"/>
      <c r="AJ164" s="109"/>
      <c r="AK164" s="55"/>
      <c r="AL164" s="55"/>
      <c r="AM164" s="107" t="str">
        <f>IF([2]回答表!F17="下水道事業",IF([2]回答表!AD45="●",[2]回答表!B295,""),"")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IF([2]回答表!BD17="●",IF([2]回答表!X45="●","●",""),"")</f>
        <v/>
      </c>
      <c r="O176" s="99"/>
      <c r="P176" s="99"/>
      <c r="Q176" s="100"/>
      <c r="R176" s="38"/>
      <c r="S176" s="38"/>
      <c r="T176" s="38"/>
      <c r="U176" s="107" t="str">
        <f>IF([2]回答表!BD17="●",IF([2]回答表!X45="●",[2]回答表!B158,IF([2]回答表!AA45="●",[2]回答表!B223,"")),"")</f>
        <v/>
      </c>
      <c r="V176" s="108"/>
      <c r="W176" s="108"/>
      <c r="X176" s="108"/>
      <c r="Y176" s="108"/>
      <c r="Z176" s="108"/>
      <c r="AA176" s="108"/>
      <c r="AB176" s="108"/>
      <c r="AC176" s="108"/>
      <c r="AD176" s="108"/>
      <c r="AE176" s="108"/>
      <c r="AF176" s="108"/>
      <c r="AG176" s="108"/>
      <c r="AH176" s="108"/>
      <c r="AI176" s="108"/>
      <c r="AJ176" s="109"/>
      <c r="AK176" s="49"/>
      <c r="AL176" s="49"/>
      <c r="AM176" s="116" t="str">
        <f>IF([2]回答表!BD17="●",IF([2]回答表!X45="●",[2]回答表!B212,IF([2]回答表!AA45="●",[2]回答表!B278,"")),"")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IF([2]回答表!BD17="●",IF([2]回答表!X45="●",[2]回答表!E212,IF([2]回答表!AA45="●",[2]回答表!E278,"")),"")</f>
        <v/>
      </c>
      <c r="AN179" s="84"/>
      <c r="AO179" s="84"/>
      <c r="AP179" s="84"/>
      <c r="AQ179" s="83" t="str">
        <f>IF([2]回答表!BD17="●",IF([2]回答表!X45="●",[2]回答表!E213,IF([2]回答表!AA45="●",[2]回答表!E279,"")),"")</f>
        <v/>
      </c>
      <c r="AR179" s="84"/>
      <c r="AS179" s="84"/>
      <c r="AT179" s="84"/>
      <c r="AU179" s="83" t="str">
        <f>IF([2]回答表!BD17="●",IF([2]回答表!X45="●",[2]回答表!E214,IF([2]回答表!AA45="●",[2]回答表!E280,"")),"")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IF([2]回答表!BD17="●",IF([2]回答表!AA45="●","●",""),"")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IF([2]回答表!BD17="●",IF([2]回答表!AD45="●","●",""),"")</f>
        <v/>
      </c>
      <c r="O188" s="99"/>
      <c r="P188" s="99"/>
      <c r="Q188" s="100"/>
      <c r="R188" s="38"/>
      <c r="S188" s="38"/>
      <c r="T188" s="38"/>
      <c r="U188" s="107" t="str">
        <f>IF([2]回答表!BD17="●",IF([2]回答表!AD45="●",[2]回答表!B289,""),"")</f>
        <v/>
      </c>
      <c r="V188" s="108"/>
      <c r="W188" s="108"/>
      <c r="X188" s="108"/>
      <c r="Y188" s="108"/>
      <c r="Z188" s="108"/>
      <c r="AA188" s="108"/>
      <c r="AB188" s="108"/>
      <c r="AC188" s="108"/>
      <c r="AD188" s="108"/>
      <c r="AE188" s="108"/>
      <c r="AF188" s="108"/>
      <c r="AG188" s="108"/>
      <c r="AH188" s="108"/>
      <c r="AI188" s="108"/>
      <c r="AJ188" s="109"/>
      <c r="AK188" s="55"/>
      <c r="AL188" s="55"/>
      <c r="AM188" s="107" t="str">
        <f>IF([2]回答表!BD17="●",IF([2]回答表!AD45="●",[2]回答表!B295,""),"")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IF([2]回答表!X46="●","●","")</f>
        <v/>
      </c>
      <c r="O200" s="99"/>
      <c r="P200" s="99"/>
      <c r="Q200" s="100"/>
      <c r="R200" s="38"/>
      <c r="S200" s="38"/>
      <c r="T200" s="38"/>
      <c r="U200" s="107" t="str">
        <f>IF([2]回答表!X46="●",[2]回答表!B307,IF([2]回答表!AA46="●",[2]回答表!B324,""))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IF([2]回答表!X46="●",[2]回答表!U313,IF([2]回答表!AA46="●",[2]回答表!U330,""))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IF([2]回答表!X46="●",[2]回答表!G313,IF([2]回答表!AA46="●",[2]回答表!G330,""))</f>
        <v/>
      </c>
      <c r="AN203" s="120"/>
      <c r="AO203" s="120"/>
      <c r="AP203" s="120"/>
      <c r="AQ203" s="120"/>
      <c r="AR203" s="120"/>
      <c r="AS203" s="120"/>
      <c r="AT203" s="121"/>
      <c r="AU203" s="119" t="str">
        <f>IF([2]回答表!X46="●",[2]回答表!G314,IF([2]回答表!AA46="●",[2]回答表!G331,""))</f>
        <v/>
      </c>
      <c r="AV203" s="120"/>
      <c r="AW203" s="120"/>
      <c r="AX203" s="120"/>
      <c r="AY203" s="120"/>
      <c r="AZ203" s="120"/>
      <c r="BA203" s="120"/>
      <c r="BB203" s="121"/>
      <c r="BC203" s="39"/>
      <c r="BD203" s="34"/>
      <c r="BE203" s="34"/>
      <c r="BF203" s="83" t="str">
        <f>IF([2]回答表!X46="●",[2]回答表!X313,IF([2]回答表!AA46="●",[2]回答表!X330,""))</f>
        <v/>
      </c>
      <c r="BG203" s="84"/>
      <c r="BH203" s="84"/>
      <c r="BI203" s="84"/>
      <c r="BJ203" s="83" t="str">
        <f>IF([2]回答表!X46="●",[2]回答表!X314,IF([2]回答表!AA46="●",[2]回答表!X331,""))</f>
        <v/>
      </c>
      <c r="BK203" s="84"/>
      <c r="BL203" s="84"/>
      <c r="BM203" s="87"/>
      <c r="BN203" s="83" t="str">
        <f>IF([2]回答表!X46="●",[2]回答表!X315,IF([2]回答表!AA46="●",[2]回答表!X332,""))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IF([2]回答表!AA46="●","●","")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IF([2]回答表!AD46="●","●","")</f>
        <v/>
      </c>
      <c r="O212" s="99"/>
      <c r="P212" s="99"/>
      <c r="Q212" s="100"/>
      <c r="R212" s="38"/>
      <c r="S212" s="38"/>
      <c r="T212" s="38"/>
      <c r="U212" s="107" t="str">
        <f>IF([2]回答表!AD46="●",[2]回答表!B337,"")</f>
        <v/>
      </c>
      <c r="V212" s="108"/>
      <c r="W212" s="108"/>
      <c r="X212" s="108"/>
      <c r="Y212" s="108"/>
      <c r="Z212" s="108"/>
      <c r="AA212" s="108"/>
      <c r="AB212" s="108"/>
      <c r="AC212" s="108"/>
      <c r="AD212" s="108"/>
      <c r="AE212" s="108"/>
      <c r="AF212" s="108"/>
      <c r="AG212" s="108"/>
      <c r="AH212" s="108"/>
      <c r="AI212" s="108"/>
      <c r="AJ212" s="109"/>
      <c r="AK212" s="62"/>
      <c r="AL212" s="62"/>
      <c r="AM212" s="107" t="str">
        <f>IF([2]回答表!AD46="●",[2]回答表!B343,"")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IF([2]回答表!X47="●","●","")</f>
        <v/>
      </c>
      <c r="O224" s="99"/>
      <c r="P224" s="99"/>
      <c r="Q224" s="100"/>
      <c r="R224" s="38"/>
      <c r="S224" s="38"/>
      <c r="T224" s="38"/>
      <c r="U224" s="107" t="str">
        <f>IF([2]回答表!X47="●",[2]回答表!B356,IF([2]回答表!AA47="●",[2]回答表!B379,""))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IF([2]回答表!X47="●",[2]回答表!B362,"")</f>
        <v/>
      </c>
      <c r="AO224" s="182"/>
      <c r="AP224" s="182"/>
      <c r="AQ224" s="182"/>
      <c r="AR224" s="182"/>
      <c r="AS224" s="182"/>
      <c r="AT224" s="182"/>
      <c r="AU224" s="182"/>
      <c r="AV224" s="182"/>
      <c r="AW224" s="182"/>
      <c r="AX224" s="182"/>
      <c r="AY224" s="182"/>
      <c r="AZ224" s="182"/>
      <c r="BA224" s="182"/>
      <c r="BB224" s="183"/>
      <c r="BC224" s="39"/>
      <c r="BD224" s="34"/>
      <c r="BE224" s="34"/>
      <c r="BF224" s="116" t="str">
        <f>IF([2]回答表!X47="●",[2]回答表!B368,IF([2]回答表!AA47="●",[2]回答表!B385,""))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IF([2]回答表!X47="●",[2]回答表!E368,IF([2]回答表!AA47="●",[2]回答表!E385,""))</f>
        <v/>
      </c>
      <c r="BG227" s="84"/>
      <c r="BH227" s="84"/>
      <c r="BI227" s="84"/>
      <c r="BJ227" s="83" t="str">
        <f>IF([2]回答表!X47="●",[2]回答表!E369,IF([2]回答表!AA47="●",[2]回答表!E386,""))</f>
        <v/>
      </c>
      <c r="BK227" s="84"/>
      <c r="BL227" s="84"/>
      <c r="BM227" s="87"/>
      <c r="BN227" s="83" t="str">
        <f>IF([2]回答表!X47="●",[2]回答表!E370,IF([2]回答表!AA47="●",[2]回答表!E387,""))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IF([2]回答表!AA47="●","●","")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IF([2]回答表!AD47="●","●","")</f>
        <v/>
      </c>
      <c r="O236" s="99"/>
      <c r="P236" s="99"/>
      <c r="Q236" s="100"/>
      <c r="R236" s="38"/>
      <c r="S236" s="38"/>
      <c r="T236" s="38"/>
      <c r="U236" s="107" t="str">
        <f>IF([2]回答表!AD47="●",[2]回答表!B392,"")</f>
        <v/>
      </c>
      <c r="V236" s="108"/>
      <c r="W236" s="108"/>
      <c r="X236" s="108"/>
      <c r="Y236" s="108"/>
      <c r="Z236" s="108"/>
      <c r="AA236" s="108"/>
      <c r="AB236" s="108"/>
      <c r="AC236" s="108"/>
      <c r="AD236" s="108"/>
      <c r="AE236" s="108"/>
      <c r="AF236" s="108"/>
      <c r="AG236" s="108"/>
      <c r="AH236" s="108"/>
      <c r="AI236" s="108"/>
      <c r="AJ236" s="109"/>
      <c r="AK236" s="62"/>
      <c r="AL236" s="62"/>
      <c r="AM236" s="107" t="str">
        <f>IF([2]回答表!AD47="●",[2]回答表!B398,"")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IF([2]回答表!X48="●","●","")</f>
        <v/>
      </c>
      <c r="O248" s="99"/>
      <c r="P248" s="99"/>
      <c r="Q248" s="100"/>
      <c r="R248" s="38"/>
      <c r="S248" s="38"/>
      <c r="T248" s="38"/>
      <c r="U248" s="107" t="str">
        <f>IF([2]回答表!X48="●",[2]回答表!B411,IF([2]回答表!AA48="●",[2]回答表!B425,""))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IF([2]回答表!X48="●",[2]回答表!BC418,IF([2]回答表!AA48="●",[2]回答表!BC432,""))</f>
        <v/>
      </c>
      <c r="AR248" s="151"/>
      <c r="AS248" s="151"/>
      <c r="AT248" s="151"/>
      <c r="AU248" s="173" t="s">
        <v>73</v>
      </c>
      <c r="AV248" s="174"/>
      <c r="AW248" s="174"/>
      <c r="AX248" s="175"/>
      <c r="AY248" s="151" t="str">
        <f>IF([2]回答表!X48="●",[2]回答表!BC423,IF([2]回答表!AA48="●",[2]回答表!BC437,""))</f>
        <v/>
      </c>
      <c r="AZ248" s="151"/>
      <c r="BA248" s="151"/>
      <c r="BB248" s="151"/>
      <c r="BC248" s="39"/>
      <c r="BD248" s="34"/>
      <c r="BE248" s="34"/>
      <c r="BF248" s="116" t="str">
        <f>IF([2]回答表!X48="●",[2]回答表!S417,IF([2]回答表!AA48="●",[2]回答表!S431,""))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IF([2]回答表!X48="●",[2]回答表!BC419,IF([2]回答表!AA48="●",[2]回答表!BC433,""))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IF([2]回答表!X48="●",[2]回答表!V417,IF([2]回答表!AA48="●",[2]回答表!V431,""))</f>
        <v/>
      </c>
      <c r="BG251" s="84"/>
      <c r="BH251" s="84"/>
      <c r="BI251" s="84"/>
      <c r="BJ251" s="83" t="str">
        <f>IF([2]回答表!X48="●",[2]回答表!V418,IF([2]回答表!AA48="●",[2]回答表!V432,""))</f>
        <v/>
      </c>
      <c r="BK251" s="84"/>
      <c r="BL251" s="84"/>
      <c r="BM251" s="87"/>
      <c r="BN251" s="83" t="str">
        <f>IF([2]回答表!X48="●",[2]回答表!V419,IF([2]回答表!AA48="●",[2]回答表!V433,""))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IF([2]回答表!X48="●",[2]回答表!BC420,IF([2]回答表!AA48="●",[2]回答表!BC434,""))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IF([2]回答表!X48="●",[2]回答表!BC424,IF([2]回答表!AA48="●",[2]回答表!BC438,""))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IF([2]回答表!AA48="●","●","")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IF([2]回答表!X48="●",[2]回答表!BC421,IF([2]回答表!AA48="●",[2]回答表!BC435,""))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IF([2]回答表!X48="●",[2]回答表!BC422,IF([2]回答表!AA48="●",[2]回答表!BC436,""))</f>
        <v/>
      </c>
      <c r="AR256" s="151"/>
      <c r="AS256" s="151"/>
      <c r="AT256" s="151"/>
      <c r="AU256" s="152" t="s">
        <v>79</v>
      </c>
      <c r="AV256" s="153"/>
      <c r="AW256" s="153"/>
      <c r="AX256" s="154"/>
      <c r="AY256" s="158" t="str">
        <f>IF([2]回答表!X48="●",[2]回答表!BC425,IF([2]回答表!AA48="●",[2]回答表!BC439,""))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IF([2]回答表!AD48="●","●","")</f>
        <v/>
      </c>
      <c r="O260" s="99"/>
      <c r="P260" s="99"/>
      <c r="Q260" s="100"/>
      <c r="R260" s="38"/>
      <c r="S260" s="38"/>
      <c r="T260" s="38"/>
      <c r="U260" s="107" t="str">
        <f>IF([2]回答表!AD48="●",[2]回答表!B439,"")</f>
        <v/>
      </c>
      <c r="V260" s="108"/>
      <c r="W260" s="108"/>
      <c r="X260" s="108"/>
      <c r="Y260" s="108"/>
      <c r="Z260" s="108"/>
      <c r="AA260" s="108"/>
      <c r="AB260" s="108"/>
      <c r="AC260" s="108"/>
      <c r="AD260" s="108"/>
      <c r="AE260" s="108"/>
      <c r="AF260" s="108"/>
      <c r="AG260" s="108"/>
      <c r="AH260" s="108"/>
      <c r="AI260" s="108"/>
      <c r="AJ260" s="109"/>
      <c r="AK260" s="55"/>
      <c r="AL260" s="55"/>
      <c r="AM260" s="107" t="str">
        <f>IF([2]回答表!AD48="●",[2]回答表!B445,"")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IF([2]回答表!X49="●","●","")</f>
        <v/>
      </c>
      <c r="O271" s="99"/>
      <c r="P271" s="99"/>
      <c r="Q271" s="100"/>
      <c r="R271" s="38"/>
      <c r="S271" s="38"/>
      <c r="T271" s="38"/>
      <c r="U271" s="107" t="str">
        <f>IF([2]回答表!X49="●",[2]回答表!B458,IF([2]回答表!AA49="●",[2]回答表!B475,""))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IF([2]回答表!X49="●",[2]回答表!B468,IF([2]回答表!AA49="●",[2]回答表!B485,""))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IF([2]回答表!X49="●",[2]回答表!G464,IF([2]回答表!AA49="●",[2]回答表!G481,""))</f>
        <v/>
      </c>
      <c r="AN273" s="120"/>
      <c r="AO273" s="120"/>
      <c r="AP273" s="120"/>
      <c r="AQ273" s="120"/>
      <c r="AR273" s="120"/>
      <c r="AS273" s="120"/>
      <c r="AT273" s="121"/>
      <c r="AU273" s="119" t="str">
        <f>IF([2]回答表!X49="●",[2]回答表!G465,IF([2]回答表!AA49="●",[2]回答表!G482,""))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IF([2]回答表!X49="●",[2]回答表!E468,IF([2]回答表!AA49="●",[2]回答表!E485,""))</f>
        <v/>
      </c>
      <c r="BG274" s="84"/>
      <c r="BH274" s="84"/>
      <c r="BI274" s="84"/>
      <c r="BJ274" s="83" t="str">
        <f>IF([2]回答表!X49="●",[2]回答表!E469,IF([2]回答表!AA49="●",[2]回答表!E486,""))</f>
        <v/>
      </c>
      <c r="BK274" s="84"/>
      <c r="BL274" s="84"/>
      <c r="BM274" s="87"/>
      <c r="BN274" s="83" t="str">
        <f>IF([2]回答表!X49="●",[2]回答表!E470,IF([2]回答表!AA49="●",[2]回答表!E487,""))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IF([2]回答表!AA49="●","●","")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IF([2]回答表!AD49="●","●","")</f>
        <v/>
      </c>
      <c r="O283" s="99"/>
      <c r="P283" s="99"/>
      <c r="Q283" s="100"/>
      <c r="R283" s="38"/>
      <c r="S283" s="38"/>
      <c r="T283" s="38"/>
      <c r="U283" s="107" t="str">
        <f>IF([2]回答表!AD49="●",[2]回答表!B492,"")</f>
        <v/>
      </c>
      <c r="V283" s="108"/>
      <c r="W283" s="108"/>
      <c r="X283" s="108"/>
      <c r="Y283" s="108"/>
      <c r="Z283" s="108"/>
      <c r="AA283" s="108"/>
      <c r="AB283" s="108"/>
      <c r="AC283" s="108"/>
      <c r="AD283" s="108"/>
      <c r="AE283" s="108"/>
      <c r="AF283" s="108"/>
      <c r="AG283" s="108"/>
      <c r="AH283" s="108"/>
      <c r="AI283" s="108"/>
      <c r="AJ283" s="109"/>
      <c r="AK283" s="49"/>
      <c r="AL283" s="49"/>
      <c r="AM283" s="107" t="str">
        <f>IF([2]回答表!AD49="●",[2]回答表!B498,"")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IF([2]回答表!R50="●",[2]回答表!B511,"")</f>
        <v>平成２７年度策定の能代市生活排水処理整備構想に基づき整備を進めるとともに、適正な維持管理に努め、浄化槽の長寿命化を図り、経費の削減に努める。なお、令和６年４月１日に法適用事業へ移行するべく準備を進めているところである。</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2248-CBAB-4C18-98DB-413B06CEC84F}">
  <sheetPr>
    <pageSetUpPr fitToPage="1"/>
  </sheetPr>
  <dimension ref="A1:CN315"/>
  <sheetViews>
    <sheetView showZeros="0" view="pageBreakPreview" zoomScale="60" zoomScaleNormal="55" workbookViewId="0">
      <selection activeCell="AO43" sqref="AO43:BB4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IF(COUNTIF([4]回答表!K15,"*")&gt;0,[4]回答表!K15,"")</f>
        <v>能代市</v>
      </c>
      <c r="D11" s="299"/>
      <c r="E11" s="299"/>
      <c r="F11" s="299"/>
      <c r="G11" s="299"/>
      <c r="H11" s="299"/>
      <c r="I11" s="299"/>
      <c r="J11" s="299"/>
      <c r="K11" s="299"/>
      <c r="L11" s="299"/>
      <c r="M11" s="299"/>
      <c r="N11" s="299"/>
      <c r="O11" s="299"/>
      <c r="P11" s="299"/>
      <c r="Q11" s="299"/>
      <c r="R11" s="299"/>
      <c r="S11" s="299"/>
      <c r="T11" s="299"/>
      <c r="U11" s="306" t="str">
        <f>IF(COUNTIF([4]回答表!F17,"*")&gt;0,[4]回答表!F17,"")</f>
        <v>介護サービス事業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IF(COUNTIF([4]回答表!W17,"*")&gt;0,[4]回答表!W17,"")</f>
        <v>老人デイサービスセンター</v>
      </c>
      <c r="AP11" s="301"/>
      <c r="AQ11" s="301"/>
      <c r="AR11" s="301"/>
      <c r="AS11" s="301"/>
      <c r="AT11" s="301"/>
      <c r="AU11" s="301"/>
      <c r="AV11" s="301"/>
      <c r="AW11" s="301"/>
      <c r="AX11" s="301"/>
      <c r="AY11" s="301"/>
      <c r="AZ11" s="301"/>
      <c r="BA11" s="301"/>
      <c r="BB11" s="301"/>
      <c r="BC11" s="301"/>
      <c r="BD11" s="301"/>
      <c r="BE11" s="301"/>
      <c r="BF11" s="302"/>
      <c r="BG11" s="305" t="str">
        <f>IF(COUNTIF([4]回答表!F19,"*")&gt;0,[4]回答表!F19,"")</f>
        <v>介護保険特別会計</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IF([4]回答表!R43="●","●","")</f>
        <v/>
      </c>
      <c r="E24" s="123"/>
      <c r="F24" s="123"/>
      <c r="G24" s="123"/>
      <c r="H24" s="123"/>
      <c r="I24" s="123"/>
      <c r="J24" s="124"/>
      <c r="K24" s="122" t="str">
        <f>IF([4]回答表!R44="●","●","")</f>
        <v/>
      </c>
      <c r="L24" s="123"/>
      <c r="M24" s="123"/>
      <c r="N24" s="123"/>
      <c r="O24" s="123"/>
      <c r="P24" s="123"/>
      <c r="Q24" s="124"/>
      <c r="R24" s="122" t="str">
        <f>IF([4]回答表!R45="●","●","")</f>
        <v/>
      </c>
      <c r="S24" s="123"/>
      <c r="T24" s="123"/>
      <c r="U24" s="123"/>
      <c r="V24" s="123"/>
      <c r="W24" s="123"/>
      <c r="X24" s="124"/>
      <c r="Y24" s="122" t="str">
        <f>IF([4]回答表!R46="●","●","")</f>
        <v>●</v>
      </c>
      <c r="Z24" s="123"/>
      <c r="AA24" s="123"/>
      <c r="AB24" s="123"/>
      <c r="AC24" s="123"/>
      <c r="AD24" s="123"/>
      <c r="AE24" s="124"/>
      <c r="AF24" s="122" t="str">
        <f>IF([4]回答表!R47="●","●","")</f>
        <v/>
      </c>
      <c r="AG24" s="123"/>
      <c r="AH24" s="123"/>
      <c r="AI24" s="123"/>
      <c r="AJ24" s="123"/>
      <c r="AK24" s="123"/>
      <c r="AL24" s="124"/>
      <c r="AM24" s="122" t="str">
        <f>IF([4]回答表!R48="●","●","")</f>
        <v/>
      </c>
      <c r="AN24" s="123"/>
      <c r="AO24" s="123"/>
      <c r="AP24" s="123"/>
      <c r="AQ24" s="123"/>
      <c r="AR24" s="123"/>
      <c r="AS24" s="124"/>
      <c r="AT24" s="122" t="str">
        <f>IF([4]回答表!R49="●","●","")</f>
        <v/>
      </c>
      <c r="AU24" s="123"/>
      <c r="AV24" s="123"/>
      <c r="AW24" s="123"/>
      <c r="AX24" s="123"/>
      <c r="AY24" s="123"/>
      <c r="AZ24" s="124"/>
      <c r="BA24" s="18"/>
      <c r="BB24" s="119" t="str">
        <f>IF([4]回答表!R50="●","●","")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IF([4]回答表!X43="●","●","")</f>
        <v/>
      </c>
      <c r="O36" s="99"/>
      <c r="P36" s="99"/>
      <c r="Q36" s="100"/>
      <c r="R36" s="38"/>
      <c r="S36" s="38"/>
      <c r="T36" s="38"/>
      <c r="U36" s="107" t="str">
        <f>IF([4]回答表!X43="●",[4]回答表!B59,IF([4]回答表!AA43="●",[4]回答表!B79,""))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IF([4]回答表!X43="●",[4]回答表!S65,IF([4]回答表!AA43="●",[4]回答表!S85,""))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IF([4]回答表!X43="●",[4]回答表!G65,IF([4]回答表!AA43="●",[4]回答表!G85,""))</f>
        <v/>
      </c>
      <c r="AN38" s="120"/>
      <c r="AO38" s="120"/>
      <c r="AP38" s="120"/>
      <c r="AQ38" s="120"/>
      <c r="AR38" s="120"/>
      <c r="AS38" s="120"/>
      <c r="AT38" s="121"/>
      <c r="AU38" s="119" t="str">
        <f>IF([4]回答表!X43="●",[4]回答表!G66,IF([4]回答表!AA43="●",[4]回答表!G86,""))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IF([4]回答表!X43="●",[4]回答表!V65,IF([4]回答表!AA43="●",[4]回答表!V85,""))</f>
        <v/>
      </c>
      <c r="BG39" s="249"/>
      <c r="BH39" s="249"/>
      <c r="BI39" s="250"/>
      <c r="BJ39" s="83" t="str">
        <f>IF([4]回答表!X43="●",[4]回答表!V66,IF([4]回答表!AA43="●",[4]回答表!V86,""))</f>
        <v/>
      </c>
      <c r="BK39" s="249"/>
      <c r="BL39" s="249"/>
      <c r="BM39" s="250"/>
      <c r="BN39" s="83" t="str">
        <f>IF([4]回答表!X43="●",[4]回答表!V67,IF([4]回答表!AA43="●",[4]回答表!V87,""))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IF([4]回答表!X43="●",[4]回答表!O71,IF([4]回答表!AA43="●",[4]回答表!O91,""))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IF([4]回答表!X43="●",[4]回答表!O72,IF([4]回答表!AA43="●",[4]回答表!O92,""))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IF([4]回答表!AA43="●","●","")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IF([4]回答表!X43="●",[4]回答表!O73,IF([4]回答表!AA43="●",[4]回答表!O93,""))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IF([4]回答表!X43="●",[4]回答表!O74,IF([4]回答表!AA43="●",[4]回答表!O94,""))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IF([4]回答表!X43="●",[4]回答表!AG71,IF([4]回答表!AA43="●",[4]回答表!AG91,""))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IF([4]回答表!X43="●",[4]回答表!AG72,IF([4]回答表!AA43="●",[4]回答表!AG92,""))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IF([4]回答表!AD43="●","●","")</f>
        <v/>
      </c>
      <c r="O51" s="99"/>
      <c r="P51" s="99"/>
      <c r="Q51" s="100"/>
      <c r="R51" s="38"/>
      <c r="S51" s="38"/>
      <c r="T51" s="38"/>
      <c r="U51" s="107" t="str">
        <f>IF([4]回答表!AD43="●",[4]回答表!B99,"")</f>
        <v/>
      </c>
      <c r="V51" s="108"/>
      <c r="W51" s="108"/>
      <c r="X51" s="108"/>
      <c r="Y51" s="108"/>
      <c r="Z51" s="108"/>
      <c r="AA51" s="108"/>
      <c r="AB51" s="108"/>
      <c r="AC51" s="108"/>
      <c r="AD51" s="108"/>
      <c r="AE51" s="108"/>
      <c r="AF51" s="108"/>
      <c r="AG51" s="108"/>
      <c r="AH51" s="108"/>
      <c r="AI51" s="108"/>
      <c r="AJ51" s="109"/>
      <c r="AK51" s="55"/>
      <c r="AL51" s="55"/>
      <c r="AM51" s="107" t="str">
        <f>IF([4]回答表!AD43="●",[4]回答表!B104,"")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IF([4]回答表!X44="●","●","")</f>
        <v/>
      </c>
      <c r="O62" s="99"/>
      <c r="P62" s="99"/>
      <c r="Q62" s="100"/>
      <c r="R62" s="38"/>
      <c r="S62" s="38"/>
      <c r="T62" s="38"/>
      <c r="U62" s="107" t="str">
        <f>IF([4]回答表!X44="●",[4]回答表!B115,IF([4]回答表!AA44="●",[4]回答表!B127,""))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IF([4]回答表!X44="●",[4]回答表!S121,IF([4]回答表!AA44="●",[4]回答表!S133,""))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IF([4]回答表!X44="●",[4]回答表!J121,IF([4]回答表!AA44="●",[4]回答表!J133,""))</f>
        <v/>
      </c>
      <c r="AN65" s="120"/>
      <c r="AO65" s="120"/>
      <c r="AP65" s="120"/>
      <c r="AQ65" s="120"/>
      <c r="AR65" s="120"/>
      <c r="AS65" s="120"/>
      <c r="AT65" s="121"/>
      <c r="AU65" s="119" t="str">
        <f>IF([4]回答表!X44="●",[4]回答表!J122,IF([4]回答表!AA44="●",[4]回答表!J134,""))</f>
        <v/>
      </c>
      <c r="AV65" s="120"/>
      <c r="AW65" s="120"/>
      <c r="AX65" s="120"/>
      <c r="AY65" s="120"/>
      <c r="AZ65" s="120"/>
      <c r="BA65" s="120"/>
      <c r="BB65" s="121"/>
      <c r="BC65" s="39"/>
      <c r="BD65" s="34"/>
      <c r="BE65" s="34"/>
      <c r="BF65" s="83" t="str">
        <f>IF([4]回答表!X44="●",[4]回答表!V121,IF([4]回答表!AA44="●",[4]回答表!V133,""))</f>
        <v/>
      </c>
      <c r="BG65" s="84"/>
      <c r="BH65" s="84"/>
      <c r="BI65" s="84"/>
      <c r="BJ65" s="83" t="str">
        <f>IF([4]回答表!X44="●",[4]回答表!V122,IF([4]回答表!AA44="●",[4]回答表!V134,""))</f>
        <v/>
      </c>
      <c r="BK65" s="84"/>
      <c r="BL65" s="84"/>
      <c r="BM65" s="84"/>
      <c r="BN65" s="83" t="str">
        <f>IF([4]回答表!X44="●",[4]回答表!V123,IF([4]回答表!AA44="●",[4]回答表!V135,""))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IF([4]回答表!AA44="●","●","")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IF([4]回答表!AD44="●","●","")</f>
        <v/>
      </c>
      <c r="O74" s="99"/>
      <c r="P74" s="99"/>
      <c r="Q74" s="100"/>
      <c r="R74" s="38"/>
      <c r="S74" s="38"/>
      <c r="T74" s="38"/>
      <c r="U74" s="107" t="str">
        <f>IF([4]回答表!AD44="●",[4]回答表!B140,"")</f>
        <v/>
      </c>
      <c r="V74" s="108"/>
      <c r="W74" s="108"/>
      <c r="X74" s="108"/>
      <c r="Y74" s="108"/>
      <c r="Z74" s="108"/>
      <c r="AA74" s="108"/>
      <c r="AB74" s="108"/>
      <c r="AC74" s="108"/>
      <c r="AD74" s="108"/>
      <c r="AE74" s="108"/>
      <c r="AF74" s="108"/>
      <c r="AG74" s="108"/>
      <c r="AH74" s="108"/>
      <c r="AI74" s="108"/>
      <c r="AJ74" s="109"/>
      <c r="AK74" s="55"/>
      <c r="AL74" s="55"/>
      <c r="AM74" s="107" t="str">
        <f>IF([4]回答表!AD44="●",[4]回答表!B146,"")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IF([4]回答表!F17="水道事業",IF([4]回答表!X45="●","●",""),"")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IF([4]回答表!F17="水道事業",IF([4]回答表!X45="●",[4]回答表!B158,IF([4]回答表!AA45="●",[4]回答表!B223,"")),"")</f>
        <v/>
      </c>
      <c r="AN86" s="212"/>
      <c r="AO86" s="212"/>
      <c r="AP86" s="212"/>
      <c r="AQ86" s="212"/>
      <c r="AR86" s="212"/>
      <c r="AS86" s="212"/>
      <c r="AT86" s="212"/>
      <c r="AU86" s="212"/>
      <c r="AV86" s="212"/>
      <c r="AW86" s="212"/>
      <c r="AX86" s="212"/>
      <c r="AY86" s="212"/>
      <c r="AZ86" s="212"/>
      <c r="BA86" s="212"/>
      <c r="BB86" s="212"/>
      <c r="BC86" s="213"/>
      <c r="BD86" s="34"/>
      <c r="BE86" s="34"/>
      <c r="BF86" s="116" t="str">
        <f>IF([4]回答表!F17="水道事業",IF([4]回答表!X45="●",[4]回答表!B212,IF([4]回答表!AA45="●",[4]回答表!B278,"")),"")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IF([4]回答表!F17="水道事業",IF([4]回答表!X45="●",[4]回答表!J166,IF([4]回答表!AA45="●",[4]回答表!J231,"")),"")</f>
        <v/>
      </c>
      <c r="V88" s="120"/>
      <c r="W88" s="120"/>
      <c r="X88" s="120"/>
      <c r="Y88" s="120"/>
      <c r="Z88" s="120"/>
      <c r="AA88" s="120"/>
      <c r="AB88" s="121"/>
      <c r="AC88" s="119" t="str">
        <f>IF([4]回答表!F17="水道事業",IF([4]回答表!X45="●",[4]回答表!J173,IF([4]回答表!AA45="●",[4]回答表!J238,"")),"")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IF([4]回答表!F17="水道事業",IF([4]回答表!X45="●",[4]回答表!E212,IF([4]回答表!AA45="●",[4]回答表!E278,"")),"")</f>
        <v/>
      </c>
      <c r="BG89" s="84"/>
      <c r="BH89" s="84"/>
      <c r="BI89" s="84"/>
      <c r="BJ89" s="83" t="str">
        <f>IF([4]回答表!F17="水道事業",IF([4]回答表!X45="●",[4]回答表!E213,IF([4]回答表!AA45="●",[4]回答表!E279,"")),"")</f>
        <v/>
      </c>
      <c r="BK89" s="84"/>
      <c r="BL89" s="84"/>
      <c r="BM89" s="84"/>
      <c r="BN89" s="83" t="str">
        <f>IF([4]回答表!F17="水道事業",IF([4]回答表!X45="●",[4]回答表!E214,IF([4]回答表!AA45="●",[4]回答表!E280,"")),"")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IF([4]回答表!F17="水道事業",IF([4]回答表!AA45="●","●",""),"")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IF([4]回答表!F17="水道事業",IF([4]回答表!X45="●",[4]回答表!J176,IF([4]回答表!AA45="●",[4]回答表!J241,"")),"")</f>
        <v/>
      </c>
      <c r="V93" s="120"/>
      <c r="W93" s="120"/>
      <c r="X93" s="120"/>
      <c r="Y93" s="120"/>
      <c r="Z93" s="120"/>
      <c r="AA93" s="120"/>
      <c r="AB93" s="121"/>
      <c r="AC93" s="119" t="str">
        <f>IF([4]回答表!F17="水道事業",IF([4]回答表!X45="●",[4]回答表!J180,IF([4]回答表!AA45="●",[4]回答表!J245,"")),"")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IF([4]回答表!F17="水道事業",IF([4]回答表!AD45="○","○",""),"")</f>
        <v/>
      </c>
      <c r="O98" s="99"/>
      <c r="P98" s="99"/>
      <c r="Q98" s="100"/>
      <c r="R98" s="38"/>
      <c r="S98" s="38"/>
      <c r="T98" s="38"/>
      <c r="U98" s="107" t="str">
        <f>IF([4]回答表!F17="水道事業",IF([4]回答表!AD45="●",[4]回答表!B289,""),"")</f>
        <v/>
      </c>
      <c r="V98" s="108"/>
      <c r="W98" s="108"/>
      <c r="X98" s="108"/>
      <c r="Y98" s="108"/>
      <c r="Z98" s="108"/>
      <c r="AA98" s="108"/>
      <c r="AB98" s="108"/>
      <c r="AC98" s="108"/>
      <c r="AD98" s="108"/>
      <c r="AE98" s="108"/>
      <c r="AF98" s="108"/>
      <c r="AG98" s="108"/>
      <c r="AH98" s="108"/>
      <c r="AI98" s="108"/>
      <c r="AJ98" s="109"/>
      <c r="AK98" s="55"/>
      <c r="AL98" s="55"/>
      <c r="AM98" s="107" t="str">
        <f>IF([4]回答表!F17="水道事業",IF([4]回答表!AD45="●",[4]回答表!B295,""),"")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IF([4]回答表!F17="簡易水道事業",IF([4]回答表!X45="●",[4]回答表!B158,IF([4]回答表!AA45="●",[4]回答表!B223,"")),"")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IF([4]回答表!F17="簡易水道事業",IF([4]回答表!X45="●",[4]回答表!B212,IF([4]回答表!AA45="●",[4]回答表!B278,"")),"")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IF([4]回答表!F17="簡易水道事業",IF([4]回答表!X45="●","●",""),"")</f>
        <v/>
      </c>
      <c r="O112" s="99"/>
      <c r="P112" s="99"/>
      <c r="Q112" s="100"/>
      <c r="R112" s="38"/>
      <c r="S112" s="38"/>
      <c r="T112" s="38"/>
      <c r="U112" s="119" t="str">
        <f>IF([4]回答表!F17="簡易水道事業",IF([4]回答表!X45="●",[4]回答表!Y185,IF([4]回答表!AA45="●",[4]回答表!Y251,"")),"")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IF([4]回答表!F17="簡易水道事業",IF([4]回答表!X45="●",[4]回答表!E212,IF([4]回答表!AA45="●",[4]回答表!E278,"")),"")</f>
        <v/>
      </c>
      <c r="BG113" s="84"/>
      <c r="BH113" s="84"/>
      <c r="BI113" s="84"/>
      <c r="BJ113" s="83" t="str">
        <f>IF([4]回答表!F17="簡易水道事業",IF([4]回答表!X45="●",[4]回答表!E213,IF([4]回答表!AA45="●",[4]回答表!E279,"")),"")</f>
        <v/>
      </c>
      <c r="BK113" s="84"/>
      <c r="BL113" s="84"/>
      <c r="BM113" s="84"/>
      <c r="BN113" s="83" t="str">
        <f>IF([4]回答表!F17="簡易水道事業",IF([4]回答表!X45="●",[4]回答表!E214,IF([4]回答表!AA45="●",[4]回答表!E280,"")),"")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IF([4]回答表!F17="簡易水道事業",IF([4]回答表!X45="●",[4]回答表!Y186,IF([4]回答表!AA45="●",[4]回答表!Y252,"")),"")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IF([4]回答表!F17="簡易水道事業",IF([4]回答表!AA45="●","●",""),"")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IF([4]回答表!F17="簡易水道事業",IF([4]回答表!X45="●",[4]回答表!Y187,IF([4]回答表!AA45="●",[4]回答表!Y253,"")),"")</f>
        <v/>
      </c>
      <c r="V122" s="120"/>
      <c r="W122" s="120"/>
      <c r="X122" s="120"/>
      <c r="Y122" s="120"/>
      <c r="Z122" s="120"/>
      <c r="AA122" s="120"/>
      <c r="AB122" s="120"/>
      <c r="AC122" s="120"/>
      <c r="AD122" s="120"/>
      <c r="AE122" s="120"/>
      <c r="AF122" s="120"/>
      <c r="AG122" s="120"/>
      <c r="AH122" s="120"/>
      <c r="AI122" s="120"/>
      <c r="AJ122" s="121"/>
      <c r="AK122" s="18"/>
      <c r="AL122" s="18"/>
      <c r="AM122" s="228" t="str">
        <f>IF([4]回答表!F17="簡易水道事業",IF([4]回答表!X45="●",[4]回答表!Y189,IF([4]回答表!AA45="●",[4]回答表!Y255,"")),"")</f>
        <v/>
      </c>
      <c r="AN122" s="228"/>
      <c r="AO122" s="228"/>
      <c r="AP122" s="228"/>
      <c r="AQ122" s="228"/>
      <c r="AR122" s="228"/>
      <c r="AS122" s="228" t="str">
        <f>IF([4]回答表!F17="簡易水道事業",IF([4]回答表!X45="●",[4]回答表!Y190,IF([4]回答表!AA45="●",[4]回答表!Y256,"")),"")</f>
        <v/>
      </c>
      <c r="AT122" s="228"/>
      <c r="AU122" s="228"/>
      <c r="AV122" s="228"/>
      <c r="AW122" s="228"/>
      <c r="AX122" s="228"/>
      <c r="AY122" s="228" t="str">
        <f>IF([4]回答表!F17="簡易水道事業",IF([4]回答表!X45="●",[4]回答表!Y191,IF([4]回答表!AA45="●",[4]回答表!Y257,"")),"")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IF([4]回答表!F17="簡易水道事業",IF([4]回答表!AD45="●","●",""),"")</f>
        <v/>
      </c>
      <c r="O127" s="99"/>
      <c r="P127" s="99"/>
      <c r="Q127" s="100"/>
      <c r="R127" s="38"/>
      <c r="S127" s="38"/>
      <c r="T127" s="38"/>
      <c r="U127" s="107" t="str">
        <f>IF([4]回答表!F17="簡易水道事業",IF([4]回答表!AD45="●",[4]回答表!B289,""),"")</f>
        <v/>
      </c>
      <c r="V127" s="108"/>
      <c r="W127" s="108"/>
      <c r="X127" s="108"/>
      <c r="Y127" s="108"/>
      <c r="Z127" s="108"/>
      <c r="AA127" s="108"/>
      <c r="AB127" s="108"/>
      <c r="AC127" s="108"/>
      <c r="AD127" s="108"/>
      <c r="AE127" s="108"/>
      <c r="AF127" s="108"/>
      <c r="AG127" s="108"/>
      <c r="AH127" s="108"/>
      <c r="AI127" s="108"/>
      <c r="AJ127" s="109"/>
      <c r="AK127" s="55"/>
      <c r="AL127" s="55"/>
      <c r="AM127" s="107" t="str">
        <f>IF([4]回答表!F17="簡易水道事業",IF([4]回答表!AD45="●",[4]回答表!B295,""),"")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IF([4]回答表!F17="下水道事業",IF([4]回答表!X45="●","●",""),"")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IF([4]回答表!F17="下水道事業",IF([4]回答表!X45="●",[4]回答表!B158,IF([4]回答表!AA45="●",[4]回答表!B223,"")),"")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IF([4]回答表!F17="下水道事業",IF([4]回答表!X45="●",[4]回答表!B212,IF([4]回答表!AA45="●",[4]回答表!B278,"")),"")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IF([4]回答表!F17="下水道事業",IF([4]回答表!X45="●",[4]回答表!Y193,IF([4]回答表!AA45="●",[4]回答表!Y259,"")),"")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IF([4]回答表!F17="下水道事業",IF([4]回答表!X45="●",[4]回答表!E212,IF([4]回答表!AA45="●",[4]回答表!E278,"")),"")</f>
        <v/>
      </c>
      <c r="BG142" s="84"/>
      <c r="BH142" s="84"/>
      <c r="BI142" s="84"/>
      <c r="BJ142" s="83" t="str">
        <f>IF([4]回答表!F17="下水道事業",IF([4]回答表!X45="●",[4]回答表!E213,IF([4]回答表!AA45="●",[4]回答表!E279,"")),"")</f>
        <v/>
      </c>
      <c r="BK142" s="84"/>
      <c r="BL142" s="84"/>
      <c r="BM142" s="84"/>
      <c r="BN142" s="83" t="str">
        <f>IF([4]回答表!F17="下水道事業",IF([4]回答表!X45="●",[4]回答表!E214,IF([4]回答表!AA45="●",[4]回答表!E280,"")),"")</f>
        <v/>
      </c>
      <c r="BO142" s="84"/>
      <c r="BP142" s="84"/>
      <c r="BQ142" s="87"/>
      <c r="BR142" s="37"/>
      <c r="BX142" s="211" t="str">
        <f>IF([4]回答表!AQ20="下水道事業",IF([4]回答表!BI48="○",[4]回答表!AM161,IF([4]回答表!BL48="○",[4]回答表!AM226,"")),"")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IF([4]回答表!F17="下水道事業",IF([4]回答表!X45="●",[4]回答表!Y195,IF([4]回答表!AA45="●",[4]回答表!Y261,"")),"")</f>
        <v/>
      </c>
      <c r="V147" s="120"/>
      <c r="W147" s="120"/>
      <c r="X147" s="120"/>
      <c r="Y147" s="120"/>
      <c r="Z147" s="120"/>
      <c r="AA147" s="120"/>
      <c r="AB147" s="121"/>
      <c r="AC147" s="119" t="str">
        <f>IF([4]回答表!F17="下水道事業",IF([4]回答表!X45="●",[4]回答表!Y196,IF([4]回答表!AA45="●",[4]回答表!Y262,"")),"")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IF([4]回答表!F17="下水道事業",IF([4]回答表!X45="●",[4]回答表!Y198,IF([4]回答表!AA45="●",[4]回答表!Y264,"")),"")</f>
        <v/>
      </c>
      <c r="V153" s="120"/>
      <c r="W153" s="120"/>
      <c r="X153" s="120"/>
      <c r="Y153" s="120"/>
      <c r="Z153" s="120"/>
      <c r="AA153" s="120"/>
      <c r="AB153" s="121"/>
      <c r="AC153" s="119" t="str">
        <f>IF([4]回答表!F17="下水道事業",IF([4]回答表!X45="●",[4]回答表!Y199,IF([4]回答表!AA45="●",[4]回答表!Y265,"")),"")</f>
        <v/>
      </c>
      <c r="AD153" s="120"/>
      <c r="AE153" s="120"/>
      <c r="AF153" s="120"/>
      <c r="AG153" s="120"/>
      <c r="AH153" s="120"/>
      <c r="AI153" s="120"/>
      <c r="AJ153" s="121"/>
      <c r="AK153" s="119" t="str">
        <f>IF([4]回答表!F17="下水道事業",IF([4]回答表!X45="●",[4]回答表!Y200,IF([4]回答表!AA45="●",[4]回答表!Y266,"")),"")</f>
        <v/>
      </c>
      <c r="AL153" s="120"/>
      <c r="AM153" s="120"/>
      <c r="AN153" s="120"/>
      <c r="AO153" s="120"/>
      <c r="AP153" s="120"/>
      <c r="AQ153" s="120"/>
      <c r="AR153" s="121"/>
      <c r="AS153" s="119" t="str">
        <f>IF([4]回答表!F17="下水道事業",IF([4]回答表!X45="●",[4]回答表!Y201,IF([4]回答表!AA45="●",[4]回答表!Y267,"")),"")</f>
        <v/>
      </c>
      <c r="AT153" s="120"/>
      <c r="AU153" s="120"/>
      <c r="AV153" s="120"/>
      <c r="AW153" s="120"/>
      <c r="AX153" s="120"/>
      <c r="AY153" s="120"/>
      <c r="AZ153" s="121"/>
      <c r="BA153" s="119" t="str">
        <f>IF([4]回答表!F17="下水道事業",IF([4]回答表!X45="●",[4]回答表!Y202,IF([4]回答表!AA45="●",[4]回答表!Y268,"")),"")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IF([4]回答表!F17="下水道事業",IF([4]回答表!AA45="●","●",""),"")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IF([4]回答表!F17="下水道事業",IF([4]回答表!X45="●",[4]回答表!Y207,IF([4]回答表!AA45="●",[4]回答表!Y273,"")),"")</f>
        <v/>
      </c>
      <c r="V159" s="120"/>
      <c r="W159" s="120"/>
      <c r="X159" s="120"/>
      <c r="Y159" s="120"/>
      <c r="Z159" s="120"/>
      <c r="AA159" s="120"/>
      <c r="AB159" s="121"/>
      <c r="AC159" s="119" t="str">
        <f>IF([4]回答表!F17="下水道事業",IF([4]回答表!X45="●",[4]回答表!Y208,IF([4]回答表!AA45="●",[4]回答表!Y274,"")),"")</f>
        <v/>
      </c>
      <c r="AD159" s="120"/>
      <c r="AE159" s="120"/>
      <c r="AF159" s="120"/>
      <c r="AG159" s="120"/>
      <c r="AH159" s="120"/>
      <c r="AI159" s="120"/>
      <c r="AJ159" s="121"/>
      <c r="AK159" s="119" t="str">
        <f>IF([4]回答表!F17="下水道事業",IF([4]回答表!X45="●",[4]回答表!Y209,IF([4]回答表!AA45="●",[4]回答表!Y275,"")),"")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IF([4]回答表!F17="下水道事業",IF([4]回答表!AD45="●","●",""),"")</f>
        <v/>
      </c>
      <c r="O164" s="99"/>
      <c r="P164" s="99"/>
      <c r="Q164" s="100"/>
      <c r="R164" s="38"/>
      <c r="S164" s="38"/>
      <c r="T164" s="38"/>
      <c r="U164" s="107" t="str">
        <f>IF([4]回答表!F17="下水道事業",IF([4]回答表!AD45="●",[4]回答表!B289,""),"")</f>
        <v/>
      </c>
      <c r="V164" s="108"/>
      <c r="W164" s="108"/>
      <c r="X164" s="108"/>
      <c r="Y164" s="108"/>
      <c r="Z164" s="108"/>
      <c r="AA164" s="108"/>
      <c r="AB164" s="108"/>
      <c r="AC164" s="108"/>
      <c r="AD164" s="108"/>
      <c r="AE164" s="108"/>
      <c r="AF164" s="108"/>
      <c r="AG164" s="108"/>
      <c r="AH164" s="108"/>
      <c r="AI164" s="108"/>
      <c r="AJ164" s="109"/>
      <c r="AK164" s="55"/>
      <c r="AL164" s="55"/>
      <c r="AM164" s="107" t="str">
        <f>IF([4]回答表!F17="下水道事業",IF([4]回答表!AD45="●",[4]回答表!B295,""),"")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IF([4]回答表!BD17="●",IF([4]回答表!X45="●","●",""),"")</f>
        <v/>
      </c>
      <c r="O176" s="99"/>
      <c r="P176" s="99"/>
      <c r="Q176" s="100"/>
      <c r="R176" s="38"/>
      <c r="S176" s="38"/>
      <c r="T176" s="38"/>
      <c r="U176" s="107" t="str">
        <f>IF([4]回答表!BD17="●",IF([4]回答表!X45="●",[4]回答表!B158,IF([4]回答表!AA45="●",[4]回答表!B223,"")),"")</f>
        <v/>
      </c>
      <c r="V176" s="108"/>
      <c r="W176" s="108"/>
      <c r="X176" s="108"/>
      <c r="Y176" s="108"/>
      <c r="Z176" s="108"/>
      <c r="AA176" s="108"/>
      <c r="AB176" s="108"/>
      <c r="AC176" s="108"/>
      <c r="AD176" s="108"/>
      <c r="AE176" s="108"/>
      <c r="AF176" s="108"/>
      <c r="AG176" s="108"/>
      <c r="AH176" s="108"/>
      <c r="AI176" s="108"/>
      <c r="AJ176" s="109"/>
      <c r="AK176" s="49"/>
      <c r="AL176" s="49"/>
      <c r="AM176" s="116" t="str">
        <f>IF([4]回答表!BD17="●",IF([4]回答表!X45="●",[4]回答表!B212,IF([4]回答表!AA45="●",[4]回答表!B278,"")),"")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IF([4]回答表!BD17="●",IF([4]回答表!X45="●",[4]回答表!E212,IF([4]回答表!AA45="●",[4]回答表!E278,"")),"")</f>
        <v/>
      </c>
      <c r="AN179" s="84"/>
      <c r="AO179" s="84"/>
      <c r="AP179" s="84"/>
      <c r="AQ179" s="83" t="str">
        <f>IF([4]回答表!BD17="●",IF([4]回答表!X45="●",[4]回答表!E213,IF([4]回答表!AA45="●",[4]回答表!E279,"")),"")</f>
        <v/>
      </c>
      <c r="AR179" s="84"/>
      <c r="AS179" s="84"/>
      <c r="AT179" s="84"/>
      <c r="AU179" s="83" t="str">
        <f>IF([4]回答表!BD17="●",IF([4]回答表!X45="●",[4]回答表!E214,IF([4]回答表!AA45="●",[4]回答表!E280,"")),"")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IF([4]回答表!BD17="●",IF([4]回答表!AA45="●","●",""),"")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IF([4]回答表!BD17="●",IF([4]回答表!AD45="●","●",""),"")</f>
        <v/>
      </c>
      <c r="O188" s="99"/>
      <c r="P188" s="99"/>
      <c r="Q188" s="100"/>
      <c r="R188" s="38"/>
      <c r="S188" s="38"/>
      <c r="T188" s="38"/>
      <c r="U188" s="107" t="str">
        <f>IF([4]回答表!BD17="●",IF([4]回答表!AD45="●",[4]回答表!B289,""),"")</f>
        <v/>
      </c>
      <c r="V188" s="108"/>
      <c r="W188" s="108"/>
      <c r="X188" s="108"/>
      <c r="Y188" s="108"/>
      <c r="Z188" s="108"/>
      <c r="AA188" s="108"/>
      <c r="AB188" s="108"/>
      <c r="AC188" s="108"/>
      <c r="AD188" s="108"/>
      <c r="AE188" s="108"/>
      <c r="AF188" s="108"/>
      <c r="AG188" s="108"/>
      <c r="AH188" s="108"/>
      <c r="AI188" s="108"/>
      <c r="AJ188" s="109"/>
      <c r="AK188" s="55"/>
      <c r="AL188" s="55"/>
      <c r="AM188" s="107" t="str">
        <f>IF([4]回答表!BD17="●",IF([4]回答表!AD45="●",[4]回答表!B295,""),"")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IF([4]回答表!X46="●","●","")</f>
        <v>●</v>
      </c>
      <c r="O200" s="99"/>
      <c r="P200" s="99"/>
      <c r="Q200" s="100"/>
      <c r="R200" s="38"/>
      <c r="S200" s="38"/>
      <c r="T200" s="38"/>
      <c r="U200" s="107" t="str">
        <f>IF([4]回答表!X46="●",[4]回答表!B307,IF([4]回答表!AA46="●",[4]回答表!B324,""))</f>
        <v>＜概要＞指定管理者による老人デイサービスセンター、グループホームの管理運営
＜効果＞施設入所者の精神的安定（公的な施設への信頼等）</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IF([4]回答表!X46="●",[4]回答表!U313,IF([4]回答表!AA46="●",[4]回答表!U330,""))</f>
        <v>平成</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IF([4]回答表!X46="●",[4]回答表!G313,IF([4]回答表!AA46="●",[4]回答表!G330,""))</f>
        <v xml:space="preserve"> </v>
      </c>
      <c r="AN203" s="120"/>
      <c r="AO203" s="120"/>
      <c r="AP203" s="120"/>
      <c r="AQ203" s="120"/>
      <c r="AR203" s="120"/>
      <c r="AS203" s="120"/>
      <c r="AT203" s="121"/>
      <c r="AU203" s="119" t="str">
        <f>IF([4]回答表!X46="●",[4]回答表!G314,IF([4]回答表!AA46="●",[4]回答表!G331,""))</f>
        <v>●</v>
      </c>
      <c r="AV203" s="120"/>
      <c r="AW203" s="120"/>
      <c r="AX203" s="120"/>
      <c r="AY203" s="120"/>
      <c r="AZ203" s="120"/>
      <c r="BA203" s="120"/>
      <c r="BB203" s="121"/>
      <c r="BC203" s="39"/>
      <c r="BD203" s="34"/>
      <c r="BE203" s="34"/>
      <c r="BF203" s="83">
        <f>IF([4]回答表!X46="●",[4]回答表!X313,IF([4]回答表!AA46="●",[4]回答表!X330,""))</f>
        <v>20</v>
      </c>
      <c r="BG203" s="84"/>
      <c r="BH203" s="84"/>
      <c r="BI203" s="84"/>
      <c r="BJ203" s="83">
        <f>IF([4]回答表!X46="●",[4]回答表!X314,IF([4]回答表!AA46="●",[4]回答表!X331,""))</f>
        <v>4</v>
      </c>
      <c r="BK203" s="84"/>
      <c r="BL203" s="84"/>
      <c r="BM203" s="87"/>
      <c r="BN203" s="83">
        <f>IF([4]回答表!X46="●",[4]回答表!X315,IF([4]回答表!AA46="●",[4]回答表!X332,""))</f>
        <v>1</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IF([4]回答表!AA46="●","●","")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IF([4]回答表!AD46="●","●","")</f>
        <v/>
      </c>
      <c r="O212" s="99"/>
      <c r="P212" s="99"/>
      <c r="Q212" s="100"/>
      <c r="R212" s="38"/>
      <c r="S212" s="38"/>
      <c r="T212" s="38"/>
      <c r="U212" s="107" t="str">
        <f>IF([4]回答表!AD46="●",[4]回答表!B337,"")</f>
        <v/>
      </c>
      <c r="V212" s="108"/>
      <c r="W212" s="108"/>
      <c r="X212" s="108"/>
      <c r="Y212" s="108"/>
      <c r="Z212" s="108"/>
      <c r="AA212" s="108"/>
      <c r="AB212" s="108"/>
      <c r="AC212" s="108"/>
      <c r="AD212" s="108"/>
      <c r="AE212" s="108"/>
      <c r="AF212" s="108"/>
      <c r="AG212" s="108"/>
      <c r="AH212" s="108"/>
      <c r="AI212" s="108"/>
      <c r="AJ212" s="109"/>
      <c r="AK212" s="62"/>
      <c r="AL212" s="62"/>
      <c r="AM212" s="107" t="str">
        <f>IF([4]回答表!AD46="●",[4]回答表!B343,"")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IF([4]回答表!X47="●","●","")</f>
        <v/>
      </c>
      <c r="O224" s="99"/>
      <c r="P224" s="99"/>
      <c r="Q224" s="100"/>
      <c r="R224" s="38"/>
      <c r="S224" s="38"/>
      <c r="T224" s="38"/>
      <c r="U224" s="107" t="str">
        <f>IF([4]回答表!X47="●",[4]回答表!B356,IF([4]回答表!AA47="●",[4]回答表!B379,""))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IF([4]回答表!X47="●",[4]回答表!B362,"")</f>
        <v/>
      </c>
      <c r="AO224" s="182"/>
      <c r="AP224" s="182"/>
      <c r="AQ224" s="182"/>
      <c r="AR224" s="182"/>
      <c r="AS224" s="182"/>
      <c r="AT224" s="182"/>
      <c r="AU224" s="182"/>
      <c r="AV224" s="182"/>
      <c r="AW224" s="182"/>
      <c r="AX224" s="182"/>
      <c r="AY224" s="182"/>
      <c r="AZ224" s="182"/>
      <c r="BA224" s="182"/>
      <c r="BB224" s="183"/>
      <c r="BC224" s="39"/>
      <c r="BD224" s="34"/>
      <c r="BE224" s="34"/>
      <c r="BF224" s="116" t="str">
        <f>IF([4]回答表!X47="●",[4]回答表!B368,IF([4]回答表!AA47="●",[4]回答表!B385,""))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IF([4]回答表!X47="●",[4]回答表!E368,IF([4]回答表!AA47="●",[4]回答表!E385,""))</f>
        <v/>
      </c>
      <c r="BG227" s="84"/>
      <c r="BH227" s="84"/>
      <c r="BI227" s="84"/>
      <c r="BJ227" s="83" t="str">
        <f>IF([4]回答表!X47="●",[4]回答表!E369,IF([4]回答表!AA47="●",[4]回答表!E386,""))</f>
        <v/>
      </c>
      <c r="BK227" s="84"/>
      <c r="BL227" s="84"/>
      <c r="BM227" s="87"/>
      <c r="BN227" s="83" t="str">
        <f>IF([4]回答表!X47="●",[4]回答表!E370,IF([4]回答表!AA47="●",[4]回答表!E387,""))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IF([4]回答表!AA47="●","●","")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IF([4]回答表!AD47="●","●","")</f>
        <v/>
      </c>
      <c r="O236" s="99"/>
      <c r="P236" s="99"/>
      <c r="Q236" s="100"/>
      <c r="R236" s="38"/>
      <c r="S236" s="38"/>
      <c r="T236" s="38"/>
      <c r="U236" s="107" t="str">
        <f>IF([4]回答表!AD47="●",[4]回答表!B392,"")</f>
        <v/>
      </c>
      <c r="V236" s="108"/>
      <c r="W236" s="108"/>
      <c r="X236" s="108"/>
      <c r="Y236" s="108"/>
      <c r="Z236" s="108"/>
      <c r="AA236" s="108"/>
      <c r="AB236" s="108"/>
      <c r="AC236" s="108"/>
      <c r="AD236" s="108"/>
      <c r="AE236" s="108"/>
      <c r="AF236" s="108"/>
      <c r="AG236" s="108"/>
      <c r="AH236" s="108"/>
      <c r="AI236" s="108"/>
      <c r="AJ236" s="109"/>
      <c r="AK236" s="62"/>
      <c r="AL236" s="62"/>
      <c r="AM236" s="107" t="str">
        <f>IF([4]回答表!AD47="●",[4]回答表!B398,"")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IF([4]回答表!X48="●","●","")</f>
        <v/>
      </c>
      <c r="O248" s="99"/>
      <c r="P248" s="99"/>
      <c r="Q248" s="100"/>
      <c r="R248" s="38"/>
      <c r="S248" s="38"/>
      <c r="T248" s="38"/>
      <c r="U248" s="107" t="str">
        <f>IF([4]回答表!X48="●",[4]回答表!B411,IF([4]回答表!AA48="●",[4]回答表!B425,""))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IF([4]回答表!X48="●",[4]回答表!BC418,IF([4]回答表!AA48="●",[4]回答表!BC432,""))</f>
        <v/>
      </c>
      <c r="AR248" s="151"/>
      <c r="AS248" s="151"/>
      <c r="AT248" s="151"/>
      <c r="AU248" s="173" t="s">
        <v>73</v>
      </c>
      <c r="AV248" s="174"/>
      <c r="AW248" s="174"/>
      <c r="AX248" s="175"/>
      <c r="AY248" s="151" t="str">
        <f>IF([4]回答表!X48="●",[4]回答表!BC423,IF([4]回答表!AA48="●",[4]回答表!BC437,""))</f>
        <v/>
      </c>
      <c r="AZ248" s="151"/>
      <c r="BA248" s="151"/>
      <c r="BB248" s="151"/>
      <c r="BC248" s="39"/>
      <c r="BD248" s="34"/>
      <c r="BE248" s="34"/>
      <c r="BF248" s="116" t="str">
        <f>IF([4]回答表!X48="●",[4]回答表!S417,IF([4]回答表!AA48="●",[4]回答表!S431,""))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IF([4]回答表!X48="●",[4]回答表!BC419,IF([4]回答表!AA48="●",[4]回答表!BC433,""))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IF([4]回答表!X48="●",[4]回答表!V417,IF([4]回答表!AA48="●",[4]回答表!V431,""))</f>
        <v/>
      </c>
      <c r="BG251" s="84"/>
      <c r="BH251" s="84"/>
      <c r="BI251" s="84"/>
      <c r="BJ251" s="83" t="str">
        <f>IF([4]回答表!X48="●",[4]回答表!V418,IF([4]回答表!AA48="●",[4]回答表!V432,""))</f>
        <v/>
      </c>
      <c r="BK251" s="84"/>
      <c r="BL251" s="84"/>
      <c r="BM251" s="87"/>
      <c r="BN251" s="83" t="str">
        <f>IF([4]回答表!X48="●",[4]回答表!V419,IF([4]回答表!AA48="●",[4]回答表!V433,""))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IF([4]回答表!X48="●",[4]回答表!BC420,IF([4]回答表!AA48="●",[4]回答表!BC434,""))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IF([4]回答表!X48="●",[4]回答表!BC424,IF([4]回答表!AA48="●",[4]回答表!BC438,""))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IF([4]回答表!AA48="●","●","")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IF([4]回答表!X48="●",[4]回答表!BC421,IF([4]回答表!AA48="●",[4]回答表!BC435,""))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IF([4]回答表!X48="●",[4]回答表!BC422,IF([4]回答表!AA48="●",[4]回答表!BC436,""))</f>
        <v/>
      </c>
      <c r="AR256" s="151"/>
      <c r="AS256" s="151"/>
      <c r="AT256" s="151"/>
      <c r="AU256" s="152" t="s">
        <v>79</v>
      </c>
      <c r="AV256" s="153"/>
      <c r="AW256" s="153"/>
      <c r="AX256" s="154"/>
      <c r="AY256" s="158" t="str">
        <f>IF([4]回答表!X48="●",[4]回答表!BC425,IF([4]回答表!AA48="●",[4]回答表!BC439,""))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IF([4]回答表!AD48="●","●","")</f>
        <v/>
      </c>
      <c r="O260" s="99"/>
      <c r="P260" s="99"/>
      <c r="Q260" s="100"/>
      <c r="R260" s="38"/>
      <c r="S260" s="38"/>
      <c r="T260" s="38"/>
      <c r="U260" s="107" t="str">
        <f>IF([4]回答表!AD48="●",[4]回答表!B439,"")</f>
        <v/>
      </c>
      <c r="V260" s="108"/>
      <c r="W260" s="108"/>
      <c r="X260" s="108"/>
      <c r="Y260" s="108"/>
      <c r="Z260" s="108"/>
      <c r="AA260" s="108"/>
      <c r="AB260" s="108"/>
      <c r="AC260" s="108"/>
      <c r="AD260" s="108"/>
      <c r="AE260" s="108"/>
      <c r="AF260" s="108"/>
      <c r="AG260" s="108"/>
      <c r="AH260" s="108"/>
      <c r="AI260" s="108"/>
      <c r="AJ260" s="109"/>
      <c r="AK260" s="55"/>
      <c r="AL260" s="55"/>
      <c r="AM260" s="107" t="str">
        <f>IF([4]回答表!AD48="●",[4]回答表!B445,"")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IF([4]回答表!X49="●","●","")</f>
        <v/>
      </c>
      <c r="O271" s="99"/>
      <c r="P271" s="99"/>
      <c r="Q271" s="100"/>
      <c r="R271" s="38"/>
      <c r="S271" s="38"/>
      <c r="T271" s="38"/>
      <c r="U271" s="107" t="str">
        <f>IF([4]回答表!X49="●",[4]回答表!B458,IF([4]回答表!AA49="●",[4]回答表!B475,""))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IF([4]回答表!X49="●",[4]回答表!B468,IF([4]回答表!AA49="●",[4]回答表!B485,""))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IF([4]回答表!X49="●",[4]回答表!G464,IF([4]回答表!AA49="●",[4]回答表!G481,""))</f>
        <v/>
      </c>
      <c r="AN273" s="120"/>
      <c r="AO273" s="120"/>
      <c r="AP273" s="120"/>
      <c r="AQ273" s="120"/>
      <c r="AR273" s="120"/>
      <c r="AS273" s="120"/>
      <c r="AT273" s="121"/>
      <c r="AU273" s="119" t="str">
        <f>IF([4]回答表!X49="●",[4]回答表!G465,IF([4]回答表!AA49="●",[4]回答表!G482,""))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IF([4]回答表!X49="●",[4]回答表!E468,IF([4]回答表!AA49="●",[4]回答表!E485,""))</f>
        <v/>
      </c>
      <c r="BG274" s="84"/>
      <c r="BH274" s="84"/>
      <c r="BI274" s="84"/>
      <c r="BJ274" s="83" t="str">
        <f>IF([4]回答表!X49="●",[4]回答表!E469,IF([4]回答表!AA49="●",[4]回答表!E486,""))</f>
        <v/>
      </c>
      <c r="BK274" s="84"/>
      <c r="BL274" s="84"/>
      <c r="BM274" s="87"/>
      <c r="BN274" s="83" t="str">
        <f>IF([4]回答表!X49="●",[4]回答表!E470,IF([4]回答表!AA49="●",[4]回答表!E487,""))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IF([4]回答表!AA49="●","●","")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IF([4]回答表!AD49="●","●","")</f>
        <v/>
      </c>
      <c r="O283" s="99"/>
      <c r="P283" s="99"/>
      <c r="Q283" s="100"/>
      <c r="R283" s="38"/>
      <c r="S283" s="38"/>
      <c r="T283" s="38"/>
      <c r="U283" s="107" t="str">
        <f>IF([4]回答表!AD49="●",[4]回答表!B492,"")</f>
        <v/>
      </c>
      <c r="V283" s="108"/>
      <c r="W283" s="108"/>
      <c r="X283" s="108"/>
      <c r="Y283" s="108"/>
      <c r="Z283" s="108"/>
      <c r="AA283" s="108"/>
      <c r="AB283" s="108"/>
      <c r="AC283" s="108"/>
      <c r="AD283" s="108"/>
      <c r="AE283" s="108"/>
      <c r="AF283" s="108"/>
      <c r="AG283" s="108"/>
      <c r="AH283" s="108"/>
      <c r="AI283" s="108"/>
      <c r="AJ283" s="109"/>
      <c r="AK283" s="49"/>
      <c r="AL283" s="49"/>
      <c r="AM283" s="107" t="str">
        <f>IF([4]回答表!AD49="●",[4]回答表!B498,"")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IF([4]回答表!R50="●",[4]回答表!B511,"")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簡易水道（法適用）</vt:lpstr>
      <vt:lpstr>簡易水道（法非適用）</vt:lpstr>
      <vt:lpstr>下水道（公共下水道）</vt:lpstr>
      <vt:lpstr>下水道（農業集落排水施設）</vt:lpstr>
      <vt:lpstr>下水道（特定地域排水処理施設）</vt:lpstr>
      <vt:lpstr>介護サービス</vt:lpstr>
      <vt:lpstr>'下水道（公共下水道）'!Print_Area</vt:lpstr>
      <vt:lpstr>'下水道（特定地域排水処理施設）'!Print_Area</vt:lpstr>
      <vt:lpstr>'下水道（農業集落排水施設）'!Print_Area</vt:lpstr>
      <vt:lpstr>介護サービス!Print_Area</vt:lpstr>
      <vt:lpstr>'簡易水道（法適用）'!Print_Area</vt:lpstr>
      <vt:lpstr>'簡易水道（法非適用）'!Print_Area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2021-10-21T23:44:40Z</dcterms:created>
  <dcterms:modified xsi:type="dcterms:W3CDTF">2021-10-22T00:32:45Z</dcterms:modified>
</cp:coreProperties>
</file>