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662F0125-F164-47BB-ADE7-10452FCF107A}" xr6:coauthVersionLast="45" xr6:coauthVersionMax="45" xr10:uidLastSave="{00000000-0000-0000-0000-000000000000}"/>
  <bookViews>
    <workbookView xWindow="-120" yWindow="-120" windowWidth="29040" windowHeight="15840" tabRatio="758" xr2:uid="{00000000-000D-0000-FFFF-FFFF00000000}"/>
  </bookViews>
  <sheets>
    <sheet name="水道" sheetId="5" r:id="rId1"/>
    <sheet name="簡易水道" sheetId="3" r:id="rId2"/>
    <sheet name="病院" sheetId="2" r:id="rId3"/>
    <sheet name="観光" sheetId="4" r:id="rId4"/>
    <sheet name="下水道（公共下水道）" sheetId="8" r:id="rId5"/>
    <sheet name="下水道（特定環境保全公共下水道）" sheetId="6" r:id="rId6"/>
    <sheet name="下水道（農業集落排水施設）" sheetId="10" r:id="rId7"/>
    <sheet name="下水道（林業集落排水施設）" sheetId="11" r:id="rId8"/>
    <sheet name="下水道（特定地域排水処理施設）" sheetId="9" r:id="rId9"/>
    <sheet name="下水道（個別排水処理施設）" sheetId="7" r:id="rId10"/>
    <sheet name="介護サービス（介護老人保健施設）" sheetId="14" r:id="rId11"/>
    <sheet name="介護サービス（指定介護老人福祉施設）" sheetId="15" r:id="rId12"/>
    <sheet name="介護サービス（老人短期入所施設）" sheetId="13" r:id="rId13"/>
    <sheet name="介護サービス（老人デイサービスセンター）" sheetId="1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Print_Area" localSheetId="9">'下水道（個別排水処理施設）'!$A$1:$BR$298</definedName>
    <definedName name="_xlnm.Print_Area" localSheetId="4">'下水道（公共下水道）'!$A$1:$BR$298</definedName>
    <definedName name="_xlnm.Print_Area" localSheetId="5">'下水道（特定環境保全公共下水道）'!$A$1:$BR$298</definedName>
    <definedName name="_xlnm.Print_Area" localSheetId="8">'下水道（特定地域排水処理施設）'!$A$1:$BR$298</definedName>
    <definedName name="_xlnm.Print_Area" localSheetId="6">'下水道（農業集落排水施設）'!$A$1:$BR$298</definedName>
    <definedName name="_xlnm.Print_Area" localSheetId="7">'下水道（林業集落排水施設）'!$A$1:$BR$298</definedName>
    <definedName name="_xlnm.Print_Area" localSheetId="10">'介護サービス（介護老人保健施設）'!$A$1:$BR$298</definedName>
    <definedName name="_xlnm.Print_Area" localSheetId="11">'介護サービス（指定介護老人福祉施設）'!$A$1:$BR$298</definedName>
    <definedName name="_xlnm.Print_Area" localSheetId="13">'介護サービス（老人デイサービスセンター）'!$A$1:$BR$298</definedName>
    <definedName name="_xlnm.Print_Area" localSheetId="12">'介護サービス（老人短期入所施設）'!$A$1:$BR$298</definedName>
    <definedName name="_xlnm.Print_Area" localSheetId="1">簡易水道!$A$1:$BR$298</definedName>
    <definedName name="_xlnm.Print_Area" localSheetId="3">観光!$A$1:$BR$298</definedName>
    <definedName name="_xlnm.Print_Area" localSheetId="0">水道!$A$1:$BR$298</definedName>
    <definedName name="_xlnm.Print_Area" localSheetId="2">病院!$A$1:$BR$298</definedName>
    <definedName name="業種名" localSheetId="9">[1]選択肢!$K$2:$K$19</definedName>
    <definedName name="業種名" localSheetId="4">[2]選択肢!$K$2:$K$19</definedName>
    <definedName name="業種名" localSheetId="5">[3]選択肢!$K$2:$K$19</definedName>
    <definedName name="業種名" localSheetId="8">[4]選択肢!$K$2:$K$19</definedName>
    <definedName name="業種名" localSheetId="6">[5]選択肢!$K$2:$K$19</definedName>
    <definedName name="業種名" localSheetId="7">[6]選択肢!$K$2:$K$19</definedName>
    <definedName name="業種名" localSheetId="10">[10]選択肢!$K$2:$K$19</definedName>
    <definedName name="業種名" localSheetId="11">[8]選択肢!$K$2:$K$19</definedName>
    <definedName name="業種名" localSheetId="13">[7]選択肢!$K$2:$K$19</definedName>
    <definedName name="業種名" localSheetId="12">[9]選択肢!$K$2:$K$19</definedName>
    <definedName name="業種名" localSheetId="1">[11]選択肢!$K$2:$K$19</definedName>
    <definedName name="業種名" localSheetId="3">[12]選択肢!$K$2:$K$19</definedName>
    <definedName name="業種名" localSheetId="0">[13]選択肢!$K$2:$K$19</definedName>
    <definedName name="業種名">[14]選択肢!$K$2:$K$19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15" l="1"/>
  <c r="AM266" i="15"/>
  <c r="U266" i="15"/>
  <c r="N266" i="15"/>
  <c r="N260" i="15"/>
  <c r="BM257" i="15"/>
  <c r="BI257" i="15"/>
  <c r="BE257" i="15"/>
  <c r="AU256" i="15"/>
  <c r="AM256" i="15"/>
  <c r="BE254" i="15"/>
  <c r="U254" i="15"/>
  <c r="N254" i="15"/>
  <c r="AM243" i="15"/>
  <c r="U243" i="15"/>
  <c r="N243" i="15"/>
  <c r="AQ239" i="15"/>
  <c r="AQ237" i="15"/>
  <c r="N237" i="15"/>
  <c r="AY236" i="15"/>
  <c r="AQ235" i="15"/>
  <c r="BM234" i="15"/>
  <c r="BI234" i="15"/>
  <c r="BE234" i="15"/>
  <c r="AQ233" i="15"/>
  <c r="BE231" i="15"/>
  <c r="AY231" i="15"/>
  <c r="AQ231" i="15"/>
  <c r="U231" i="15"/>
  <c r="N231" i="15"/>
  <c r="AM219" i="15"/>
  <c r="U219" i="15"/>
  <c r="N219" i="15"/>
  <c r="N213" i="15"/>
  <c r="BM210" i="15"/>
  <c r="BI210" i="15"/>
  <c r="BE210" i="15"/>
  <c r="BE207" i="15"/>
  <c r="AN207" i="15"/>
  <c r="U207" i="15"/>
  <c r="N207" i="15"/>
  <c r="AM195" i="15"/>
  <c r="U195" i="15"/>
  <c r="N195" i="15"/>
  <c r="N189" i="15"/>
  <c r="BM186" i="15"/>
  <c r="BI186" i="15"/>
  <c r="BE186" i="15"/>
  <c r="AU186" i="15"/>
  <c r="AM186" i="15"/>
  <c r="BE183" i="15"/>
  <c r="U183" i="15"/>
  <c r="N183" i="15"/>
  <c r="AM171" i="15"/>
  <c r="U171" i="15"/>
  <c r="N171" i="15"/>
  <c r="N165" i="15"/>
  <c r="AU162" i="15"/>
  <c r="AQ162" i="15"/>
  <c r="AM162" i="15"/>
  <c r="AM159" i="15"/>
  <c r="U159" i="15"/>
  <c r="N159" i="15"/>
  <c r="AM147" i="15"/>
  <c r="U147" i="15"/>
  <c r="N147" i="15"/>
  <c r="AC142" i="15"/>
  <c r="U142" i="15"/>
  <c r="N141" i="15"/>
  <c r="BM138" i="15"/>
  <c r="BI138" i="15"/>
  <c r="BE138" i="15"/>
  <c r="AC137" i="15"/>
  <c r="U137" i="15"/>
  <c r="BE135" i="15"/>
  <c r="AM135" i="15"/>
  <c r="N135" i="15"/>
  <c r="AM123" i="15"/>
  <c r="U123" i="15"/>
  <c r="N123" i="15"/>
  <c r="U118" i="15"/>
  <c r="N117" i="15"/>
  <c r="BM114" i="15"/>
  <c r="BI114" i="15"/>
  <c r="BE114" i="15"/>
  <c r="U113" i="15"/>
  <c r="BE111" i="15"/>
  <c r="AM111" i="15"/>
  <c r="N111" i="15"/>
  <c r="AM99" i="15"/>
  <c r="U99" i="15"/>
  <c r="N99" i="15"/>
  <c r="AC94" i="15"/>
  <c r="U94" i="15"/>
  <c r="N93" i="15"/>
  <c r="BM90" i="15"/>
  <c r="BI90" i="15"/>
  <c r="BE90" i="15"/>
  <c r="AC89" i="15"/>
  <c r="U89" i="15"/>
  <c r="BE87" i="15"/>
  <c r="AM87" i="15"/>
  <c r="N87" i="15"/>
  <c r="AM75" i="15"/>
  <c r="U75" i="15"/>
  <c r="N75" i="15"/>
  <c r="N69" i="15"/>
  <c r="BM66" i="15"/>
  <c r="BI66" i="15"/>
  <c r="BE66" i="15"/>
  <c r="AU66" i="15"/>
  <c r="AM66" i="15"/>
  <c r="BE63" i="15"/>
  <c r="U63" i="15"/>
  <c r="N63" i="15"/>
  <c r="AM52" i="15"/>
  <c r="U52" i="15"/>
  <c r="N52" i="15"/>
  <c r="AM48" i="15"/>
  <c r="AM47" i="15"/>
  <c r="AM46" i="15"/>
  <c r="AM45" i="15"/>
  <c r="AM44" i="15"/>
  <c r="N44" i="15"/>
  <c r="AM43" i="15"/>
  <c r="AM42" i="15"/>
  <c r="BM39" i="15"/>
  <c r="BI39" i="15"/>
  <c r="BE39" i="15"/>
  <c r="AU38" i="15"/>
  <c r="AM38" i="15"/>
  <c r="BE36" i="15"/>
  <c r="U36" i="15"/>
  <c r="N36" i="15"/>
  <c r="BB24" i="15"/>
  <c r="AT24" i="15"/>
  <c r="AM24" i="15"/>
  <c r="AF24" i="15"/>
  <c r="Y24" i="15"/>
  <c r="R24" i="15"/>
  <c r="K24" i="15"/>
  <c r="D24" i="15"/>
  <c r="BF11" i="15"/>
  <c r="AO11" i="15"/>
  <c r="U11" i="15"/>
  <c r="C11" i="15"/>
  <c r="D279" i="14" l="1"/>
  <c r="AM266" i="14"/>
  <c r="U266" i="14"/>
  <c r="N266" i="14"/>
  <c r="N260" i="14"/>
  <c r="BM257" i="14"/>
  <c r="BI257" i="14"/>
  <c r="BE257" i="14"/>
  <c r="AU256" i="14"/>
  <c r="AM256" i="14"/>
  <c r="BE254" i="14"/>
  <c r="U254" i="14"/>
  <c r="N254" i="14"/>
  <c r="AM243" i="14"/>
  <c r="U243" i="14"/>
  <c r="N243" i="14"/>
  <c r="AQ239" i="14"/>
  <c r="AQ237" i="14"/>
  <c r="N237" i="14"/>
  <c r="AY236" i="14"/>
  <c r="AQ235" i="14"/>
  <c r="BM234" i="14"/>
  <c r="BI234" i="14"/>
  <c r="BE234" i="14"/>
  <c r="AQ233" i="14"/>
  <c r="BE231" i="14"/>
  <c r="AY231" i="14"/>
  <c r="AQ231" i="14"/>
  <c r="U231" i="14"/>
  <c r="N231" i="14"/>
  <c r="AM219" i="14"/>
  <c r="U219" i="14"/>
  <c r="N219" i="14"/>
  <c r="N213" i="14"/>
  <c r="BM210" i="14"/>
  <c r="BI210" i="14"/>
  <c r="BE210" i="14"/>
  <c r="BE207" i="14"/>
  <c r="AN207" i="14"/>
  <c r="U207" i="14"/>
  <c r="N207" i="14"/>
  <c r="AM195" i="14"/>
  <c r="U195" i="14"/>
  <c r="N195" i="14"/>
  <c r="N189" i="14"/>
  <c r="BM186" i="14"/>
  <c r="BI186" i="14"/>
  <c r="BE186" i="14"/>
  <c r="AU186" i="14"/>
  <c r="AM186" i="14"/>
  <c r="BE183" i="14"/>
  <c r="U183" i="14"/>
  <c r="N183" i="14"/>
  <c r="AM171" i="14"/>
  <c r="U171" i="14"/>
  <c r="N171" i="14"/>
  <c r="N165" i="14"/>
  <c r="AU162" i="14"/>
  <c r="AQ162" i="14"/>
  <c r="AM162" i="14"/>
  <c r="AM159" i="14"/>
  <c r="U159" i="14"/>
  <c r="N159" i="14"/>
  <c r="AM147" i="14"/>
  <c r="U147" i="14"/>
  <c r="N147" i="14"/>
  <c r="AC142" i="14"/>
  <c r="U142" i="14"/>
  <c r="N141" i="14"/>
  <c r="BM138" i="14"/>
  <c r="BI138" i="14"/>
  <c r="BE138" i="14"/>
  <c r="AC137" i="14"/>
  <c r="U137" i="14"/>
  <c r="BE135" i="14"/>
  <c r="AM135" i="14"/>
  <c r="N135" i="14"/>
  <c r="AM123" i="14"/>
  <c r="U123" i="14"/>
  <c r="N123" i="14"/>
  <c r="U118" i="14"/>
  <c r="N117" i="14"/>
  <c r="BM114" i="14"/>
  <c r="BI114" i="14"/>
  <c r="BE114" i="14"/>
  <c r="U113" i="14"/>
  <c r="BE111" i="14"/>
  <c r="AM111" i="14"/>
  <c r="N111" i="14"/>
  <c r="AM99" i="14"/>
  <c r="U99" i="14"/>
  <c r="N99" i="14"/>
  <c r="AC94" i="14"/>
  <c r="U94" i="14"/>
  <c r="N93" i="14"/>
  <c r="BM90" i="14"/>
  <c r="BI90" i="14"/>
  <c r="BE90" i="14"/>
  <c r="AC89" i="14"/>
  <c r="U89" i="14"/>
  <c r="BE87" i="14"/>
  <c r="AM87" i="14"/>
  <c r="N87" i="14"/>
  <c r="AM75" i="14"/>
  <c r="U75" i="14"/>
  <c r="N75" i="14"/>
  <c r="N69" i="14"/>
  <c r="BM66" i="14"/>
  <c r="BI66" i="14"/>
  <c r="BE66" i="14"/>
  <c r="AU66" i="14"/>
  <c r="AM66" i="14"/>
  <c r="BE63" i="14"/>
  <c r="U63" i="14"/>
  <c r="N63" i="14"/>
  <c r="AM52" i="14"/>
  <c r="U52" i="14"/>
  <c r="N52" i="14"/>
  <c r="AM48" i="14"/>
  <c r="AM47" i="14"/>
  <c r="AM46" i="14"/>
  <c r="AM45" i="14"/>
  <c r="AM44" i="14"/>
  <c r="N44" i="14"/>
  <c r="AM43" i="14"/>
  <c r="AM42" i="14"/>
  <c r="BM39" i="14"/>
  <c r="BI39" i="14"/>
  <c r="BE39" i="14"/>
  <c r="AU38" i="14"/>
  <c r="AM38" i="14"/>
  <c r="BE36" i="14"/>
  <c r="U36" i="14"/>
  <c r="N36" i="14"/>
  <c r="BB24" i="14"/>
  <c r="AT24" i="14"/>
  <c r="AM24" i="14"/>
  <c r="AF24" i="14"/>
  <c r="Y24" i="14"/>
  <c r="R24" i="14"/>
  <c r="K24" i="14"/>
  <c r="D24" i="14"/>
  <c r="BF11" i="14"/>
  <c r="AO11" i="14"/>
  <c r="U11" i="14"/>
  <c r="C11" i="14"/>
  <c r="D279" i="13" l="1"/>
  <c r="AM266" i="13"/>
  <c r="U266" i="13"/>
  <c r="N266" i="13"/>
  <c r="N260" i="13"/>
  <c r="BM257" i="13"/>
  <c r="BI257" i="13"/>
  <c r="BE257" i="13"/>
  <c r="AU256" i="13"/>
  <c r="AM256" i="13"/>
  <c r="BE254" i="13"/>
  <c r="U254" i="13"/>
  <c r="N254" i="13"/>
  <c r="AM243" i="13"/>
  <c r="U243" i="13"/>
  <c r="N243" i="13"/>
  <c r="AQ239" i="13"/>
  <c r="AQ237" i="13"/>
  <c r="N237" i="13"/>
  <c r="AY236" i="13"/>
  <c r="AQ235" i="13"/>
  <c r="BM234" i="13"/>
  <c r="BI234" i="13"/>
  <c r="BE234" i="13"/>
  <c r="AQ233" i="13"/>
  <c r="BE231" i="13"/>
  <c r="AY231" i="13"/>
  <c r="AQ231" i="13"/>
  <c r="U231" i="13"/>
  <c r="N231" i="13"/>
  <c r="AM219" i="13"/>
  <c r="U219" i="13"/>
  <c r="N219" i="13"/>
  <c r="N213" i="13"/>
  <c r="BM210" i="13"/>
  <c r="BI210" i="13"/>
  <c r="BE210" i="13"/>
  <c r="BE207" i="13"/>
  <c r="AN207" i="13"/>
  <c r="U207" i="13"/>
  <c r="N207" i="13"/>
  <c r="AM195" i="13"/>
  <c r="U195" i="13"/>
  <c r="N195" i="13"/>
  <c r="N189" i="13"/>
  <c r="BM186" i="13"/>
  <c r="BI186" i="13"/>
  <c r="BE186" i="13"/>
  <c r="AU186" i="13"/>
  <c r="AM186" i="13"/>
  <c r="BE183" i="13"/>
  <c r="U183" i="13"/>
  <c r="N183" i="13"/>
  <c r="AM171" i="13"/>
  <c r="U171" i="13"/>
  <c r="N171" i="13"/>
  <c r="N165" i="13"/>
  <c r="AU162" i="13"/>
  <c r="AQ162" i="13"/>
  <c r="AM162" i="13"/>
  <c r="AM159" i="13"/>
  <c r="U159" i="13"/>
  <c r="N159" i="13"/>
  <c r="AM147" i="13"/>
  <c r="U147" i="13"/>
  <c r="N147" i="13"/>
  <c r="AC142" i="13"/>
  <c r="U142" i="13"/>
  <c r="N141" i="13"/>
  <c r="BM138" i="13"/>
  <c r="BI138" i="13"/>
  <c r="BE138" i="13"/>
  <c r="AC137" i="13"/>
  <c r="U137" i="13"/>
  <c r="BE135" i="13"/>
  <c r="AM135" i="13"/>
  <c r="N135" i="13"/>
  <c r="AM123" i="13"/>
  <c r="U123" i="13"/>
  <c r="N123" i="13"/>
  <c r="U118" i="13"/>
  <c r="N117" i="13"/>
  <c r="BM114" i="13"/>
  <c r="BI114" i="13"/>
  <c r="BE114" i="13"/>
  <c r="U113" i="13"/>
  <c r="BE111" i="13"/>
  <c r="AM111" i="13"/>
  <c r="N111" i="13"/>
  <c r="AM99" i="13"/>
  <c r="U99" i="13"/>
  <c r="N99" i="13"/>
  <c r="AC94" i="13"/>
  <c r="U94" i="13"/>
  <c r="N93" i="13"/>
  <c r="BM90" i="13"/>
  <c r="BI90" i="13"/>
  <c r="BE90" i="13"/>
  <c r="AC89" i="13"/>
  <c r="U89" i="13"/>
  <c r="BE87" i="13"/>
  <c r="AM87" i="13"/>
  <c r="N87" i="13"/>
  <c r="AM75" i="13"/>
  <c r="U75" i="13"/>
  <c r="N75" i="13"/>
  <c r="N69" i="13"/>
  <c r="BM66" i="13"/>
  <c r="BI66" i="13"/>
  <c r="BE66" i="13"/>
  <c r="AU66" i="13"/>
  <c r="AM66" i="13"/>
  <c r="BE63" i="13"/>
  <c r="U63" i="13"/>
  <c r="N63" i="13"/>
  <c r="AM52" i="13"/>
  <c r="U52" i="13"/>
  <c r="N52" i="13"/>
  <c r="AM48" i="13"/>
  <c r="AM47" i="13"/>
  <c r="AM46" i="13"/>
  <c r="AM45" i="13"/>
  <c r="AM44" i="13"/>
  <c r="N44" i="13"/>
  <c r="AM43" i="13"/>
  <c r="AM42" i="13"/>
  <c r="BM39" i="13"/>
  <c r="BI39" i="13"/>
  <c r="BE39" i="13"/>
  <c r="AU38" i="13"/>
  <c r="AM38" i="13"/>
  <c r="BE36" i="13"/>
  <c r="U36" i="13"/>
  <c r="N36" i="13"/>
  <c r="BB24" i="13"/>
  <c r="AT24" i="13"/>
  <c r="AM24" i="13"/>
  <c r="AF24" i="13"/>
  <c r="Y24" i="13"/>
  <c r="R24" i="13"/>
  <c r="K24" i="13"/>
  <c r="D24" i="13"/>
  <c r="BF11" i="13"/>
  <c r="AO11" i="13"/>
  <c r="U11" i="13"/>
  <c r="C11"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D279" i="11" l="1"/>
  <c r="AM266" i="11"/>
  <c r="U266" i="11"/>
  <c r="N266" i="11"/>
  <c r="N260" i="11"/>
  <c r="BM257" i="11"/>
  <c r="BI257" i="11"/>
  <c r="BE257" i="11"/>
  <c r="AU256" i="11"/>
  <c r="AM256" i="11"/>
  <c r="BE254" i="11"/>
  <c r="U254" i="11"/>
  <c r="N254" i="11"/>
  <c r="AM243" i="11"/>
  <c r="U243" i="11"/>
  <c r="N243" i="11"/>
  <c r="AQ239" i="11"/>
  <c r="AQ237" i="11"/>
  <c r="N237" i="11"/>
  <c r="AY236" i="11"/>
  <c r="AQ235" i="11"/>
  <c r="BM234" i="11"/>
  <c r="BI234" i="11"/>
  <c r="BE234" i="11"/>
  <c r="AQ233" i="11"/>
  <c r="BE231" i="11"/>
  <c r="AY231" i="11"/>
  <c r="AQ231" i="11"/>
  <c r="U231" i="11"/>
  <c r="N231" i="11"/>
  <c r="AM219" i="11"/>
  <c r="U219" i="11"/>
  <c r="N219" i="11"/>
  <c r="N213" i="11"/>
  <c r="BM210" i="11"/>
  <c r="BI210" i="11"/>
  <c r="BE210" i="11"/>
  <c r="BE207" i="11"/>
  <c r="AN207" i="11"/>
  <c r="U207" i="11"/>
  <c r="N207" i="11"/>
  <c r="AM195" i="11"/>
  <c r="U195" i="11"/>
  <c r="N195" i="11"/>
  <c r="N189" i="11"/>
  <c r="BM186" i="11"/>
  <c r="BI186" i="11"/>
  <c r="BE186" i="11"/>
  <c r="AU186" i="11"/>
  <c r="AM186" i="11"/>
  <c r="BE183" i="11"/>
  <c r="U183" i="11"/>
  <c r="N183" i="11"/>
  <c r="AM171" i="11"/>
  <c r="U171" i="11"/>
  <c r="N171" i="11"/>
  <c r="N165" i="11"/>
  <c r="AU162" i="11"/>
  <c r="AQ162" i="11"/>
  <c r="AM162" i="11"/>
  <c r="AM159" i="11"/>
  <c r="U159" i="11"/>
  <c r="N159" i="11"/>
  <c r="AM147" i="11"/>
  <c r="U147" i="11"/>
  <c r="N147" i="11"/>
  <c r="AC142" i="11"/>
  <c r="U142" i="11"/>
  <c r="N141" i="11"/>
  <c r="BM138" i="11"/>
  <c r="BI138" i="11"/>
  <c r="BE138" i="11"/>
  <c r="AC137" i="11"/>
  <c r="U137" i="11"/>
  <c r="BE135" i="11"/>
  <c r="AM135" i="11"/>
  <c r="N135" i="11"/>
  <c r="AM123" i="11"/>
  <c r="U123" i="11"/>
  <c r="N123" i="11"/>
  <c r="U118" i="11"/>
  <c r="N117" i="11"/>
  <c r="BM114" i="11"/>
  <c r="BI114" i="11"/>
  <c r="BE114" i="11"/>
  <c r="U113" i="11"/>
  <c r="BE111" i="11"/>
  <c r="AM111" i="11"/>
  <c r="N111" i="11"/>
  <c r="AM99" i="11"/>
  <c r="U99" i="11"/>
  <c r="N99" i="11"/>
  <c r="AC94" i="11"/>
  <c r="U94" i="11"/>
  <c r="N93" i="11"/>
  <c r="BM90" i="11"/>
  <c r="BI90" i="11"/>
  <c r="BE90" i="11"/>
  <c r="AC89" i="11"/>
  <c r="U89" i="11"/>
  <c r="BE87" i="11"/>
  <c r="AM87" i="11"/>
  <c r="N87" i="11"/>
  <c r="AM75" i="11"/>
  <c r="U75" i="11"/>
  <c r="N75" i="11"/>
  <c r="N69" i="11"/>
  <c r="BM66" i="11"/>
  <c r="BI66" i="11"/>
  <c r="BE66" i="11"/>
  <c r="AU66" i="11"/>
  <c r="AM66" i="11"/>
  <c r="BE63" i="11"/>
  <c r="U63" i="11"/>
  <c r="N63" i="11"/>
  <c r="AM52" i="11"/>
  <c r="U52" i="11"/>
  <c r="N52" i="11"/>
  <c r="AM48" i="11"/>
  <c r="AM47" i="11"/>
  <c r="AM46" i="11"/>
  <c r="AM45" i="11"/>
  <c r="AM44" i="11"/>
  <c r="N44" i="11"/>
  <c r="AM43" i="11"/>
  <c r="AM42" i="11"/>
  <c r="BM39" i="11"/>
  <c r="BI39" i="11"/>
  <c r="BE39" i="11"/>
  <c r="AU38" i="11"/>
  <c r="AM38" i="11"/>
  <c r="BE36" i="11"/>
  <c r="U36" i="11"/>
  <c r="N36" i="11"/>
  <c r="BB24" i="11"/>
  <c r="AT24" i="11"/>
  <c r="AM24" i="11"/>
  <c r="AF24" i="11"/>
  <c r="Y24" i="11"/>
  <c r="R24" i="11"/>
  <c r="K24" i="11"/>
  <c r="D24" i="11"/>
  <c r="BF11" i="11"/>
  <c r="AO11" i="11"/>
  <c r="U11" i="11"/>
  <c r="C11" i="11"/>
  <c r="D279" i="10" l="1"/>
  <c r="AM266" i="10"/>
  <c r="U266" i="10"/>
  <c r="N266" i="10"/>
  <c r="N260" i="10"/>
  <c r="BM257" i="10"/>
  <c r="BI257" i="10"/>
  <c r="BE257" i="10"/>
  <c r="AU256" i="10"/>
  <c r="AM256" i="10"/>
  <c r="BE254" i="10"/>
  <c r="U254" i="10"/>
  <c r="N254" i="10"/>
  <c r="AM243" i="10"/>
  <c r="U243" i="10"/>
  <c r="N243" i="10"/>
  <c r="AQ239" i="10"/>
  <c r="AQ237" i="10"/>
  <c r="N237" i="10"/>
  <c r="AY236" i="10"/>
  <c r="AQ235" i="10"/>
  <c r="BM234" i="10"/>
  <c r="BI234" i="10"/>
  <c r="BE234" i="10"/>
  <c r="AQ233" i="10"/>
  <c r="BE231" i="10"/>
  <c r="AY231" i="10"/>
  <c r="AQ231" i="10"/>
  <c r="U231" i="10"/>
  <c r="N231" i="10"/>
  <c r="AM219" i="10"/>
  <c r="U219" i="10"/>
  <c r="N219" i="10"/>
  <c r="N213" i="10"/>
  <c r="BM210" i="10"/>
  <c r="BI210" i="10"/>
  <c r="BE210" i="10"/>
  <c r="BE207" i="10"/>
  <c r="AN207" i="10"/>
  <c r="U207" i="10"/>
  <c r="N207" i="10"/>
  <c r="AM195" i="10"/>
  <c r="U195" i="10"/>
  <c r="N195" i="10"/>
  <c r="N189" i="10"/>
  <c r="BM186" i="10"/>
  <c r="BI186" i="10"/>
  <c r="BE186" i="10"/>
  <c r="AU186" i="10"/>
  <c r="AM186" i="10"/>
  <c r="BE183" i="10"/>
  <c r="U183" i="10"/>
  <c r="N183" i="10"/>
  <c r="AM171" i="10"/>
  <c r="U171" i="10"/>
  <c r="N171" i="10"/>
  <c r="N165" i="10"/>
  <c r="AU162" i="10"/>
  <c r="AQ162" i="10"/>
  <c r="AM162" i="10"/>
  <c r="AM159" i="10"/>
  <c r="U159" i="10"/>
  <c r="N159" i="10"/>
  <c r="AM147" i="10"/>
  <c r="U147" i="10"/>
  <c r="N147" i="10"/>
  <c r="AC142" i="10"/>
  <c r="U142" i="10"/>
  <c r="N141" i="10"/>
  <c r="BM138" i="10"/>
  <c r="BI138" i="10"/>
  <c r="BE138" i="10"/>
  <c r="AC137" i="10"/>
  <c r="U137" i="10"/>
  <c r="BE135" i="10"/>
  <c r="AM135" i="10"/>
  <c r="N135" i="10"/>
  <c r="AM123" i="10"/>
  <c r="U123" i="10"/>
  <c r="N123" i="10"/>
  <c r="U118" i="10"/>
  <c r="N117" i="10"/>
  <c r="BM114" i="10"/>
  <c r="BI114" i="10"/>
  <c r="BE114" i="10"/>
  <c r="U113" i="10"/>
  <c r="BE111" i="10"/>
  <c r="AM111" i="10"/>
  <c r="N111" i="10"/>
  <c r="AM99" i="10"/>
  <c r="U99" i="10"/>
  <c r="N99" i="10"/>
  <c r="AC94" i="10"/>
  <c r="U94" i="10"/>
  <c r="N93" i="10"/>
  <c r="BM90" i="10"/>
  <c r="BI90" i="10"/>
  <c r="BE90" i="10"/>
  <c r="AC89" i="10"/>
  <c r="U89" i="10"/>
  <c r="BE87" i="10"/>
  <c r="AM87" i="10"/>
  <c r="N87" i="10"/>
  <c r="AM75" i="10"/>
  <c r="U75" i="10"/>
  <c r="N75" i="10"/>
  <c r="N69" i="10"/>
  <c r="BM66" i="10"/>
  <c r="BI66" i="10"/>
  <c r="BE66" i="10"/>
  <c r="AU66" i="10"/>
  <c r="AM66" i="10"/>
  <c r="BE63" i="10"/>
  <c r="U63" i="10"/>
  <c r="N63" i="10"/>
  <c r="AM52" i="10"/>
  <c r="U52" i="10"/>
  <c r="N52" i="10"/>
  <c r="AM48" i="10"/>
  <c r="AM47" i="10"/>
  <c r="AM46" i="10"/>
  <c r="AM45" i="10"/>
  <c r="AM44" i="10"/>
  <c r="N44" i="10"/>
  <c r="AM43" i="10"/>
  <c r="AM42" i="10"/>
  <c r="BM39" i="10"/>
  <c r="BI39" i="10"/>
  <c r="BE39" i="10"/>
  <c r="AU38" i="10"/>
  <c r="AM38" i="10"/>
  <c r="BE36" i="10"/>
  <c r="U36" i="10"/>
  <c r="N36" i="10"/>
  <c r="BB24" i="10"/>
  <c r="AT24" i="10"/>
  <c r="AM24" i="10"/>
  <c r="AF24" i="10"/>
  <c r="Y24" i="10"/>
  <c r="R24" i="10"/>
  <c r="K24" i="10"/>
  <c r="D24" i="10"/>
  <c r="BF11" i="10"/>
  <c r="AO11" i="10"/>
  <c r="U11" i="10"/>
  <c r="C11"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8" l="1"/>
  <c r="AM266" i="8"/>
  <c r="U266" i="8"/>
  <c r="N266" i="8"/>
  <c r="N260" i="8"/>
  <c r="BM257" i="8"/>
  <c r="BI257" i="8"/>
  <c r="BE257" i="8"/>
  <c r="AU256" i="8"/>
  <c r="AM256" i="8"/>
  <c r="BE254" i="8"/>
  <c r="U254" i="8"/>
  <c r="N254" i="8"/>
  <c r="AM243" i="8"/>
  <c r="U243" i="8"/>
  <c r="N243" i="8"/>
  <c r="AQ239" i="8"/>
  <c r="AQ237" i="8"/>
  <c r="N237" i="8"/>
  <c r="AY236" i="8"/>
  <c r="AQ235" i="8"/>
  <c r="BM234" i="8"/>
  <c r="BI234" i="8"/>
  <c r="BE234" i="8"/>
  <c r="AQ233" i="8"/>
  <c r="BE231" i="8"/>
  <c r="AY231" i="8"/>
  <c r="AQ231" i="8"/>
  <c r="U231" i="8"/>
  <c r="N231" i="8"/>
  <c r="AM219" i="8"/>
  <c r="U219" i="8"/>
  <c r="N219" i="8"/>
  <c r="N213" i="8"/>
  <c r="BM210" i="8"/>
  <c r="BI210" i="8"/>
  <c r="BE210" i="8"/>
  <c r="BE207" i="8"/>
  <c r="AN207" i="8"/>
  <c r="U207" i="8"/>
  <c r="N207" i="8"/>
  <c r="AM195" i="8"/>
  <c r="U195" i="8"/>
  <c r="N195" i="8"/>
  <c r="N189" i="8"/>
  <c r="BM186" i="8"/>
  <c r="BI186" i="8"/>
  <c r="BE186" i="8"/>
  <c r="AU186" i="8"/>
  <c r="AM186" i="8"/>
  <c r="BE183" i="8"/>
  <c r="U183" i="8"/>
  <c r="N183" i="8"/>
  <c r="AM171" i="8"/>
  <c r="U171" i="8"/>
  <c r="N171" i="8"/>
  <c r="N165" i="8"/>
  <c r="AU162" i="8"/>
  <c r="AQ162" i="8"/>
  <c r="AM162" i="8"/>
  <c r="AM159" i="8"/>
  <c r="U159" i="8"/>
  <c r="N159" i="8"/>
  <c r="AM147" i="8"/>
  <c r="U147" i="8"/>
  <c r="N147" i="8"/>
  <c r="AC142" i="8"/>
  <c r="U142" i="8"/>
  <c r="N141" i="8"/>
  <c r="BM138" i="8"/>
  <c r="BI138" i="8"/>
  <c r="BE138" i="8"/>
  <c r="AC137" i="8"/>
  <c r="U137" i="8"/>
  <c r="BE135" i="8"/>
  <c r="AM135" i="8"/>
  <c r="N135" i="8"/>
  <c r="AM123" i="8"/>
  <c r="U123" i="8"/>
  <c r="N123" i="8"/>
  <c r="U118" i="8"/>
  <c r="N117" i="8"/>
  <c r="BM114" i="8"/>
  <c r="BI114" i="8"/>
  <c r="BE114" i="8"/>
  <c r="U113" i="8"/>
  <c r="BE111" i="8"/>
  <c r="AM111" i="8"/>
  <c r="N111" i="8"/>
  <c r="AM99" i="8"/>
  <c r="U99" i="8"/>
  <c r="N99" i="8"/>
  <c r="AC94" i="8"/>
  <c r="U94" i="8"/>
  <c r="N93" i="8"/>
  <c r="BM90" i="8"/>
  <c r="BI90" i="8"/>
  <c r="BE90" i="8"/>
  <c r="AC89" i="8"/>
  <c r="U89" i="8"/>
  <c r="BE87" i="8"/>
  <c r="AM87" i="8"/>
  <c r="N87" i="8"/>
  <c r="AM75" i="8"/>
  <c r="U75" i="8"/>
  <c r="N75" i="8"/>
  <c r="N69" i="8"/>
  <c r="BM66" i="8"/>
  <c r="BI66" i="8"/>
  <c r="BE66" i="8"/>
  <c r="AU66" i="8"/>
  <c r="AM66" i="8"/>
  <c r="BE63" i="8"/>
  <c r="U63" i="8"/>
  <c r="N63" i="8"/>
  <c r="AM52" i="8"/>
  <c r="U52" i="8"/>
  <c r="N52" i="8"/>
  <c r="AM48" i="8"/>
  <c r="AM47" i="8"/>
  <c r="AM46" i="8"/>
  <c r="AM45" i="8"/>
  <c r="AM44" i="8"/>
  <c r="N44" i="8"/>
  <c r="AM43" i="8"/>
  <c r="AM42" i="8"/>
  <c r="BM39" i="8"/>
  <c r="BI39" i="8"/>
  <c r="BE39" i="8"/>
  <c r="AU38" i="8"/>
  <c r="AM38" i="8"/>
  <c r="BE36" i="8"/>
  <c r="U36" i="8"/>
  <c r="N36" i="8"/>
  <c r="BB24" i="8"/>
  <c r="AT24" i="8"/>
  <c r="AM24" i="8"/>
  <c r="AF24" i="8"/>
  <c r="Y24" i="8"/>
  <c r="R24" i="8"/>
  <c r="K24" i="8"/>
  <c r="D24" i="8"/>
  <c r="BF11" i="8"/>
  <c r="AO11" i="8"/>
  <c r="U11" i="8"/>
  <c r="C11" i="8"/>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D279" i="5" l="1"/>
  <c r="AM266" i="5"/>
  <c r="U266" i="5"/>
  <c r="N266" i="5"/>
  <c r="N260" i="5"/>
  <c r="BM257" i="5"/>
  <c r="BI257" i="5"/>
  <c r="BE257" i="5"/>
  <c r="AU256" i="5"/>
  <c r="AM256" i="5"/>
  <c r="BE254" i="5"/>
  <c r="U254" i="5"/>
  <c r="N254" i="5"/>
  <c r="AM243" i="5"/>
  <c r="U243" i="5"/>
  <c r="N243" i="5"/>
  <c r="AQ239" i="5"/>
  <c r="AQ237" i="5"/>
  <c r="N237" i="5"/>
  <c r="AY236" i="5"/>
  <c r="AQ235" i="5"/>
  <c r="BM234" i="5"/>
  <c r="BI234" i="5"/>
  <c r="BE234" i="5"/>
  <c r="AQ233" i="5"/>
  <c r="BE231" i="5"/>
  <c r="AY231" i="5"/>
  <c r="AQ231" i="5"/>
  <c r="U231" i="5"/>
  <c r="N231" i="5"/>
  <c r="AM219" i="5"/>
  <c r="U219" i="5"/>
  <c r="N219" i="5"/>
  <c r="N213" i="5"/>
  <c r="BM210" i="5"/>
  <c r="BI210" i="5"/>
  <c r="BE210" i="5"/>
  <c r="BE207" i="5"/>
  <c r="AN207" i="5"/>
  <c r="U207" i="5"/>
  <c r="N207" i="5"/>
  <c r="AM195" i="5"/>
  <c r="U195" i="5"/>
  <c r="N195" i="5"/>
  <c r="N189" i="5"/>
  <c r="BM186" i="5"/>
  <c r="BI186" i="5"/>
  <c r="BE186" i="5"/>
  <c r="AU186" i="5"/>
  <c r="AM186" i="5"/>
  <c r="BE183" i="5"/>
  <c r="U183" i="5"/>
  <c r="N183" i="5"/>
  <c r="AM171" i="5"/>
  <c r="U171" i="5"/>
  <c r="N171" i="5"/>
  <c r="N165" i="5"/>
  <c r="AU162" i="5"/>
  <c r="AQ162" i="5"/>
  <c r="AM162" i="5"/>
  <c r="AM159" i="5"/>
  <c r="U159" i="5"/>
  <c r="N159" i="5"/>
  <c r="AM147" i="5"/>
  <c r="U147" i="5"/>
  <c r="N147" i="5"/>
  <c r="AC142" i="5"/>
  <c r="U142" i="5"/>
  <c r="N141" i="5"/>
  <c r="BM138" i="5"/>
  <c r="BI138" i="5"/>
  <c r="BE138" i="5"/>
  <c r="AC137" i="5"/>
  <c r="U137" i="5"/>
  <c r="BE135" i="5"/>
  <c r="AM135" i="5"/>
  <c r="N135" i="5"/>
  <c r="AM123" i="5"/>
  <c r="U123" i="5"/>
  <c r="N123" i="5"/>
  <c r="U118" i="5"/>
  <c r="N117" i="5"/>
  <c r="BM114" i="5"/>
  <c r="BI114" i="5"/>
  <c r="BE114" i="5"/>
  <c r="U113" i="5"/>
  <c r="BE111" i="5"/>
  <c r="AM111" i="5"/>
  <c r="N111" i="5"/>
  <c r="AM99" i="5"/>
  <c r="U99" i="5"/>
  <c r="N99" i="5"/>
  <c r="AC94" i="5"/>
  <c r="U94" i="5"/>
  <c r="N93" i="5"/>
  <c r="BM90" i="5"/>
  <c r="BI90" i="5"/>
  <c r="BE90" i="5"/>
  <c r="AC89" i="5"/>
  <c r="U89" i="5"/>
  <c r="BE87" i="5"/>
  <c r="AM87" i="5"/>
  <c r="N87" i="5"/>
  <c r="AM75" i="5"/>
  <c r="U75" i="5"/>
  <c r="N75" i="5"/>
  <c r="N69" i="5"/>
  <c r="BM66" i="5"/>
  <c r="BI66" i="5"/>
  <c r="BE66" i="5"/>
  <c r="AU66" i="5"/>
  <c r="AM66" i="5"/>
  <c r="BE63" i="5"/>
  <c r="U63" i="5"/>
  <c r="N63" i="5"/>
  <c r="AM52" i="5"/>
  <c r="U52" i="5"/>
  <c r="N52" i="5"/>
  <c r="AM48" i="5"/>
  <c r="AM47" i="5"/>
  <c r="AM46" i="5"/>
  <c r="AM45" i="5"/>
  <c r="AM44" i="5"/>
  <c r="N44" i="5"/>
  <c r="AM43" i="5"/>
  <c r="AM42" i="5"/>
  <c r="BM39" i="5"/>
  <c r="BI39" i="5"/>
  <c r="BE39" i="5"/>
  <c r="AU38" i="5"/>
  <c r="AM38" i="5"/>
  <c r="BE36" i="5"/>
  <c r="U36" i="5"/>
  <c r="N36" i="5"/>
  <c r="BB24" i="5"/>
  <c r="AT24" i="5"/>
  <c r="AM24" i="5"/>
  <c r="AF24" i="5"/>
  <c r="Y24" i="5"/>
  <c r="R24" i="5"/>
  <c r="K24" i="5"/>
  <c r="D24" i="5"/>
  <c r="BF11" i="5"/>
  <c r="AO11" i="5"/>
  <c r="U11" i="5"/>
  <c r="C11"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D279" i="3" l="1"/>
  <c r="AM266" i="3"/>
  <c r="U266" i="3"/>
  <c r="N266" i="3"/>
  <c r="N260" i="3"/>
  <c r="BM257" i="3"/>
  <c r="BI257" i="3"/>
  <c r="BE257" i="3"/>
  <c r="AU256" i="3"/>
  <c r="AM256" i="3"/>
  <c r="BE254" i="3"/>
  <c r="U254" i="3"/>
  <c r="N254" i="3"/>
  <c r="AM243" i="3"/>
  <c r="U243" i="3"/>
  <c r="N243" i="3"/>
  <c r="AQ239" i="3"/>
  <c r="AQ237" i="3"/>
  <c r="N237" i="3"/>
  <c r="AY236" i="3"/>
  <c r="AQ235" i="3"/>
  <c r="BM234" i="3"/>
  <c r="BI234" i="3"/>
  <c r="BE234" i="3"/>
  <c r="AQ233" i="3"/>
  <c r="BE231" i="3"/>
  <c r="AY231" i="3"/>
  <c r="AQ231" i="3"/>
  <c r="U231" i="3"/>
  <c r="N231" i="3"/>
  <c r="AM219" i="3"/>
  <c r="U219" i="3"/>
  <c r="N219" i="3"/>
  <c r="N213" i="3"/>
  <c r="BM210" i="3"/>
  <c r="BI210" i="3"/>
  <c r="BE210" i="3"/>
  <c r="BE207" i="3"/>
  <c r="AN207" i="3"/>
  <c r="U207" i="3"/>
  <c r="N207" i="3"/>
  <c r="AM195" i="3"/>
  <c r="U195" i="3"/>
  <c r="N195" i="3"/>
  <c r="N189" i="3"/>
  <c r="BM186" i="3"/>
  <c r="BI186" i="3"/>
  <c r="BE186" i="3"/>
  <c r="AU186" i="3"/>
  <c r="AM186" i="3"/>
  <c r="BE183" i="3"/>
  <c r="U183" i="3"/>
  <c r="N183" i="3"/>
  <c r="AM171" i="3"/>
  <c r="U171" i="3"/>
  <c r="N171" i="3"/>
  <c r="N165" i="3"/>
  <c r="AU162" i="3"/>
  <c r="AQ162" i="3"/>
  <c r="AM162" i="3"/>
  <c r="AM159" i="3"/>
  <c r="U159" i="3"/>
  <c r="N159" i="3"/>
  <c r="AM147" i="3"/>
  <c r="U147" i="3"/>
  <c r="N147" i="3"/>
  <c r="AC142" i="3"/>
  <c r="U142" i="3"/>
  <c r="N141" i="3"/>
  <c r="BM138" i="3"/>
  <c r="BI138" i="3"/>
  <c r="BE138" i="3"/>
  <c r="AC137" i="3"/>
  <c r="U137" i="3"/>
  <c r="BE135" i="3"/>
  <c r="AM135" i="3"/>
  <c r="N135" i="3"/>
  <c r="AM123" i="3"/>
  <c r="U123" i="3"/>
  <c r="N123" i="3"/>
  <c r="U118" i="3"/>
  <c r="N117" i="3"/>
  <c r="BM114" i="3"/>
  <c r="BI114" i="3"/>
  <c r="BE114" i="3"/>
  <c r="U113" i="3"/>
  <c r="BE111" i="3"/>
  <c r="AM111" i="3"/>
  <c r="N111" i="3"/>
  <c r="AM99" i="3"/>
  <c r="U99" i="3"/>
  <c r="N99" i="3"/>
  <c r="AC94" i="3"/>
  <c r="U94" i="3"/>
  <c r="N93" i="3"/>
  <c r="BM90" i="3"/>
  <c r="BI90" i="3"/>
  <c r="BE90" i="3"/>
  <c r="AC89" i="3"/>
  <c r="U89" i="3"/>
  <c r="BE87" i="3"/>
  <c r="AM87" i="3"/>
  <c r="N87" i="3"/>
  <c r="AM75" i="3"/>
  <c r="U75" i="3"/>
  <c r="N75" i="3"/>
  <c r="N69" i="3"/>
  <c r="BM66" i="3"/>
  <c r="BI66" i="3"/>
  <c r="BE66" i="3"/>
  <c r="AU66" i="3"/>
  <c r="AM66" i="3"/>
  <c r="BE63" i="3"/>
  <c r="U63" i="3"/>
  <c r="N63" i="3"/>
  <c r="AM52" i="3"/>
  <c r="U52" i="3"/>
  <c r="N52" i="3"/>
  <c r="AM48" i="3"/>
  <c r="AM47" i="3"/>
  <c r="AM46" i="3"/>
  <c r="AM45" i="3"/>
  <c r="AM44" i="3"/>
  <c r="N44" i="3"/>
  <c r="AM43" i="3"/>
  <c r="AM42" i="3"/>
  <c r="BM39" i="3"/>
  <c r="BI39" i="3"/>
  <c r="BE39" i="3"/>
  <c r="AU38" i="3"/>
  <c r="AM38" i="3"/>
  <c r="BE36" i="3"/>
  <c r="U36" i="3"/>
  <c r="N36" i="3"/>
  <c r="BB24" i="3"/>
  <c r="AT24" i="3"/>
  <c r="AM24" i="3"/>
  <c r="AF24" i="3"/>
  <c r="Y24" i="3"/>
  <c r="R24" i="3"/>
  <c r="K24" i="3"/>
  <c r="D24" i="3"/>
  <c r="BF11" i="3"/>
  <c r="AO11" i="3"/>
  <c r="U11" i="3"/>
  <c r="C11" i="3"/>
  <c r="D279" i="2" l="1"/>
  <c r="AM266" i="2"/>
  <c r="U266" i="2"/>
  <c r="N266" i="2"/>
  <c r="N260" i="2"/>
  <c r="BM257" i="2"/>
  <c r="BI257" i="2"/>
  <c r="BE257" i="2"/>
  <c r="AU256" i="2"/>
  <c r="AM256" i="2"/>
  <c r="BE254" i="2"/>
  <c r="U254" i="2"/>
  <c r="N254" i="2"/>
  <c r="AM243" i="2"/>
  <c r="U243" i="2"/>
  <c r="N243" i="2"/>
  <c r="AQ239" i="2"/>
  <c r="AQ237" i="2"/>
  <c r="N237" i="2"/>
  <c r="AY236" i="2"/>
  <c r="AQ235" i="2"/>
  <c r="BM234" i="2"/>
  <c r="BI234" i="2"/>
  <c r="BE234" i="2"/>
  <c r="AQ233" i="2"/>
  <c r="BE231" i="2"/>
  <c r="AY231" i="2"/>
  <c r="AQ231" i="2"/>
  <c r="U231" i="2"/>
  <c r="N231" i="2"/>
  <c r="AM219" i="2"/>
  <c r="U219" i="2"/>
  <c r="N219" i="2"/>
  <c r="N213" i="2"/>
  <c r="BM210" i="2"/>
  <c r="BI210" i="2"/>
  <c r="BE210" i="2"/>
  <c r="BE207" i="2"/>
  <c r="AN207" i="2"/>
  <c r="U207" i="2"/>
  <c r="N207" i="2"/>
  <c r="AM195" i="2"/>
  <c r="U195" i="2"/>
  <c r="N195" i="2"/>
  <c r="N189" i="2"/>
  <c r="BM186" i="2"/>
  <c r="BI186" i="2"/>
  <c r="BE186" i="2"/>
  <c r="AU186" i="2"/>
  <c r="AM186" i="2"/>
  <c r="BE183" i="2"/>
  <c r="U183" i="2"/>
  <c r="N183" i="2"/>
  <c r="AM171" i="2"/>
  <c r="U171" i="2"/>
  <c r="N171" i="2"/>
  <c r="N165" i="2"/>
  <c r="AU162" i="2"/>
  <c r="AQ162" i="2"/>
  <c r="AM162" i="2"/>
  <c r="AM159" i="2"/>
  <c r="U159" i="2"/>
  <c r="N159" i="2"/>
  <c r="AM147" i="2"/>
  <c r="U147" i="2"/>
  <c r="N147" i="2"/>
  <c r="AC142" i="2"/>
  <c r="U142" i="2"/>
  <c r="N141" i="2"/>
  <c r="BM138" i="2"/>
  <c r="BI138" i="2"/>
  <c r="BE138" i="2"/>
  <c r="AC137" i="2"/>
  <c r="U137" i="2"/>
  <c r="BE135" i="2"/>
  <c r="AM135" i="2"/>
  <c r="N135" i="2"/>
  <c r="AM123" i="2"/>
  <c r="U123" i="2"/>
  <c r="N123" i="2"/>
  <c r="U118" i="2"/>
  <c r="N117" i="2"/>
  <c r="BM114" i="2"/>
  <c r="BI114" i="2"/>
  <c r="BE114" i="2"/>
  <c r="U113" i="2"/>
  <c r="BE111" i="2"/>
  <c r="AM111" i="2"/>
  <c r="N111" i="2"/>
  <c r="AM99" i="2"/>
  <c r="U99" i="2"/>
  <c r="N99" i="2"/>
  <c r="AC94" i="2"/>
  <c r="U94" i="2"/>
  <c r="N93" i="2"/>
  <c r="BM90" i="2"/>
  <c r="BI90" i="2"/>
  <c r="BE90" i="2"/>
  <c r="AC89" i="2"/>
  <c r="U89" i="2"/>
  <c r="BE87" i="2"/>
  <c r="AM87" i="2"/>
  <c r="N87" i="2"/>
  <c r="AM75" i="2"/>
  <c r="U75" i="2"/>
  <c r="N75" i="2"/>
  <c r="N69" i="2"/>
  <c r="BM66" i="2"/>
  <c r="BI66" i="2"/>
  <c r="BE66" i="2"/>
  <c r="AU66" i="2"/>
  <c r="AM66" i="2"/>
  <c r="BE63" i="2"/>
  <c r="U63" i="2"/>
  <c r="N63" i="2"/>
  <c r="AM52" i="2"/>
  <c r="U52" i="2"/>
  <c r="N52" i="2"/>
  <c r="AM48" i="2"/>
  <c r="AM47" i="2"/>
  <c r="AM46" i="2"/>
  <c r="AM45" i="2"/>
  <c r="AM44" i="2"/>
  <c r="N44" i="2"/>
  <c r="AM43" i="2"/>
  <c r="AM42" i="2"/>
  <c r="BM39" i="2"/>
  <c r="BI39" i="2"/>
  <c r="BE39" i="2"/>
  <c r="AU38" i="2"/>
  <c r="AM38" i="2"/>
  <c r="BE36" i="2"/>
  <c r="U36" i="2"/>
  <c r="N36" i="2"/>
  <c r="BB24" i="2"/>
  <c r="AT24" i="2"/>
  <c r="AM24" i="2"/>
  <c r="AF24" i="2"/>
  <c r="Y24" i="2"/>
  <c r="R24" i="2"/>
  <c r="K24" i="2"/>
  <c r="D24" i="2"/>
  <c r="BF11" i="2"/>
  <c r="AO11" i="2"/>
  <c r="U11" i="2"/>
  <c r="C11" i="2"/>
</calcChain>
</file>

<file path=xl/sharedStrings.xml><?xml version="1.0" encoding="utf-8"?>
<sst xmlns="http://schemas.openxmlformats.org/spreadsheetml/2006/main" count="2464" uniqueCount="74">
  <si>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</si>
  <si>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</si>
  <si>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</si>
  <si>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</si>
  <si>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</si>
  <si>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</si>
  <si>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</si>
  <si>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</si>
  <si>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</si>
  <si>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</si>
  <si>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rPh sb="0" eb="2">
      <t>シテイ</t>
    </rPh>
    <rPh sb="2" eb="5">
      <t>カンリシャ</t>
    </rPh>
    <rPh sb="6" eb="8">
      <t>セイド</t>
    </rPh>
    <phoneticPr fontId="9"/>
  </si>
  <si>
    <t>包括的
民間委託</t>
    <rPh sb="0" eb="3">
      <t>ホウカツテキ</t>
    </rPh>
    <rPh sb="4" eb="6">
      <t>ミンカン</t>
    </rPh>
    <rPh sb="6" eb="8">
      <t>イタク</t>
    </rPh>
    <phoneticPr fontId="9"/>
  </si>
  <si>
    <t>PPP/PFI方式
の活用</t>
    <rPh sb="7" eb="9">
      <t>ホウシキ</t>
    </rPh>
    <rPh sb="11" eb="13">
      <t>カツヨウ</t>
    </rPh>
    <phoneticPr fontId="9"/>
  </si>
  <si>
    <t>地方独立行政法人への移行</t>
    <rPh sb="0" eb="2">
      <t>チホウ</t>
    </rPh>
    <rPh sb="2" eb="4">
      <t>ドクリツ</t>
    </rPh>
    <rPh sb="4" eb="6">
      <t>ギョウセイ</t>
    </rPh>
    <rPh sb="6" eb="8">
      <t>ホウジン</t>
    </rPh>
    <rPh sb="10" eb="12">
      <t>イコウ</t>
    </rPh>
    <phoneticPr fontId="9"/>
  </si>
  <si>
    <t>取組事項</t>
    <rPh sb="0" eb="2">
      <t>トリクミ</t>
    </rPh>
    <rPh sb="2" eb="4">
      <t>ジコウ</t>
    </rPh>
    <phoneticPr fontId="9"/>
  </si>
  <si>
    <t>（取組の概要及び効果）</t>
    <rPh sb="1" eb="2">
      <t>ト</t>
    </rPh>
    <rPh sb="2" eb="3">
      <t>ク</t>
    </rPh>
    <rPh sb="4" eb="6">
      <t>ガイヨウ</t>
    </rPh>
    <rPh sb="6" eb="7">
      <t>オヨ</t>
    </rPh>
    <rPh sb="8" eb="10">
      <t>コウカ</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</si>
  <si>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</si>
  <si>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</si>
  <si>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</si>
  <si>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</si>
  <si>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</si>
  <si>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①償還終了による廃止</t>
    <rPh sb="1" eb="3">
      <t>ショウカン</t>
    </rPh>
    <rPh sb="3" eb="5">
      <t>シュウリョウ</t>
    </rPh>
    <rPh sb="8" eb="10">
      <t>ハイシ</t>
    </rPh>
    <phoneticPr fontId="9"/>
  </si>
  <si>
    <t>②一般会計化</t>
    <rPh sb="1" eb="3">
      <t>イッパン</t>
    </rPh>
    <rPh sb="3" eb="6">
      <t>カイケイカ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</si>
  <si>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</si>
  <si>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</si>
  <si>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</si>
  <si>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</si>
  <si>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③診療所への移行</t>
    <rPh sb="1" eb="4">
      <t>シンリョウジョ</t>
    </rPh>
    <rPh sb="6" eb="8">
      <t>イコウ</t>
    </rPh>
    <phoneticPr fontId="9"/>
  </si>
  <si>
    <t>④飲料用水供給施設化</t>
    <rPh sb="1" eb="3">
      <t>インリョウ</t>
    </rPh>
    <rPh sb="3" eb="5">
      <t>ヨウスイ</t>
    </rPh>
    <rPh sb="5" eb="7">
      <t>キョウキュウ</t>
    </rPh>
    <rPh sb="7" eb="10">
      <t>シセツカ</t>
    </rPh>
    <phoneticPr fontId="9"/>
  </si>
  <si>
    <t>⑤民営化・民間譲渡による廃止</t>
    <rPh sb="1" eb="4">
      <t>ミンエイカ</t>
    </rPh>
    <rPh sb="5" eb="7">
      <t>ミンカン</t>
    </rPh>
    <rPh sb="7" eb="9">
      <t>ジョウト</t>
    </rPh>
    <rPh sb="12" eb="14">
      <t>ハイシ</t>
    </rPh>
    <phoneticPr fontId="9"/>
  </si>
  <si>
    <t>⑥広域化による廃止</t>
    <rPh sb="1" eb="4">
      <t>コウイキカ</t>
    </rPh>
    <rPh sb="7" eb="9">
      <t>ハイシ</t>
    </rPh>
    <phoneticPr fontId="9"/>
  </si>
  <si>
    <t>⑦その他</t>
    <rPh sb="3" eb="4">
      <t>タ</t>
    </rPh>
    <phoneticPr fontId="9"/>
  </si>
  <si>
    <t>（取組の概要）</t>
    <rPh sb="1" eb="2">
      <t>ト</t>
    </rPh>
    <rPh sb="2" eb="3">
      <t>ク</t>
    </rPh>
    <rPh sb="4" eb="6">
      <t>ガイヨウ</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</si>
  <si>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</si>
  <si>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</si>
  <si>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</si>
  <si>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（取組の概要及び効果）</t>
    <rPh sb="1" eb="2">
      <t>ト</t>
    </rPh>
    <rPh sb="2" eb="3">
      <t>ク</t>
    </rPh>
    <rPh sb="4" eb="6">
      <t>ガイヨウ</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</si>
  <si>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</si>
  <si>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</si>
  <si>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</si>
  <si>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</si>
  <si>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</si>
  <si>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</si>
  <si>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</si>
  <si>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</si>
  <si>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</si>
  <si>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t>
    <rPh sb="0" eb="2">
      <t>カンイ</t>
    </rPh>
    <rPh sb="2" eb="4">
      <t>スイドウ</t>
    </rPh>
    <rPh sb="4" eb="6">
      <t>ジギョウ</t>
    </rPh>
    <rPh sb="6" eb="8">
      <t>トウゴウ</t>
    </rPh>
    <phoneticPr fontId="9"/>
  </si>
  <si>
    <t>簡易水道事業統合以外</t>
    <rPh sb="0" eb="2">
      <t>カンイ</t>
    </rPh>
    <rPh sb="2" eb="4">
      <t>スイドウ</t>
    </rPh>
    <rPh sb="4" eb="6">
      <t>ジギョウ</t>
    </rPh>
    <rPh sb="6" eb="8">
      <t>トウゴウ</t>
    </rPh>
    <rPh sb="8" eb="10">
      <t>イガイ</t>
    </rPh>
    <phoneticPr fontId="9"/>
  </si>
  <si>
    <t>（下水道事業）広域化等</t>
    <rPh sb="1" eb="2">
      <t>シタ</t>
    </rPh>
    <rPh sb="2" eb="4">
      <t>スイドウ</t>
    </rPh>
    <rPh sb="4" eb="6">
      <t>ジギョウ</t>
    </rPh>
    <phoneticPr fontId="9"/>
  </si>
  <si>
    <t>汚水処理施設の
統廃合</t>
    <rPh sb="0" eb="2">
      <t>オスイ</t>
    </rPh>
    <rPh sb="2" eb="4">
      <t>ショリ</t>
    </rPh>
    <rPh sb="4" eb="6">
      <t>シセツ</t>
    </rPh>
    <rPh sb="8" eb="11">
      <t>トウハイゴウ</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</si>
  <si>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</si>
  <si>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</si>
  <si>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</si>
  <si>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</si>
  <si>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</si>
  <si>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</si>
  <si>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</si>
  <si>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</si>
  <si>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</si>
  <si>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</si>
  <si>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</si>
  <si>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</si>
  <si>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</si>
  <si>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</si>
  <si>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</si>
  <si>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</si>
  <si>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その他</t>
    <rPh sb="2" eb="3">
      <t>タ</t>
    </rPh>
    <phoneticPr fontId="9"/>
  </si>
  <si>
    <t>DB方式</t>
    <rPh sb="2" eb="4">
      <t>ホウシキ</t>
    </rPh>
    <phoneticPr fontId="9"/>
  </si>
  <si>
    <t>DBO方式</t>
    <rPh sb="3" eb="5">
      <t>ホウシキ</t>
    </rPh>
    <phoneticPr fontId="9"/>
  </si>
  <si>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</si>
  <si>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</si>
  <si>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</si>
  <si>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</si>
  <si>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抜本的な改革に取り組まず、現行の経営体制・手法を継続する理由及び現在の経営状況・経営戦略等における中長期的な将来見通しを踏まえた、今後の経営改革の方向性</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</si>
</sst>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287">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17" fillId="2" borderId="0" xfId="1" applyFont="1" applyFill="1" applyAlignment="1">
      <alignment horizontal="left"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7"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31"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9" xfId="1" applyFont="1" applyBorder="1" applyAlignment="1">
      <alignment horizontal="center" vertical="center" shrinkToFit="1"/>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18" fillId="0" borderId="1" xfId="1" quotePrefix="1" applyFont="1" applyBorder="1" applyAlignment="1">
      <alignment horizontal="center" vertical="center" wrapText="1"/>
    </xf>
    <xf numFmtId="0" fontId="17" fillId="2" borderId="3" xfId="1" applyFont="1" applyFill="1" applyBorder="1" applyAlignment="1">
      <alignment horizontal="left" wrapText="1"/>
    </xf>
    <xf numFmtId="0" fontId="17" fillId="2" borderId="8" xfId="1" applyFont="1" applyFill="1" applyBorder="1" applyAlignment="1">
      <alignment horizontal="left"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8" fillId="0" borderId="4"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6" xfId="1" applyFont="1" applyBorder="1" applyAlignment="1">
      <alignment horizontal="left" vertical="center" wrapText="1"/>
    </xf>
    <xf numFmtId="0" fontId="28" fillId="0" borderId="7" xfId="1" applyFont="1" applyBorder="1" applyAlignment="1">
      <alignment horizontal="left" vertical="center" wrapText="1"/>
    </xf>
    <xf numFmtId="0" fontId="28" fillId="0" borderId="8" xfId="1" applyFont="1" applyBorder="1" applyAlignment="1">
      <alignment horizontal="left" vertical="center" wrapText="1"/>
    </xf>
    <xf numFmtId="0" fontId="28" fillId="0" borderId="9" xfId="1" applyFont="1" applyBorder="1" applyAlignment="1">
      <alignment horizontal="left" vertical="center"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15" fillId="0" borderId="1" xfId="1" applyFont="1" applyBorder="1" applyAlignment="1">
      <alignment horizontal="center" vertical="center"/>
    </xf>
    <xf numFmtId="0" fontId="15" fillId="0" borderId="11" xfId="1" applyFont="1" applyBorder="1" applyAlignment="1">
      <alignment horizontal="center" vertical="center"/>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5" fillId="0" borderId="1" xfId="1" applyFont="1" applyBorder="1" applyAlignment="1">
      <alignment horizontal="center" vertical="center" wrapText="1"/>
    </xf>
    <xf numFmtId="0" fontId="17" fillId="2" borderId="0" xfId="1" applyFont="1" applyFill="1" applyAlignment="1">
      <alignment horizontal="left"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8" fillId="0" borderId="2"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4" xfId="1" applyFont="1" applyBorder="1" applyAlignment="1">
      <alignment horizontal="center" vertical="center" wrapText="1"/>
    </xf>
    <xf numFmtId="0" fontId="28" fillId="0" borderId="5" xfId="1" applyFont="1" applyBorder="1" applyAlignment="1">
      <alignment horizontal="center" vertical="center" wrapText="1"/>
    </xf>
    <xf numFmtId="0" fontId="28" fillId="0" borderId="0" xfId="1" applyFont="1" applyAlignment="1">
      <alignment horizontal="center" vertical="center" wrapText="1"/>
    </xf>
    <xf numFmtId="0" fontId="28" fillId="0" borderId="6"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4"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25" fillId="0" borderId="1" xfId="1" applyFont="1" applyBorder="1" applyAlignment="1">
      <alignment horizontal="center" vertical="center" wrapText="1" shrinkToFit="1"/>
    </xf>
    <xf numFmtId="0" fontId="26" fillId="0" borderId="10" xfId="1" applyFont="1" applyBorder="1">
      <alignment vertical="center"/>
    </xf>
    <xf numFmtId="0" fontId="26" fillId="0" borderId="12" xfId="1" applyFont="1" applyBorder="1">
      <alignment vertical="center"/>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1" fillId="0" borderId="0" xfId="1" applyAlignment="1">
      <alignment horizontal="center" vertical="center" shrinkToFit="1"/>
    </xf>
    <xf numFmtId="0" fontId="1" fillId="0" borderId="6" xfId="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1" fillId="0" borderId="3" xfId="1" applyBorder="1">
      <alignment vertical="center"/>
    </xf>
    <xf numFmtId="0" fontId="1" fillId="0" borderId="4" xfId="1" applyBorder="1">
      <alignment vertical="center"/>
    </xf>
    <xf numFmtId="0" fontId="1" fillId="0" borderId="0" xfId="1">
      <alignment vertical="center"/>
    </xf>
    <xf numFmtId="0" fontId="1" fillId="0" borderId="6" xfId="1" applyBorder="1">
      <alignment vertical="center"/>
    </xf>
    <xf numFmtId="0" fontId="1" fillId="0" borderId="8" xfId="1" applyBorder="1">
      <alignment vertical="center"/>
    </xf>
    <xf numFmtId="0" fontId="1" fillId="0" borderId="9" xfId="1" applyBorder="1">
      <alignment vertical="center"/>
    </xf>
    <xf numFmtId="0" fontId="25" fillId="0" borderId="1" xfId="1" applyFont="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8" fillId="0" borderId="1" xfId="1" applyFont="1" applyBorder="1" applyAlignment="1">
      <alignment horizontal="center" vertical="center" shrinkToFit="1"/>
    </xf>
    <xf numFmtId="0" fontId="1" fillId="0" borderId="1" xfId="1" applyBorder="1" applyAlignment="1">
      <alignment horizontal="center" vertical="center" shrinkToFit="1"/>
    </xf>
    <xf numFmtId="0" fontId="10" fillId="0" borderId="2"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8" fillId="0" borderId="2"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7" fillId="0" borderId="2" xfId="1" applyFont="1" applyBorder="1" applyAlignment="1">
      <alignment horizontal="center" vertical="center" shrinkToFit="1"/>
    </xf>
    <xf numFmtId="0" fontId="32" fillId="0" borderId="2" xfId="1" applyFont="1" applyBorder="1" applyAlignment="1">
      <alignment horizontal="left" vertical="center" wrapText="1"/>
    </xf>
    <xf numFmtId="0" fontId="32" fillId="0" borderId="3" xfId="1" applyFont="1" applyBorder="1" applyAlignment="1">
      <alignment horizontal="left" vertical="center" wrapText="1"/>
    </xf>
    <xf numFmtId="0" fontId="32" fillId="0" borderId="4" xfId="1" applyFont="1" applyBorder="1" applyAlignment="1">
      <alignment horizontal="left" vertical="center" wrapText="1"/>
    </xf>
    <xf numFmtId="0" fontId="32" fillId="0" borderId="5" xfId="1" applyFont="1" applyBorder="1" applyAlignment="1">
      <alignment horizontal="left" vertical="center" wrapText="1"/>
    </xf>
    <xf numFmtId="0" fontId="32" fillId="0" borderId="0" xfId="1" applyFont="1" applyAlignment="1">
      <alignment horizontal="left" vertical="center" wrapText="1"/>
    </xf>
    <xf numFmtId="0" fontId="32" fillId="0" borderId="6" xfId="1" applyFont="1" applyBorder="1" applyAlignment="1">
      <alignment horizontal="left" vertical="center" wrapText="1"/>
    </xf>
    <xf numFmtId="0" fontId="32" fillId="0" borderId="7" xfId="1" applyFont="1" applyBorder="1" applyAlignment="1">
      <alignment horizontal="left" vertical="center" wrapText="1"/>
    </xf>
    <xf numFmtId="0" fontId="32" fillId="0" borderId="8" xfId="1" applyFont="1" applyBorder="1" applyAlignment="1">
      <alignment horizontal="left" vertical="center" wrapText="1"/>
    </xf>
    <xf numFmtId="0" fontId="32" fillId="0" borderId="9" xfId="1" applyFont="1" applyBorder="1" applyAlignment="1">
      <alignment horizontal="left" vertical="center" wrapText="1"/>
    </xf>
    <xf numFmtId="0" fontId="1" fillId="0" borderId="2" xfId="1" applyFont="1" applyBorder="1" applyAlignment="1">
      <alignment horizontal="left" vertical="center" wrapText="1"/>
    </xf>
    <xf numFmtId="0" fontId="1" fillId="0" borderId="3" xfId="1" applyFont="1" applyBorder="1" applyAlignment="1">
      <alignment horizontal="left" vertical="center" wrapText="1"/>
    </xf>
    <xf numFmtId="0" fontId="1" fillId="0" borderId="4" xfId="1" applyFont="1" applyBorder="1" applyAlignment="1">
      <alignment horizontal="left" vertical="center" wrapText="1"/>
    </xf>
    <xf numFmtId="0" fontId="1" fillId="0" borderId="5" xfId="1" applyFont="1" applyBorder="1" applyAlignment="1">
      <alignment horizontal="left" vertical="center" wrapText="1"/>
    </xf>
    <xf numFmtId="0" fontId="1" fillId="0" borderId="0" xfId="1" applyFont="1" applyAlignment="1">
      <alignment horizontal="left" vertical="center" wrapText="1"/>
    </xf>
    <xf numFmtId="0" fontId="1" fillId="0" borderId="6" xfId="1" applyFont="1" applyBorder="1" applyAlignment="1">
      <alignment horizontal="left" vertical="center" wrapText="1"/>
    </xf>
    <xf numFmtId="0" fontId="1" fillId="0" borderId="7" xfId="1" applyFont="1" applyBorder="1" applyAlignment="1">
      <alignment horizontal="left" vertical="center" wrapText="1"/>
    </xf>
    <xf numFmtId="0" fontId="1" fillId="0" borderId="8" xfId="1" applyFont="1" applyBorder="1" applyAlignment="1">
      <alignment horizontal="left" vertical="center" wrapText="1"/>
    </xf>
    <xf numFmtId="0" fontId="1" fillId="0" borderId="9" xfId="1" applyFont="1" applyBorder="1" applyAlignment="1">
      <alignment horizontal="left" vertical="center" wrapText="1"/>
    </xf>
  </cellXfs>
  <cellStyles count="2">
    <cellStyle name="標準" xfId="0" builtinId="0"/>
    <cellStyle name="標準 2" xfId="1" xr:uid="{228791FC-5BC4-4B82-9EE7-004D13C932B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635CD37-54C1-43A6-9F1E-326527F103C5}"/>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E7B3B64-64B6-4D40-AB6C-E51A06D427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9AB968B-AE03-433C-A18D-0CA68BEB2B8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C177014-3643-45F4-BCFD-3E4AD83F9C9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1F7BF94-7EFC-4ADC-B4E5-66A6FDF7573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779177A-60E0-4D66-8340-016B2AB3CC95}"/>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24AE334-DDE1-4522-8519-3E25ADB0374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8D3A47D-52A5-4ADB-8F04-4A602263B39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15BA4C5-7738-449E-B428-31041AF728B9}"/>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EF31CF58-27A7-4D76-9C3B-47661A615D3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5A27400-ED34-4B9E-B099-E2A5F04380A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A21FC73-5E2B-4D1C-B594-208C1DB3CB3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C1A8BF9D-C0BA-4DA9-97C1-26ADB99D49EF}"/>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34A8F1D-6808-4DC5-AF11-E02CE92ABA3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5A85FA7-2267-4142-B466-AEC103C70376}"/>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197ABC4-70B3-4F4C-AFFC-66A45AFDCDC7}"/>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72F8419-FCA4-42E6-88E2-4336688D4C7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711D876-908B-4A3A-BAC0-6C02D6DECB55}"/>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93E0584-7BBB-4D4B-8AB6-0A8247B9D10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FD65793-2754-48F0-AC36-6DC32180AC72}"/>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15E11F2-68A5-42EF-A2EE-68CB8EDB917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435EF8D-00B1-4412-B878-CE1CBBD91D0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8825ECC4-EDE7-4E51-A9B0-92F19F21505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03EEBCC-F891-4A15-8115-23C2E0A43FF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CCE5286-2B76-4DAB-AC52-4A5097BFE76D}"/>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2D948C65-7BD4-478B-96D9-08A8FC7CCD9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D163259-D31C-4CAF-AF5E-45819566E4F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91BB60A-B50C-424A-AABA-AA65A1665CDE}"/>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979FDF4-3EAA-4A8C-9BBF-2EE7DB5E983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E2E3F77-0997-4DE2-9EA7-A1EB7430F93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8FB1BCF-42EA-4F4A-96FF-397F0B6E2F05}"/>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C1229DF-18FE-4DD9-943B-270EF7B9CDF2}"/>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88BFF5F-663F-499D-9EC5-6A2949F7588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68B83A6-8CB1-4ED9-896C-AAC2BC4FBEC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81072E8-3C61-4A56-80D9-A9C88E214142}"/>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E977D3A-5790-4B7B-9332-17D50C24824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7BD28AF-DD92-4C91-A323-9C23E5EBDCC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50940CA9-1BE1-45BB-BE2F-5AEF349DB95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3EA9204-C5C2-486F-A9BC-F8DAA96E026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E8EE892-94FD-4569-ADE8-388EEF98D61F}"/>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99450EF-5291-46DB-9BC1-315EB82310B9}"/>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7807D8E-4678-41C4-8DB8-BA87A0EC474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55ED404-8BB1-4092-A875-7D4FEAEFB5F7}"/>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8945C2C-D1D3-414B-8384-DAFF12132EF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5973AB5-CD5A-481D-B9DC-A24491B22DD1}"/>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CAE3595-D0F1-4D1B-93BC-78C7CF85AB1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A887CF48-9F2C-42A3-ADFD-5B7B0B55D0CD}"/>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C970EAE-DE19-4F6F-A59E-70C189AE218F}"/>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8AA541B-7E8A-4656-B469-17D370A06B0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A1F7C9A-9BE6-4C96-9EE2-0624EB986383}"/>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7B4A4C2-1426-4685-B687-4A5EFCA4B595}"/>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99E1C43-3CB2-4C50-92F3-EB23FDFBEAF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169AE27-ED85-45B3-A8A0-9D0EAEC161F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FC42151-D450-48EE-A871-E6058303647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0B6D838-5387-4C15-A395-35752E6CCD3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2EF80B62-9FC4-49F6-BCB7-3A3650C67325}"/>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E72BE03-AE82-41F3-960E-4D8DFD8C9508}"/>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576F084-F313-4597-874D-B69B51ACC2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197C4DFD-DDFC-45B1-9442-209BFC6D3F4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407E39A9-BAF7-4A80-B7CE-C76D5395E9CB}"/>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A308318-E462-4E3A-B8FC-A978BFEE1EB3}"/>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B92AC86-4D79-4DA0-BBF4-7D2D633F491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C14FA7B-295F-4FC7-ACC8-F085A8D4365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87B3FA0-9361-44BD-8277-16D6B1E91F9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3058B022-9AE4-4B9C-99A7-4199F30FB378}"/>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0C5946A-989C-4107-9B96-A119F953DDCA}"/>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7726D93-AE47-4ACF-9549-AED5BFA60EB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900831A-7399-4DD4-A035-59CCBDEBE901}"/>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698AFE61-716C-4B2D-B206-D8AE311630D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2CB3550-2BD7-469D-A8CB-5109A8B3E2CB}"/>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D579636B-74DB-4641-8906-FD6BBF89999F}"/>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87D94D2-2CBE-4ADC-89F6-DA1BA4067496}"/>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352E28B-BCB1-485D-9061-712423E9251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EE6C1FCB-6131-4A79-AF58-8E88D0BA63A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10D3E7E-0A03-4CB7-B5CF-283628202024}"/>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97C0539-2497-4F9B-B15E-3FAD2161323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286E898-8A02-4978-BA16-ACB7174710C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5C91B50-A239-4475-8210-3545169EE46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3EC8552-66FC-41DC-B3BA-C01046487DFC}"/>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A399FAE-F4E9-458E-94E1-25EA673F9E6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9C2DF73-0CF9-4865-8FC1-541CB061FDF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0E826C2-DFEF-4E33-8119-8010174ABE38}"/>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DBF5F68B-9410-4632-8D72-F74E6EA4436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5A8E529-079A-4DA0-840C-FAB2F3CCB25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FF443DF7-F9B9-4C5B-8139-E142209B25D9}"/>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375120D-A53E-4E3D-86FB-95A1E5293D4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4D6970DA-D83F-4D3F-B0D8-C28E8FD61854}"/>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2FAB0C14-11DD-419E-A3F2-1FB0B53A8F63}"/>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31EFE6D-48F1-4180-9BD5-BD76D57F014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CF3638F-B5DB-4C03-B0DA-9011581DD4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CE035F0-DE67-43B5-A228-5E8FA660933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2C6C18D-4E13-4ECE-B8E9-477F07AE780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A2482CB-FB9D-4607-8C41-4D1BF9597556}"/>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1698FC7-2B89-4D96-9065-7CEF88C75D1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C5B1BDFA-FB25-4F90-9748-6AFCBBD118D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0FE470D-1104-447D-B70B-1AADDE3A8DF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434F363-213A-49F4-A723-C2FE729C60F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678723C-8797-435A-B237-7C199149468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E970A3B-15D2-4B19-830D-8F4CB4C0224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1FBB5A2-E5E6-4C08-B243-229A5CEB8C4B}"/>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974434F-E424-4CCF-81C7-EECE7FCA92D3}"/>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245B5B8-E42F-4836-8DB0-B40CACD9EB2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2918368-4B5A-4453-A6F0-7BBA36EEDB6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D75CCBD-41D6-47EA-A102-FCD1DD907FBB}"/>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A30F99-910C-47EE-93D4-CF4CB1E1A05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EC7E202-EE69-497A-B867-F1CD4B0B9927}"/>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98DCF7A-F4E2-439D-AB78-BD73B130E6E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6864113-2119-4219-95FD-CCFD579E19E6}"/>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1D6FA20D-88B1-433A-9FC0-43CC4F57D5A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EE191A5-0F6C-4FFF-956F-77B1C22710F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D07430F6-9AE9-478B-B7EC-CD2A3B29130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99F6ABF6-904F-4ADD-AFFB-E4D6E7B62FDF}"/>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69BC351-AEED-4DA0-A600-744BBC1953D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36D8A53-0783-4A7D-A172-E879A555148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01D190C-52AC-43A5-95A8-795F3995558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BCF8023-F203-458D-8814-5CD492BC5BF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A54E39A-2305-4C51-A8F2-9904174BE5A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8329069-D6B9-4EAD-AC98-6016BA5685E8}"/>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4DEDD48-0F16-4D82-A0C7-CC0CBF64A08A}"/>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D4B8D739-6AF7-4BCB-9EF7-0910EE157AD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9E6EC38-0903-48E3-AD81-248A3615002D}"/>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CB7F586-6517-4B2B-8B94-1B4549459F4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CD7CB88-621C-4F02-8D2C-0CA4110DD43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E5691C2-474A-461E-8680-7DB9CF85198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9219CEA-3767-416C-8F92-B13E9D67FA4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B463F1A-BFD7-401C-B92E-67EA06EFB361}"/>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EF6D7EF-E7FC-4BA2-AB5F-6FC383D54D3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082745B-584E-4D03-9744-EEF6FFBFE7F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7DB9838-FC09-42F3-92E0-DFFC490516B8}"/>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3320B95-62FD-47CB-8048-11C46FBB139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334BAD2-836E-476C-8EDF-3CDD75FC725C}"/>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44057CF9-4FAD-4E54-990D-6B6EC9328A81}"/>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25F01E7-CE08-4F2E-8856-02C0F654105A}"/>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D770F8E2-CBB8-464E-B065-8255A72FFCF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E462E005-E042-497A-A93C-136BE3BDC597}"/>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B4774D5-1C4E-40F9-8198-E0092F3ADE3D}"/>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FD0B0E8-0348-4C81-AE4D-E4BDB6E9303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5E7C401-70B7-46D3-A5D0-725041B7B80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06DB544-87EE-4E4F-AE66-7A41EA63C69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62701E0-FEE9-4AC5-A6ED-88F04ABE785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11D0A43-8244-4F53-8360-CF26887FC029}"/>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BF8484A-C942-4AA7-A749-B88948138F62}"/>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F639D4D-BFDD-481C-A746-20DC771E91C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076E6B5-06A1-4DFF-BFF8-82F1F4FA3EDD}"/>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5D7F5D5-0654-47D0-BE99-268C012A1D01}"/>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69456C3-462A-4225-991C-7783F80853D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190CAD5-6225-45BB-ACD9-2B1C4BCC0D29}"/>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A62B06B-5419-429B-B065-BB97AA24ACD8}"/>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3A2DC36-BD74-489A-A8C4-40C334897B0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AE706B7-83DB-4FF3-8FB9-2260D471D10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8195D9C-62FD-4BD5-9E91-38BDE467E441}"/>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130B720-F41C-42C4-BBDF-574DBB4CC91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02A809D-35BD-4E79-95B5-9884BEB36CE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DD6E07A-CE00-45C4-BAF4-CD64E00D57C5}"/>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98199BF-FFAA-459D-B289-2308BDFFA73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279159F-D0E8-4F9C-AA6C-680B570934C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274C0D2D-4463-4216-9F6D-B98C571EB83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0460537-2562-450C-BF6B-81B6C40316B5}"/>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EEA19BB-D649-4CD3-B793-6D01CBB406E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2AB3453-589A-479D-A6DD-6012ABB415A4}"/>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99AE03D-0D80-42B5-A4A5-3743E46A9507}"/>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3819CC1-FE5B-43DB-80F4-F3EE5191F709}"/>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C68EF24-C75A-46C4-9878-1B3EB76E290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3C42598-AB6E-4A9A-8E69-89CE5668AD2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44C3BEC1-6899-4196-910A-34F1EA13218B}"/>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999E914-E3CB-4937-A285-3B11A0B2C51C}"/>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8763C23D-947D-4B2A-A4A3-765F7D3DF57F}"/>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F07F3F4-C3B2-46B8-9CD2-1A9E7FBBF87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AF6C6EF-0A4E-448D-AA76-B2520CEB045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E502A5F-81AF-451C-A37C-C17FBA062954}"/>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4E8D94A4-D527-4204-B6B2-53174C9E94FF}"/>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366ADC1-F405-4EF6-8E63-360B9BCA6C16}"/>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3A23622-B4A5-46B6-B375-74F6AC77BCBF}"/>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E33825A-7003-4087-AD0E-B04B2D6D620C}"/>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EE2AAB59-9F21-4F02-8EB4-7CF3CE30D82E}"/>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71C3CAE-BC96-436A-85C6-9A365F4CBDD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19F2C14-1A56-466F-A36A-A47A61B844E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B2B4925-A1E8-4E52-BEFE-81850FFB4FEA}"/>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B196474-4E81-484B-B266-6A3F3B7D452C}"/>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71CC648-612F-4FDA-909F-A0DB07D7E93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A358CE90-126A-4E76-B886-83B2CACD4E35}"/>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3778C61-03AF-49F7-B887-204288B78A39}"/>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1553D0C-3C80-452A-B6E3-A8DE8E112E3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FA22624-670C-4603-8459-3ED3E19E3FDA}"/>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B6D88A9B-03E7-41B5-8317-DDE2C9FA5C3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EDBBD37-15B6-46A3-8EA9-F218558E0C9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783A2BB-FCB5-4A62-BD59-612BD5B225A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B6BC88A-4564-4AD9-AB3B-D5E82F43B0D9}"/>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D64F2EC-E0BF-459A-8CBB-0A00F1172DD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6130F28-655F-4CE0-AE70-D9CAAE10443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7FD0679-7764-44EA-85A7-86CD80E1BBFA}"/>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DAA4208-79D0-496B-8221-FD74F60FB79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D9A7104-DD89-409E-BA7B-36F1531B92A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C16A5E3-AED0-4109-B02D-DD998A001C9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DAF5B16-0D2D-4E40-A03C-1D5FE31BFBFB}"/>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24CA027-BDF7-44BB-9970-697958E4FCC5}"/>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24C19FF-B9A1-461C-A451-6D96570B8F9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34247504-10AA-46AB-B266-EB87A9925E74}"/>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9DB47F49-F816-4656-96E2-436A98BB0BE3}"/>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F2C115B-669A-488F-9A0D-66E9BA305C2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E232B2E-A482-4D9B-8F65-B963FF3355A2}"/>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06C5066-94C1-4996-8EC3-F599E684ABB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2C7068A-9F8A-450D-BBC2-85F8FCF04EE7}"/>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8BC0D8D-F2BE-4F3B-BC5B-2D39D25BFABE}"/>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A2D306C-55A3-46B2-A362-A87576EA7A7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4F77A79-C262-4A88-858A-F51299B2D88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DE37377C-BCB5-4E95-A750-7FC4EA82FB36}"/>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BEF5A2E-B1C5-4905-8332-CD3DFD75D84A}"/>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715D1AA-93F5-487D-A3A1-A62B42038268}"/>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BA6052E-AD3E-4CC2-BE75-F9BA5484AFC5}"/>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154648D-5BF5-4ABF-A8D3-A1F342F2E72F}"/>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F7949B71-765C-465B-9731-7BC6BA52E3B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240A2FB-D803-48F7-A6D8-6E202755C7C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8FE581B6-EF1C-4CBE-B95D-87A9904FB45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B046166-AA24-4ADA-8883-DD6BCE06E93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10564D3-18AE-4606-87C4-B5B6FE7C3E0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724EDC3-98FE-4857-8BBB-A0D9840A08F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9F07F99-98EE-4212-AF5D-04CE3786DFF2}"/>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9EE9B6B-77B3-42C8-BEF4-0BE717FE9527}"/>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D28464B5-3ED2-4324-9E3C-6674CBA53419}"/>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E6FE86E-2808-421D-BE0F-572E857AD48E}"/>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E5EA177-700C-43EF-88E5-0DE16B0DAC92}"/>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235AD79D-E3AA-40F3-81E5-D971834CF94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F39E0416-5A44-4AB0-B80F-543346489F2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6189451-6653-4598-8605-22BBF1328D52}"/>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1E2CEF3-6828-4E24-B2BB-35D83C66C9D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379A695-803F-4E2A-B923-9794D868038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A5033CC-CA8F-41A4-BC61-4B4517FDD79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A54FE6A2-2DB6-4386-ABC5-FC7F217441F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5F39741-1446-43A5-9F90-9BA0C44A835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F1835D2-23DE-4ABE-9E10-22B7B8FC4C3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F36DCA42-0B4B-4349-866A-AAFE4DC9817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3CAEB8B-CADA-44C9-A404-033DFFCDCD8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50AA704-EFFD-4F45-8603-9C11CE6ACB8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EE17261-03A0-4366-B1C8-775822AFBA5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6AF19A28-652A-48A1-9969-22D7A36BA9A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A5B5E9C-80BB-4420-B5FE-6FC8B9ADDEB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E22DC17-ABDF-45DE-83D6-76B9CCFAF48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F78659E-E2F3-4B11-8FB4-40FB6E24992C}"/>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54E3807D-3669-457A-B369-A5A509A42685}"/>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A349503-9E39-42DE-8781-D0C662179297}"/>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38C96DBE-9D1D-4B38-88E5-C5D17EC338B6}"/>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52F51ADC-D58D-4852-A28F-DFA5621FDED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1A20F297-71F8-452E-950D-0E082BDCDAE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F78053BC-0492-4920-AD14-F1068D228685}"/>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71D5F22-62C9-4B5E-A14E-E9B54031F3E6}"/>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077F597-817D-49A5-9F61-3B78A47BC4EC}"/>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4D5F67-7ABB-4E39-BE68-46B74287466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A489040-FF03-4D21-90B1-5BED79ECCC1D}"/>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B7279235-0E94-45C3-85A0-1C1A6835515B}"/>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522D209-E93D-496B-AE9B-A7DA304CAE82}"/>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9DC0081-535C-4A0A-8C57-0336C0B7BF0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CD25DA5-116E-4578-B9E7-3B493D027B7D}"/>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7718945-3574-41B4-A674-D806A13EB54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024E191-1901-4D04-915F-CA513DD7066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A38244D-3DAF-4AF7-B207-6AF4F65F9DA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403D2C47-1B6D-4613-8853-57C38E078959}"/>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C6568C7-E67A-4FB3-9F76-8BA5201B9D7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F5AC023-42E3-4692-B4D7-48F6EB8A931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993C0856-6109-445D-9440-EE35D9880433}"/>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445B2FB-1C17-470A-AFE1-F94CC00F9A41}"/>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617336DD-C1DF-4E56-B627-4C42DF2027C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BB265376-798F-41B7-B6A0-2438E9C4BA6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34A5C5DF-F0AB-4DE1-9A60-CA04B7E328F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6878772-89FB-4A87-B31E-3304D549856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5E0189DE-45BE-452A-9F3D-8F3E340F42C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CA28F47-CE97-45B4-994C-DB324D876C41}"/>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52DFEE7-E669-41B2-A548-232CE48927A5}"/>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8BABAF04-E978-4DC3-A538-85721C3A7DEA}"/>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1959C0F-1702-4BFF-BDCD-66D61B818792}"/>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49F0824-68FB-4DA7-9D71-E9826B3686B7}"/>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238E47E-1435-4F0C-A988-EDB2645B62DA}"/>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A143BE3-58A3-41FE-95CE-29B6ED5C603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CA95C893-AFC9-49B0-8A1F-29369CF6C01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C307A411-B8D5-4FFB-B114-C02FC127E4FF}"/>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A0DF854F-DE2D-4FEC-86C4-E6C1CC8E635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B64AE53-9B96-47C9-ADA1-0AEB905FD26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799839A-1887-4780-97DA-BBA11E46F42A}"/>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892A74C5-C7C3-4E1D-BEB2-13664035802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3A01D55-D79A-4E03-853E-7277DEEEA69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FB603F4-D2DD-4838-9B5C-6EBDC2D3365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4860C87E-C57B-4F3F-98F6-42CD06FC881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C9B7CFB-4180-4044-A011-BA5DD59873AC}"/>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8719ABC-B95F-4D8E-ACF1-725D0ADC305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6768337-77C7-4799-99B0-6C3B9965267A}"/>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FD052A1-EE1F-4844-AA41-E07633F96842}"/>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558E17B9-0243-4412-9A66-D150FA678209}"/>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8D2964D-F648-402A-81E4-CCA617C8A823}"/>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D1D1CC86-F851-4AD5-A476-04B8D45B8A2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47057193-C9CE-46AF-9CE0-4FAB650C643D}"/>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6F55669-1192-4A68-A2CE-C631D2505A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055FDF8-6ABA-4BEC-9FB0-3D391353032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1C40B1E-88BA-4C09-A9FD-5DD73ACB8806}"/>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4FFA87A-3F7D-467F-854C-085F16186BB9}"/>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01D773A-BDFB-4D5F-B863-785BA24B9A55}"/>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BB44F7C-2367-4906-845A-645C64348A57}"/>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6469676-2ABC-45B0-8106-37458EBAEE3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58EC38B1-945F-4106-96BD-D76B3BD464D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FE039804-BCFF-4FD3-8082-29DB5CF05F4D}"/>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FAC2E47-3260-4D14-B453-41A1A0E32B7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59FE3E8-CBD8-4DA3-AFCF-414289DC9A2E}"/>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EC55090-F406-41ED-92A8-B27BAE16B80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1E9EE1D-F3FD-4B1B-B17F-8AAE97ED083A}"/>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B188ABB7-30D9-4FE6-B307-44A6427DE9C2}"/>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4D697A0-146E-40A6-AB94-275A11F8BFB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2A1A2EA9-58F6-4E5A-ACB9-0E0352D9B0B9}"/>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7DCC50D-74F8-4074-8915-DB7CF926ACD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6FCB11A-8433-40C9-A46F-78912246A50D}"/>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5847676-06F1-4161-97AE-9107EA74DAFC}"/>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972A6296-AE4D-42ED-9017-3365EE49357B}"/>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7E8A9E5-C634-4C99-B831-1210D0027653}"/>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6F1D5D69-3577-4D1B-BC60-0C893CB8E5A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115A974-6EFE-4802-AD3B-C96FDE12B86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C9103F6-5AF1-43E0-B3DB-A17599A73A1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356B23E-989A-4C00-AD95-7CAFFB961D1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12F25D2-4C0A-47BC-A7D8-7B8BF9876287}"/>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18BD270-532D-48E7-B6CE-7FCF439D9902}"/>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E494BF1-7A16-4E86-9540-FDB5BF243EA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41D8DF3-93BF-4D1A-8E0C-0E16B64D497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F22B062-C939-42C6-983E-8F831D15D9B9}"/>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B285203C-3763-43F1-9C11-67E49E1D756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5ADB93F-4092-49C8-B322-C5AC2C0D164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F2D650D-272A-499E-B85A-E23885278BB6}"/>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CA7E543-18AB-4210-A334-CED6A1E9699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76053F6-B5D1-44BF-9B10-B45EC9547209}"/>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F67971A-DA4F-4678-80CE-36B9490B359D}"/>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83836B7-3EFE-4491-8C2B-1E174FCC911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39B859C-2044-4508-85C7-2091B8599FB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18D2BF3-AD9F-4112-88FA-3FDFF520D72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340207D-B1DA-4479-9204-BF2AAF1C19E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6EBFAD0-59D7-4F10-8C18-D684AB8E79CB}"/>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1892DA6-4A42-48B9-8B10-BEEAC66110AC}"/>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CA07681-A489-42F6-8750-42EBE3ADBDFA}"/>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2F1C02C-9F25-40FA-910B-CB1E5F3316A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97EFEC64-DC33-4CCB-A409-1AD61883DD93}"/>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DBC322E9-FA7D-4879-A5D9-7F2E002D045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6E01C86-5FF5-4184-8693-8B8403314F72}"/>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7B4DB0E4-1524-4973-8B30-E41B77EB95E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4CC7652-2BFE-4F28-ABDA-DCA7DB9E246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AA86ABC-BC30-4B37-8776-FB172497FA4E}"/>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E955ED6-4D2C-4BC1-B413-C93D9BD0CBB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75B7F6C-9AF4-40C4-9175-80C5920E3276}"/>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26ABFC14-EA3E-4C19-94AA-5AD633C58D5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0420A3E-3481-4BF0-9042-0917525741D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BE9832FA-1447-492B-8ECB-F09E55993DFC}"/>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6D32A501-FD34-4253-9882-52A1C4798A3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ADD5078A-CEE3-45AC-A5E6-5EDCA749A31C}"/>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FE9FB9DE-C770-420D-81E7-785371AFA46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3E9EBCE-CDAE-45A6-B791-7257067EB7E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3A263869-E3BE-44D5-98BA-06C48D11BEFF}"/>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20491;&#25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20171;&#35703;/&#20462;&#27491;03%20&#35519;&#26619;&#31080;&#65288;R2&#25244;&#26412;&#25913;&#38761;&#35519;&#26619;&#65289;&#32769;&#2058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03%20&#35519;&#26619;&#31080;&#65288;&#20185;&#21271;&#24066;&#12539;&#31777;&#26131;&#27700;&#36947;&#20107;&#2698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03%20&#35519;&#26619;&#31080;&#65288;&#20185;&#21271;&#24066;&#12539;&#35251;&#20809;&#26045;&#35373;&#20107;&#26989;&#12539;&#12381;&#12398;&#20182;&#35251;&#2080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03%20&#35519;&#26619;&#31080;&#65288;&#20185;&#21271;&#24066;&#12539;&#27700;&#36947;&#20107;&#26989;&#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03%20&#35519;&#26619;&#31080;&#65288;R2&#25244;&#26412;&#25913;&#38761;&#35519;&#26619;&#65289;&#20185;&#21271;&#24066;&#30149;&#38498;&#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20844;&#208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20&#29305;&#29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29305;&#254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36786;&#385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19979;&#27700;&#36947;/&#35519;&#26619;&#31080;/03%20&#35519;&#26619;&#31080;&#65288;R2&#25244;&#26412;&#25913;&#38761;&#35519;&#26619;&#65289;&#26519;&#385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20171;&#35703;/&#20462;&#27491;03%20&#35519;&#26619;&#31080;&#65288;R2&#25244;&#26412;&#25913;&#38761;&#35519;&#26619;&#65289;&#12487;&#1245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20171;&#35703;/&#20462;&#27491;03%20&#35519;&#26619;&#31080;&#65288;R2&#25244;&#26412;&#25913;&#38761;&#35519;&#26619;&#65289;&#32769;&#311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13%20&#20185;&#21271;&#24066;&#9675;/&#20171;&#35703;/&#20462;&#27491;03%20&#35519;&#26619;&#31080;&#65288;R2&#25244;&#26412;&#25913;&#38761;&#35519;&#26619;&#65289;&#30701;&#26399;&#20837;&#2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個別排水処理施設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介護サービス事業</v>
          </cell>
          <cell r="W17" t="str">
            <v>介護老人保健施設</v>
          </cell>
          <cell r="BD17" t="str">
            <v>○</v>
          </cell>
        </row>
        <row r="19">
          <cell r="F19" t="str">
            <v>介護保険特別会計</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民営化も視野に入れ運営方針を検討しており具体的な方向性は未確定であることから、差し当たり現行体制での運営を継続するため</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簡易水道事業</v>
          </cell>
          <cell r="W17" t="str">
            <v>―</v>
          </cell>
          <cell r="BD17" t="str">
            <v>×</v>
          </cell>
        </row>
        <row r="19">
          <cell r="F19" t="str">
            <v>ー</v>
          </cell>
        </row>
        <row r="41">
          <cell r="R41" t="str">
            <v>○</v>
          </cell>
          <cell r="X41" t="str">
            <v>○</v>
          </cell>
        </row>
        <row r="56">
          <cell r="B56" t="str">
            <v>本市水道事業へと統合した。その効果として、建設改良費・維持管理費・人件費・施設数・職員数・料金等については、従前のままであまり変化はなく特段記載する事項はなかったが、法適用により公営企業会計となることで以前よりも見える化が図られた。</v>
          </cell>
        </row>
        <row r="62">
          <cell r="G62" t="str">
            <v>○</v>
          </cell>
          <cell r="S62" t="str">
            <v>平成</v>
          </cell>
          <cell r="V62">
            <v>29</v>
          </cell>
        </row>
        <row r="63">
          <cell r="V63">
            <v>3</v>
          </cell>
        </row>
        <row r="64">
          <cell r="V64">
            <v>31</v>
          </cell>
        </row>
        <row r="70">
          <cell r="AG70"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観光施設事業</v>
          </cell>
          <cell r="W17" t="str">
            <v>その他観光</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事業の規模が小さく、人員が少ない等の理由から抜本的な改革の検討に至らないため。</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水道事業</v>
          </cell>
          <cell r="W17" t="str">
            <v>―</v>
          </cell>
          <cell r="BD17" t="str">
            <v>×</v>
          </cell>
        </row>
        <row r="19">
          <cell r="F19" t="str">
            <v>ー</v>
          </cell>
        </row>
        <row r="43">
          <cell r="R43" t="str">
            <v>○</v>
          </cell>
          <cell r="AD43" t="str">
            <v>○</v>
          </cell>
        </row>
        <row r="249">
          <cell r="B249" t="str">
            <v>「水道事業の広域連携」作業部会、県南地区水道事業連携推進座談会への参加。</v>
          </cell>
        </row>
        <row r="255">
          <cell r="B255" t="str">
            <v>座談会を通じ、近隣市町村と意見交換中である。</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病院事業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xml:space="preserve">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
　また、地域医療構想において、地域における将来の医療需要や病院機能を議論する中で、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公共下水道</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特定環境保全公共下水道</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特定地域排水処理施設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農業集落排水施設</v>
          </cell>
          <cell r="BD17" t="str">
            <v>×</v>
          </cell>
        </row>
        <row r="19">
          <cell r="F19" t="str">
            <v>ー</v>
          </cell>
        </row>
        <row r="43">
          <cell r="R43" t="str">
            <v>○</v>
          </cell>
          <cell r="AD43" t="str">
            <v>○</v>
          </cell>
        </row>
        <row r="249">
          <cell r="B249" t="str">
            <v>西明寺地区の処理施設の統廃合を検討中。</v>
          </cell>
        </row>
        <row r="255">
          <cell r="B255" t="str">
            <v>処理施設の統廃合に係る資本費と経費回収率のバランスが課題。</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下水道事業</v>
          </cell>
          <cell r="W17" t="str">
            <v>林業集落排水施設</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介護サービス事業</v>
          </cell>
          <cell r="W17" t="str">
            <v>老人デイサービスセンター</v>
          </cell>
          <cell r="BD17" t="str">
            <v>○</v>
          </cell>
        </row>
        <row r="19">
          <cell r="F19" t="str">
            <v>介護保険特別会計</v>
          </cell>
        </row>
        <row r="42">
          <cell r="R42" t="str">
            <v xml:space="preserve"> </v>
          </cell>
          <cell r="X42" t="str">
            <v xml:space="preserve"> </v>
          </cell>
        </row>
        <row r="44">
          <cell r="R44" t="str">
            <v>○</v>
          </cell>
          <cell r="X44" t="str">
            <v>○</v>
          </cell>
        </row>
        <row r="117">
          <cell r="J117" t="str">
            <v xml:space="preserve"> </v>
          </cell>
        </row>
        <row r="118">
          <cell r="V118" t="str">
            <v xml:space="preserve"> </v>
          </cell>
        </row>
        <row r="119">
          <cell r="V119" t="str">
            <v xml:space="preserve"> </v>
          </cell>
        </row>
        <row r="266">
          <cell r="B266" t="str">
            <v xml:space="preserve">  仙北市田沢湖デイサービスセンターの運営を指定管理者制度とし、社会福祉法人と管理運営に関する協定書を締結。（公募による選定）
   市から委託料を支払い実施していたが、指定管理制度に移行したことで、事業者が介護報酬と利用者負担収入で運営できることから、指定管理料０円で取り組んでいる。</v>
          </cell>
        </row>
        <row r="272">
          <cell r="U272" t="str">
            <v>平成</v>
          </cell>
          <cell r="X272">
            <v>22</v>
          </cell>
        </row>
        <row r="273">
          <cell r="G273" t="str">
            <v>○</v>
          </cell>
          <cell r="X273">
            <v>7</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介護サービス事業</v>
          </cell>
          <cell r="W17" t="str">
            <v>指定介護老人福祉施設</v>
          </cell>
          <cell r="BD17" t="str">
            <v>○</v>
          </cell>
        </row>
        <row r="19">
          <cell r="F19" t="str">
            <v>介護保険特別会計</v>
          </cell>
        </row>
        <row r="42">
          <cell r="R42" t="str">
            <v>○</v>
          </cell>
          <cell r="X42" t="str">
            <v>○</v>
          </cell>
        </row>
        <row r="111">
          <cell r="B111" t="str">
            <v>市直営の特別養護老人ホーム桜苑を社会福祉法人に譲渡する。
（建物：無償譲渡、土地：無償譲渡）
　市の直接的な人員が不要となり、人件費等の財政負担が無くなった。</v>
          </cell>
        </row>
        <row r="117">
          <cell r="J117" t="str">
            <v>○</v>
          </cell>
          <cell r="S117" t="str">
            <v>平成</v>
          </cell>
          <cell r="V117">
            <v>23</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仙北市</v>
          </cell>
        </row>
        <row r="17">
          <cell r="F17" t="str">
            <v>介護サービス事業</v>
          </cell>
          <cell r="W17" t="str">
            <v>老人短期入所施設</v>
          </cell>
          <cell r="BD17" t="str">
            <v>○</v>
          </cell>
        </row>
        <row r="19">
          <cell r="F19" t="str">
            <v>介護保険特別会計</v>
          </cell>
        </row>
        <row r="42">
          <cell r="R42" t="str">
            <v>○</v>
          </cell>
          <cell r="X42" t="str">
            <v>○</v>
          </cell>
        </row>
        <row r="111">
          <cell r="B111" t="str">
            <v>市直営の特別養護老人ホーム桜苑を社会福祉法人に譲渡する。
（建物：無償譲渡、土地：無償譲渡）
　市の直接的な人員が不要となり、人件費等の財政負担が無くなった。</v>
          </cell>
        </row>
        <row r="117">
          <cell r="J117" t="str">
            <v>○</v>
          </cell>
          <cell r="S117" t="str">
            <v>平成</v>
          </cell>
          <cell r="V117">
            <v>23</v>
          </cell>
        </row>
        <row r="118">
          <cell r="V118">
            <v>4</v>
          </cell>
        </row>
        <row r="119">
          <cell r="V119">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D1DE-4405-4456-9C62-96128A83B38A}">
  <sheetPr>
    <pageSetUpPr fitToPage="1"/>
  </sheetPr>
  <dimension ref="A1:CE298"/>
  <sheetViews>
    <sheetView showZeros="0" tabSelected="1"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IF(COUNTIF([13]回答表!K15,"*")&gt;0,[13]回答表!K15,"")</f>
        <v>仙北市</v>
      </c>
      <c r="D11" s="255"/>
      <c r="E11" s="255"/>
      <c r="F11" s="255"/>
      <c r="G11" s="255"/>
      <c r="H11" s="255"/>
      <c r="I11" s="255"/>
      <c r="J11" s="255"/>
      <c r="K11" s="255"/>
      <c r="L11" s="255"/>
      <c r="M11" s="255"/>
      <c r="N11" s="255"/>
      <c r="O11" s="255"/>
      <c r="P11" s="255"/>
      <c r="Q11" s="255"/>
      <c r="R11" s="255"/>
      <c r="S11" s="255"/>
      <c r="T11" s="255"/>
      <c r="U11" s="262" t="str">
        <f>IF(COUNTIF([13]回答表!F17,"*")&gt;0,[13]回答表!F17,"")</f>
        <v>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IF(COUNTIF([13]回答表!W17,"*")&gt;0,[13]回答表!W17,"")</f>
        <v>―</v>
      </c>
      <c r="AP11" s="257"/>
      <c r="AQ11" s="257"/>
      <c r="AR11" s="257"/>
      <c r="AS11" s="257"/>
      <c r="AT11" s="257"/>
      <c r="AU11" s="257"/>
      <c r="AV11" s="257"/>
      <c r="AW11" s="257"/>
      <c r="AX11" s="257"/>
      <c r="AY11" s="257"/>
      <c r="AZ11" s="257"/>
      <c r="BA11" s="257"/>
      <c r="BB11" s="257"/>
      <c r="BC11" s="257"/>
      <c r="BD11" s="257"/>
      <c r="BE11" s="258"/>
      <c r="BF11" s="261" t="str">
        <f>IF(COUNTIF([13]回答表!F19,"*")&gt;0,[13]回答表!F19,"")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IF([13]回答表!R41="○","○","")</f>
        <v/>
      </c>
      <c r="E24" s="122"/>
      <c r="F24" s="122"/>
      <c r="G24" s="122"/>
      <c r="H24" s="122"/>
      <c r="I24" s="122"/>
      <c r="J24" s="123"/>
      <c r="K24" s="121" t="str">
        <f>IF([13]回答表!R42="○","○","")</f>
        <v/>
      </c>
      <c r="L24" s="122"/>
      <c r="M24" s="122"/>
      <c r="N24" s="122"/>
      <c r="O24" s="122"/>
      <c r="P24" s="122"/>
      <c r="Q24" s="123"/>
      <c r="R24" s="121" t="str">
        <f>IF([13]回答表!R43="○","○","")</f>
        <v>○</v>
      </c>
      <c r="S24" s="122"/>
      <c r="T24" s="122"/>
      <c r="U24" s="122"/>
      <c r="V24" s="122"/>
      <c r="W24" s="122"/>
      <c r="X24" s="123"/>
      <c r="Y24" s="121" t="str">
        <f>IF([13]回答表!R44="○","○","")</f>
        <v/>
      </c>
      <c r="Z24" s="122"/>
      <c r="AA24" s="122"/>
      <c r="AB24" s="122"/>
      <c r="AC24" s="122"/>
      <c r="AD24" s="122"/>
      <c r="AE24" s="123"/>
      <c r="AF24" s="121" t="str">
        <f>IF([13]回答表!R45="○","○","")</f>
        <v/>
      </c>
      <c r="AG24" s="122"/>
      <c r="AH24" s="122"/>
      <c r="AI24" s="122"/>
      <c r="AJ24" s="122"/>
      <c r="AK24" s="122"/>
      <c r="AL24" s="123"/>
      <c r="AM24" s="121" t="str">
        <f>IF([13]回答表!R46="○","○","")</f>
        <v/>
      </c>
      <c r="AN24" s="122"/>
      <c r="AO24" s="122"/>
      <c r="AP24" s="122"/>
      <c r="AQ24" s="122"/>
      <c r="AR24" s="122"/>
      <c r="AS24" s="123"/>
      <c r="AT24" s="121" t="str">
        <f>IF([13]回答表!R47="○","○","")</f>
        <v/>
      </c>
      <c r="AU24" s="122"/>
      <c r="AV24" s="122"/>
      <c r="AW24" s="122"/>
      <c r="AX24" s="122"/>
      <c r="AY24" s="122"/>
      <c r="AZ24" s="123"/>
      <c r="BA24" s="19"/>
      <c r="BB24" s="118" t="str">
        <f>IF([13]回答表!R48="○","○","")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IF([13]回答表!X41="○","○","")</f>
        <v/>
      </c>
      <c r="O36" s="98"/>
      <c r="P36" s="98"/>
      <c r="Q36" s="99"/>
      <c r="R36" s="39"/>
      <c r="S36" s="39"/>
      <c r="T36" s="39"/>
      <c r="U36" s="106" t="str">
        <f>IF([13]回答表!X41="○",[13]回答表!B56,IF([13]回答表!AA41="○",[13]回答表!B76,""))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IF([13]回答表!X41="○",[13]回答表!S62,IF([13]回答表!AA41="○",[13]回答表!S82,""))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IF([13]回答表!X41="○",[13]回答表!G62,IF([13]回答表!AA41="○",[13]回答表!G82,""))</f>
        <v/>
      </c>
      <c r="AN38" s="119"/>
      <c r="AO38" s="119"/>
      <c r="AP38" s="119"/>
      <c r="AQ38" s="119"/>
      <c r="AR38" s="119"/>
      <c r="AS38" s="119"/>
      <c r="AT38" s="120"/>
      <c r="AU38" s="118" t="str">
        <f>IF([13]回答表!X41="○",[13]回答表!G63,IF([13]回答表!AA41="○",[13]回答表!G83,""))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IF([13]回答表!X41="○",[13]回答表!V62,IF([13]回答表!AA41="○",[13]回答表!V82,""))</f>
        <v/>
      </c>
      <c r="BF39" s="208"/>
      <c r="BG39" s="208"/>
      <c r="BH39" s="209"/>
      <c r="BI39" s="82" t="str">
        <f>IF([13]回答表!X41="○",[13]回答表!V63,IF([13]回答表!AA41="○",[13]回答表!V83,""))</f>
        <v/>
      </c>
      <c r="BJ39" s="208"/>
      <c r="BK39" s="208"/>
      <c r="BL39" s="209"/>
      <c r="BM39" s="82" t="str">
        <f>IF([13]回答表!X41="○",[13]回答表!V64,IF([13]回答表!AA41="○",[13]回答表!V84,""))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IF([13]回答表!X41="○",[13]回答表!O68,IF([13]回答表!AA41="○",[13]回答表!O88,""))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IF([13]回答表!X41="○",[13]回答表!O69,IF([13]回答表!AA41="○",[13]回答表!O89,""))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IF([13]回答表!X41="○",[13]回答表!O70,IF([13]回答表!AA41="○",[13]回答表!O90,""))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IF([13]回答表!X41="○",[13]回答表!O71,IF([13]回答表!AA41="○",[13]回答表!O91,""))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IF([13]回答表!X41="○",[13]回答表!AG68,IF([13]回答表!AA41="○",[13]回答表!AG88,""))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IF([13]回答表!X41="○",[13]回答表!AG69,IF([13]回答表!AA41="○",[13]回答表!AG89,""))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IF([13]回答表!X41="○",[13]回答表!AG70,IF([13]回答表!AA41="○",[13]回答表!AG90,""))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IF([13]回答表!AD41="○","○","")</f>
        <v/>
      </c>
      <c r="O52" s="98"/>
      <c r="P52" s="98"/>
      <c r="Q52" s="99"/>
      <c r="R52" s="39"/>
      <c r="S52" s="39"/>
      <c r="T52" s="39"/>
      <c r="U52" s="106" t="str">
        <f>IF([13]回答表!AD41="○",[13]回答表!B96,"")</f>
        <v/>
      </c>
      <c r="V52" s="107"/>
      <c r="W52" s="107"/>
      <c r="X52" s="107"/>
      <c r="Y52" s="107"/>
      <c r="Z52" s="107"/>
      <c r="AA52" s="107"/>
      <c r="AB52" s="107"/>
      <c r="AC52" s="107"/>
      <c r="AD52" s="107"/>
      <c r="AE52" s="107"/>
      <c r="AF52" s="107"/>
      <c r="AG52" s="107"/>
      <c r="AH52" s="107"/>
      <c r="AI52" s="107"/>
      <c r="AJ52" s="108"/>
      <c r="AK52" s="56"/>
      <c r="AL52" s="56"/>
      <c r="AM52" s="106" t="str">
        <f>IF([13]回答表!AD41="○",[13]回答表!B101,"")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IF([13]回答表!X42="○","○","")</f>
        <v/>
      </c>
      <c r="O63" s="98"/>
      <c r="P63" s="98"/>
      <c r="Q63" s="99"/>
      <c r="R63" s="39"/>
      <c r="S63" s="39"/>
      <c r="T63" s="39"/>
      <c r="U63" s="106" t="str">
        <f>IF([13]回答表!X42="○",[13]回答表!B111,IF([13]回答表!AA42="○",[13]回答表!B124,""))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IF([13]回答表!X42="○",[13]回答表!S117,IF([13]回答表!AA42="○",[13]回答表!S130,""))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IF([13]回答表!X42="○",[13]回答表!J117,IF([13]回答表!AA42="○",[13]回答表!J130,""))</f>
        <v/>
      </c>
      <c r="AN66" s="119"/>
      <c r="AO66" s="119"/>
      <c r="AP66" s="119"/>
      <c r="AQ66" s="119"/>
      <c r="AR66" s="119"/>
      <c r="AS66" s="119"/>
      <c r="AT66" s="120"/>
      <c r="AU66" s="118" t="str">
        <f>IF([13]回答表!X42="○",[13]回答表!J118,IF([13]回答表!AA42="○",[13]回答表!J131,""))</f>
        <v/>
      </c>
      <c r="AV66" s="119"/>
      <c r="AW66" s="119"/>
      <c r="AX66" s="119"/>
      <c r="AY66" s="119"/>
      <c r="AZ66" s="119"/>
      <c r="BA66" s="119"/>
      <c r="BB66" s="120"/>
      <c r="BC66" s="40"/>
      <c r="BD66" s="35"/>
      <c r="BE66" s="82" t="str">
        <f>IF([13]回答表!X42="○",[13]回答表!V117,IF([13]回答表!AA42="○",[13]回答表!V130,""))</f>
        <v/>
      </c>
      <c r="BF66" s="83"/>
      <c r="BG66" s="83"/>
      <c r="BH66" s="83"/>
      <c r="BI66" s="82" t="str">
        <f>IF([13]回答表!X42="○",[13]回答表!V118,IF([13]回答表!AA42="○",[13]回答表!V131,""))</f>
        <v/>
      </c>
      <c r="BJ66" s="83"/>
      <c r="BK66" s="83"/>
      <c r="BL66" s="83"/>
      <c r="BM66" s="82" t="str">
        <f>IF([13]回答表!X42="○",[13]回答表!V119,IF([13]回答表!AA42="○",[13]回答表!V132,""))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IF([13]回答表!AD42="○","○","")</f>
        <v/>
      </c>
      <c r="O75" s="98"/>
      <c r="P75" s="98"/>
      <c r="Q75" s="99"/>
      <c r="R75" s="39"/>
      <c r="S75" s="39"/>
      <c r="T75" s="39"/>
      <c r="U75" s="106" t="str">
        <f>IF([13]回答表!AD42="○",[13]回答表!B137,"")</f>
        <v/>
      </c>
      <c r="V75" s="107"/>
      <c r="W75" s="107"/>
      <c r="X75" s="107"/>
      <c r="Y75" s="107"/>
      <c r="Z75" s="107"/>
      <c r="AA75" s="107"/>
      <c r="AB75" s="107"/>
      <c r="AC75" s="107"/>
      <c r="AD75" s="107"/>
      <c r="AE75" s="107"/>
      <c r="AF75" s="107"/>
      <c r="AG75" s="107"/>
      <c r="AH75" s="107"/>
      <c r="AI75" s="107"/>
      <c r="AJ75" s="108"/>
      <c r="AK75" s="56"/>
      <c r="AL75" s="56"/>
      <c r="AM75" s="106" t="str">
        <f>IF([13]回答表!AD42="○",[13]回答表!B143,"")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IF([13]回答表!F17="水道事業",IF([13]回答表!X43="○","○",""),"")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IF([13]回答表!F17="水道事業",IF([13]回答表!X43="○",[13]回答表!B154,IF([13]回答表!AA43="○",[13]回答表!B201,"")),"")</f>
        <v/>
      </c>
      <c r="AN87" s="107"/>
      <c r="AO87" s="107"/>
      <c r="AP87" s="107"/>
      <c r="AQ87" s="107"/>
      <c r="AR87" s="107"/>
      <c r="AS87" s="107"/>
      <c r="AT87" s="107"/>
      <c r="AU87" s="107"/>
      <c r="AV87" s="107"/>
      <c r="AW87" s="107"/>
      <c r="AX87" s="107"/>
      <c r="AY87" s="107"/>
      <c r="AZ87" s="107"/>
      <c r="BA87" s="107"/>
      <c r="BB87" s="108"/>
      <c r="BC87" s="40"/>
      <c r="BD87" s="35"/>
      <c r="BE87" s="115" t="str">
        <f>IF([13]回答表!F17="水道事業",IF([13]回答表!X43="○",[13]回答表!B190,IF([13]回答表!AA43="○",[13]回答表!B238,"")),"")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IF([13]回答表!F17="水道事業",IF([13]回答表!X43="○",[13]回答表!J162,IF([13]回答表!AA43="○",[13]回答表!J209,"")),"")</f>
        <v/>
      </c>
      <c r="V89" s="119"/>
      <c r="W89" s="119"/>
      <c r="X89" s="119"/>
      <c r="Y89" s="119"/>
      <c r="Z89" s="119"/>
      <c r="AA89" s="119"/>
      <c r="AB89" s="120"/>
      <c r="AC89" s="118" t="str">
        <f>IF([13]回答表!F17="水道事業",IF([13]回答表!X43="○",[13]回答表!J169,IF([13]回答表!AA43="○",[13]回答表!J216,"")),"")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IF([13]回答表!F17="水道事業",IF([13]回答表!X43="○",[13]回答表!E190,IF([13]回答表!AA43="○",[13]回答表!E238,"")),"")</f>
        <v/>
      </c>
      <c r="BF90" s="83"/>
      <c r="BG90" s="83"/>
      <c r="BH90" s="83"/>
      <c r="BI90" s="82" t="str">
        <f>IF([13]回答表!F17="水道事業",IF([13]回答表!X43="○",[13]回答表!E191,IF([13]回答表!AA43="○",[13]回答表!E239,"")),"")</f>
        <v/>
      </c>
      <c r="BJ90" s="83"/>
      <c r="BK90" s="83"/>
      <c r="BL90" s="83"/>
      <c r="BM90" s="82" t="str">
        <f>IF([13]回答表!F17="水道事業",IF([13]回答表!X43="○",[13]回答表!E192,IF([13]回答表!AA43="○",[13]回答表!E240,"")),"")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IF([13]回答表!F17="水道事業",IF([13]回答表!AA43="○","○",""),"")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IF([13]回答表!F17="水道事業",IF([13]回答表!X43="○",[13]回答表!J172,IF([13]回答表!AA43="○",[13]回答表!J219,"")),"")</f>
        <v/>
      </c>
      <c r="V94" s="119"/>
      <c r="W94" s="119"/>
      <c r="X94" s="119"/>
      <c r="Y94" s="119"/>
      <c r="Z94" s="119"/>
      <c r="AA94" s="119"/>
      <c r="AB94" s="120"/>
      <c r="AC94" s="118" t="str">
        <f>IF([13]回答表!F17="水道事業",IF([13]回答表!X43="○",[13]回答表!J176,IF([13]回答表!AA43="○",[13]回答表!J223,"")),"")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IF([13]回答表!F17="水道事業",IF([13]回答表!AD43="○","○",""),"")</f>
        <v>○</v>
      </c>
      <c r="O99" s="98"/>
      <c r="P99" s="98"/>
      <c r="Q99" s="99"/>
      <c r="R99" s="39"/>
      <c r="S99" s="39"/>
      <c r="T99" s="39"/>
      <c r="U99" s="194" t="str">
        <f>IF([13]回答表!F17="水道事業",IF([13]回答表!AD43="○",[13]回答表!B249,""),"")</f>
        <v>「水道事業の広域連携」作業部会、県南地区水道事業連携推進座談会への参加。</v>
      </c>
      <c r="V99" s="195"/>
      <c r="W99" s="195"/>
      <c r="X99" s="195"/>
      <c r="Y99" s="195"/>
      <c r="Z99" s="195"/>
      <c r="AA99" s="195"/>
      <c r="AB99" s="195"/>
      <c r="AC99" s="195"/>
      <c r="AD99" s="195"/>
      <c r="AE99" s="195"/>
      <c r="AF99" s="195"/>
      <c r="AG99" s="195"/>
      <c r="AH99" s="195"/>
      <c r="AI99" s="195"/>
      <c r="AJ99" s="196"/>
      <c r="AK99" s="56"/>
      <c r="AL99" s="56"/>
      <c r="AM99" s="106" t="str">
        <f>IF([13]回答表!F17="水道事業",IF([13]回答表!AD43="○",[13]回答表!B255,""),"")</f>
        <v>座談会を通じ、近隣市町村と意見交換中である。</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97"/>
      <c r="V100" s="198"/>
      <c r="W100" s="198"/>
      <c r="X100" s="198"/>
      <c r="Y100" s="198"/>
      <c r="Z100" s="198"/>
      <c r="AA100" s="198"/>
      <c r="AB100" s="198"/>
      <c r="AC100" s="198"/>
      <c r="AD100" s="198"/>
      <c r="AE100" s="198"/>
      <c r="AF100" s="198"/>
      <c r="AG100" s="198"/>
      <c r="AH100" s="198"/>
      <c r="AI100" s="198"/>
      <c r="AJ100" s="199"/>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97"/>
      <c r="V101" s="198"/>
      <c r="W101" s="198"/>
      <c r="X101" s="198"/>
      <c r="Y101" s="198"/>
      <c r="Z101" s="198"/>
      <c r="AA101" s="198"/>
      <c r="AB101" s="198"/>
      <c r="AC101" s="198"/>
      <c r="AD101" s="198"/>
      <c r="AE101" s="198"/>
      <c r="AF101" s="198"/>
      <c r="AG101" s="198"/>
      <c r="AH101" s="198"/>
      <c r="AI101" s="198"/>
      <c r="AJ101" s="199"/>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200"/>
      <c r="V102" s="201"/>
      <c r="W102" s="201"/>
      <c r="X102" s="201"/>
      <c r="Y102" s="201"/>
      <c r="Z102" s="201"/>
      <c r="AA102" s="201"/>
      <c r="AB102" s="201"/>
      <c r="AC102" s="201"/>
      <c r="AD102" s="201"/>
      <c r="AE102" s="201"/>
      <c r="AF102" s="201"/>
      <c r="AG102" s="201"/>
      <c r="AH102" s="201"/>
      <c r="AI102" s="201"/>
      <c r="AJ102" s="202"/>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IF([13]回答表!F17="簡易水道事業",IF([13]回答表!X43="○","○",""),"")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IF([13]回答表!F17="簡易水道事業",IF([13]回答表!X43="○",[13]回答表!B154,IF([13]回答表!AA43="○",[13]回答表!B201,"")),"")</f>
        <v/>
      </c>
      <c r="AN111" s="107"/>
      <c r="AO111" s="107"/>
      <c r="AP111" s="107"/>
      <c r="AQ111" s="107"/>
      <c r="AR111" s="107"/>
      <c r="AS111" s="107"/>
      <c r="AT111" s="107"/>
      <c r="AU111" s="107"/>
      <c r="AV111" s="107"/>
      <c r="AW111" s="107"/>
      <c r="AX111" s="107"/>
      <c r="AY111" s="107"/>
      <c r="AZ111" s="107"/>
      <c r="BA111" s="107"/>
      <c r="BB111" s="108"/>
      <c r="BC111" s="40"/>
      <c r="BD111" s="35"/>
      <c r="BE111" s="115" t="str">
        <f>IF([13]回答表!F17="簡易水道事業",IF([13]回答表!X43="○",[13]回答表!B190,IF([13]回答表!AA43="○",[13]回答表!B238,"")),"")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IF([13]回答表!F17="簡易水道事業",IF([13]回答表!X43="○",[13]回答表!Y181,IF([13]回答表!AA43="○",[13]回答表!Y229,"")),"")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IF([13]回答表!F17="簡易水道事業",IF([13]回答表!X43="○",[13]回答表!E190,IF([13]回答表!AA43="○",[13]回答表!E238,"")),"")</f>
        <v/>
      </c>
      <c r="BF114" s="83"/>
      <c r="BG114" s="83"/>
      <c r="BH114" s="83"/>
      <c r="BI114" s="82" t="str">
        <f>IF([13]回答表!F17="簡易水道事業",IF([13]回答表!X43="○",[13]回答表!E191,IF([13]回答表!AA43="○",[13]回答表!E239,"")),"")</f>
        <v/>
      </c>
      <c r="BJ114" s="83"/>
      <c r="BK114" s="83"/>
      <c r="BL114" s="83"/>
      <c r="BM114" s="82" t="str">
        <f>IF([13]回答表!F17="簡易水道事業",IF([13]回答表!X43="○",[13]回答表!E192,IF([13]回答表!AA43="○",[13]回答表!E240,"")),"")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IF([13]回答表!F17="簡易水道事業",IF([13]回答表!AA43="○","○",""),"")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IF([13]回答表!F17="簡易水道事業",IF([13]回答表!X43="○",[13]回答表!Y182,IF([13]回答表!AA43="○",[13]回答表!Y230,"")),"")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IF([13]回答表!F17="簡易水道事業",IF([13]回答表!AD43="○","○",""),"")</f>
        <v/>
      </c>
      <c r="O123" s="98"/>
      <c r="P123" s="98"/>
      <c r="Q123" s="99"/>
      <c r="R123" s="39"/>
      <c r="S123" s="39"/>
      <c r="T123" s="39"/>
      <c r="U123" s="106" t="str">
        <f>IF([13]回答表!F17="簡易水道事業",IF([13]回答表!AD43="○",[13]回答表!B249,""),"")</f>
        <v/>
      </c>
      <c r="V123" s="107"/>
      <c r="W123" s="107"/>
      <c r="X123" s="107"/>
      <c r="Y123" s="107"/>
      <c r="Z123" s="107"/>
      <c r="AA123" s="107"/>
      <c r="AB123" s="107"/>
      <c r="AC123" s="107"/>
      <c r="AD123" s="107"/>
      <c r="AE123" s="107"/>
      <c r="AF123" s="107"/>
      <c r="AG123" s="107"/>
      <c r="AH123" s="107"/>
      <c r="AI123" s="107"/>
      <c r="AJ123" s="108"/>
      <c r="AK123" s="56"/>
      <c r="AL123" s="56"/>
      <c r="AM123" s="106" t="str">
        <f>IF([13]回答表!F17="簡易水道事業",IF([13]回答表!AD43="○",[13]回答表!B255,""),"")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IF([13]回答表!F17="下水道事業",IF([13]回答表!X43="○","○",""),"")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IF([13]回答表!F17="下水道事業",IF([13]回答表!X43="○",[13]回答表!B154,IF([13]回答表!AA43="○",[13]回答表!B201,"")),"")</f>
        <v/>
      </c>
      <c r="AN135" s="107"/>
      <c r="AO135" s="107"/>
      <c r="AP135" s="107"/>
      <c r="AQ135" s="107"/>
      <c r="AR135" s="107"/>
      <c r="AS135" s="107"/>
      <c r="AT135" s="107"/>
      <c r="AU135" s="107"/>
      <c r="AV135" s="107"/>
      <c r="AW135" s="107"/>
      <c r="AX135" s="107"/>
      <c r="AY135" s="107"/>
      <c r="AZ135" s="107"/>
      <c r="BA135" s="107"/>
      <c r="BB135" s="108"/>
      <c r="BC135" s="40"/>
      <c r="BD135" s="35"/>
      <c r="BE135" s="115" t="str">
        <f>IF([13]回答表!F17="下水道事業",IF([13]回答表!X43="○",[13]回答表!B190,IF([13]回答表!AA43="○",[13]回答表!B238,"")),"")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IF([13]回答表!F17="下水道事業",IF([13]回答表!X43="○",[13]回答表!Y184,IF([13]回答表!AA43="○",[13]回答表!Y232,"")),"")</f>
        <v/>
      </c>
      <c r="V137" s="119"/>
      <c r="W137" s="119"/>
      <c r="X137" s="119"/>
      <c r="Y137" s="119"/>
      <c r="Z137" s="119"/>
      <c r="AA137" s="119"/>
      <c r="AB137" s="120"/>
      <c r="AC137" s="118" t="str">
        <f>IF([13]回答表!F17="下水道事業",IF([13]回答表!X43="○",[13]回答表!Y185,IF([13]回答表!AA43="○",[13]回答表!Y233,"")),"")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IF([13]回答表!F17="下水道事業",IF([13]回答表!X43="○",[13]回答表!E190,IF([13]回答表!AA43="○",[13]回答表!E238,"")),"")</f>
        <v/>
      </c>
      <c r="BF138" s="83"/>
      <c r="BG138" s="83"/>
      <c r="BH138" s="83"/>
      <c r="BI138" s="82" t="str">
        <f>IF([13]回答表!F17="下水道事業",IF([13]回答表!X43="○",[13]回答表!E191,IF([13]回答表!AA43="○",[13]回答表!E239,"")),"")</f>
        <v/>
      </c>
      <c r="BJ138" s="83"/>
      <c r="BK138" s="83"/>
      <c r="BL138" s="83"/>
      <c r="BM138" s="82" t="str">
        <f>IF([13]回答表!F17="下水道事業",IF([13]回答表!X43="○",[13]回答表!E192,IF([13]回答表!AA43="○",[13]回答表!E240,"")),"")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IF([13]回答表!F17="下水道事業",IF([13]回答表!AA43="○","○",""),"")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IF([13]回答表!F17="下水道事業",IF([13]回答表!X43="○",[13]回答表!Y186,IF([13]回答表!AA43="○",[13]回答表!Y234,"")),"")</f>
        <v/>
      </c>
      <c r="V142" s="119"/>
      <c r="W142" s="119"/>
      <c r="X142" s="119"/>
      <c r="Y142" s="119"/>
      <c r="Z142" s="119"/>
      <c r="AA142" s="119"/>
      <c r="AB142" s="120"/>
      <c r="AC142" s="118" t="str">
        <f>IF([13]回答表!F17="下水道事業",IF([13]回答表!X43="○",[13]回答表!Y187,IF([13]回答表!AA43="○",[13]回答表!Y235,"")),"")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IF([13]回答表!F17="下水道事業",IF([13]回答表!AD43="○","○",""),"")</f>
        <v/>
      </c>
      <c r="O147" s="98"/>
      <c r="P147" s="98"/>
      <c r="Q147" s="99"/>
      <c r="R147" s="39"/>
      <c r="S147" s="39"/>
      <c r="T147" s="39"/>
      <c r="U147" s="106" t="str">
        <f>IF([13]回答表!F17="下水道事業",IF([13]回答表!AD43="○",[13]回答表!B249,""),"")</f>
        <v/>
      </c>
      <c r="V147" s="107"/>
      <c r="W147" s="107"/>
      <c r="X147" s="107"/>
      <c r="Y147" s="107"/>
      <c r="Z147" s="107"/>
      <c r="AA147" s="107"/>
      <c r="AB147" s="107"/>
      <c r="AC147" s="107"/>
      <c r="AD147" s="107"/>
      <c r="AE147" s="107"/>
      <c r="AF147" s="107"/>
      <c r="AG147" s="107"/>
      <c r="AH147" s="107"/>
      <c r="AI147" s="107"/>
      <c r="AJ147" s="108"/>
      <c r="AK147" s="56"/>
      <c r="AL147" s="56"/>
      <c r="AM147" s="106" t="str">
        <f>IF([13]回答表!F17="下水道事業",IF([13]回答表!AD43="○",[13]回答表!B255,""),"")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IF([13]回答表!BD17="○",IF([13]回答表!X43="○","○",""),"")</f>
        <v/>
      </c>
      <c r="O159" s="98"/>
      <c r="P159" s="98"/>
      <c r="Q159" s="99"/>
      <c r="R159" s="39"/>
      <c r="S159" s="39"/>
      <c r="T159" s="39"/>
      <c r="U159" s="106" t="str">
        <f>IF([13]回答表!BD17="○",IF([13]回答表!X43="○",[13]回答表!B154,IF([13]回答表!AA43="○",[13]回答表!B201,"")),"")</f>
        <v/>
      </c>
      <c r="V159" s="107"/>
      <c r="W159" s="107"/>
      <c r="X159" s="107"/>
      <c r="Y159" s="107"/>
      <c r="Z159" s="107"/>
      <c r="AA159" s="107"/>
      <c r="AB159" s="107"/>
      <c r="AC159" s="107"/>
      <c r="AD159" s="107"/>
      <c r="AE159" s="107"/>
      <c r="AF159" s="107"/>
      <c r="AG159" s="107"/>
      <c r="AH159" s="107"/>
      <c r="AI159" s="107"/>
      <c r="AJ159" s="108"/>
      <c r="AK159" s="50"/>
      <c r="AL159" s="50"/>
      <c r="AM159" s="115" t="str">
        <f>IF([13]回答表!BD17="○",IF([13]回答表!X43="○",[13]回答表!B190,IF([13]回答表!AA43="○",[13]回答表!B238,"")),"")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IF([13]回答表!BD17="○",IF([13]回答表!X43="○",[13]回答表!E190,IF([13]回答表!AA43="○",[13]回答表!E238,"")),"")</f>
        <v/>
      </c>
      <c r="AN162" s="83"/>
      <c r="AO162" s="83"/>
      <c r="AP162" s="83"/>
      <c r="AQ162" s="82" t="str">
        <f>IF([13]回答表!BD17="○",IF([13]回答表!X43="○",[13]回答表!E191,IF([13]回答表!AA43="○",[13]回答表!E239,"")),"")</f>
        <v/>
      </c>
      <c r="AR162" s="83"/>
      <c r="AS162" s="83"/>
      <c r="AT162" s="83"/>
      <c r="AU162" s="82" t="str">
        <f>IF([13]回答表!BD17="○",IF([13]回答表!X43="○",[13]回答表!E192,IF([13]回答表!AA43="○",[13]回答表!E240,"")),"")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IF([13]回答表!BD17="○",IF([13]回答表!AA43="○","○",""),"")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IF([13]回答表!BD17="○",IF([13]回答表!AD43="○","○",""),"")</f>
        <v/>
      </c>
      <c r="O171" s="98"/>
      <c r="P171" s="98"/>
      <c r="Q171" s="99"/>
      <c r="R171" s="39"/>
      <c r="S171" s="39"/>
      <c r="T171" s="39"/>
      <c r="U171" s="106" t="str">
        <f>IF([13]回答表!BD17="○",IF([13]回答表!AD43="○",[13]回答表!B249,""),"")</f>
        <v/>
      </c>
      <c r="V171" s="107"/>
      <c r="W171" s="107"/>
      <c r="X171" s="107"/>
      <c r="Y171" s="107"/>
      <c r="Z171" s="107"/>
      <c r="AA171" s="107"/>
      <c r="AB171" s="107"/>
      <c r="AC171" s="107"/>
      <c r="AD171" s="107"/>
      <c r="AE171" s="107"/>
      <c r="AF171" s="107"/>
      <c r="AG171" s="107"/>
      <c r="AH171" s="107"/>
      <c r="AI171" s="107"/>
      <c r="AJ171" s="108"/>
      <c r="AK171" s="56"/>
      <c r="AL171" s="56"/>
      <c r="AM171" s="106" t="str">
        <f>IF([13]回答表!BD17="○",IF([13]回答表!AD43="○",[13]回答表!B255,""),"")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IF([13]回答表!X44="○","○","")</f>
        <v/>
      </c>
      <c r="O183" s="98"/>
      <c r="P183" s="98"/>
      <c r="Q183" s="99"/>
      <c r="R183" s="39"/>
      <c r="S183" s="39"/>
      <c r="T183" s="39"/>
      <c r="U183" s="106" t="str">
        <f>IF([13]回答表!X44="○",[13]回答表!B266,IF([13]回答表!AA44="○",[13]回答表!B283,""))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IF([13]回答表!X44="○",[13]回答表!U272,IF([13]回答表!AA44="○",[13]回答表!U289,""))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IF([13]回答表!X44="○",[13]回答表!G272,IF([13]回答表!AA44="○",[13]回答表!G289,""))</f>
        <v/>
      </c>
      <c r="AN186" s="119"/>
      <c r="AO186" s="119"/>
      <c r="AP186" s="119"/>
      <c r="AQ186" s="119"/>
      <c r="AR186" s="119"/>
      <c r="AS186" s="119"/>
      <c r="AT186" s="120"/>
      <c r="AU186" s="118" t="str">
        <f>IF([13]回答表!X44="○",[13]回答表!G273,IF([13]回答表!AA44="○",[13]回答表!G290,""))</f>
        <v/>
      </c>
      <c r="AV186" s="119"/>
      <c r="AW186" s="119"/>
      <c r="AX186" s="119"/>
      <c r="AY186" s="119"/>
      <c r="AZ186" s="119"/>
      <c r="BA186" s="119"/>
      <c r="BB186" s="120"/>
      <c r="BC186" s="40"/>
      <c r="BD186" s="35"/>
      <c r="BE186" s="82" t="str">
        <f>IF([13]回答表!X44="○",[13]回答表!X272,IF([13]回答表!AA44="○",[13]回答表!X289,""))</f>
        <v/>
      </c>
      <c r="BF186" s="83"/>
      <c r="BG186" s="83"/>
      <c r="BH186" s="83"/>
      <c r="BI186" s="82" t="str">
        <f>IF([13]回答表!X44="○",[13]回答表!X273,IF([13]回答表!AA44="○",[13]回答表!X290,""))</f>
        <v/>
      </c>
      <c r="BJ186" s="83"/>
      <c r="BK186" s="83"/>
      <c r="BL186" s="86"/>
      <c r="BM186" s="82" t="str">
        <f>IF([13]回答表!X44="○",[13]回答表!X274,IF([13]回答表!AA44="○",[13]回答表!X291,""))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IF([13]回答表!AD44="○","○","")</f>
        <v/>
      </c>
      <c r="O195" s="98"/>
      <c r="P195" s="98"/>
      <c r="Q195" s="99"/>
      <c r="R195" s="39"/>
      <c r="S195" s="39"/>
      <c r="T195" s="39"/>
      <c r="U195" s="106" t="str">
        <f>IF([13]回答表!AD44="○",[13]回答表!B296,"")</f>
        <v/>
      </c>
      <c r="V195" s="107"/>
      <c r="W195" s="107"/>
      <c r="X195" s="107"/>
      <c r="Y195" s="107"/>
      <c r="Z195" s="107"/>
      <c r="AA195" s="107"/>
      <c r="AB195" s="107"/>
      <c r="AC195" s="107"/>
      <c r="AD195" s="107"/>
      <c r="AE195" s="107"/>
      <c r="AF195" s="107"/>
      <c r="AG195" s="107"/>
      <c r="AH195" s="107"/>
      <c r="AI195" s="107"/>
      <c r="AJ195" s="108"/>
      <c r="AK195" s="61"/>
      <c r="AL195" s="61"/>
      <c r="AM195" s="106" t="str">
        <f>IF([13]回答表!AD44="○",[13]回答表!B302,"")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IF([13]回答表!X45="○","○","")</f>
        <v/>
      </c>
      <c r="O207" s="98"/>
      <c r="P207" s="98"/>
      <c r="Q207" s="99"/>
      <c r="R207" s="39"/>
      <c r="S207" s="39"/>
      <c r="T207" s="39"/>
      <c r="U207" s="106" t="str">
        <f>IF([13]回答表!X45="○",[13]回答表!B314,IF([13]回答表!AA45="○",[13]回答表!B337,""))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IF([13]回答表!X45="○",[13]回答表!B320,"")</f>
        <v/>
      </c>
      <c r="AO207" s="164"/>
      <c r="AP207" s="164"/>
      <c r="AQ207" s="164"/>
      <c r="AR207" s="164"/>
      <c r="AS207" s="164"/>
      <c r="AT207" s="164"/>
      <c r="AU207" s="164"/>
      <c r="AV207" s="164"/>
      <c r="AW207" s="164"/>
      <c r="AX207" s="164"/>
      <c r="AY207" s="164"/>
      <c r="AZ207" s="164"/>
      <c r="BA207" s="164"/>
      <c r="BB207" s="165"/>
      <c r="BC207" s="40"/>
      <c r="BD207" s="35"/>
      <c r="BE207" s="115" t="str">
        <f>IF([13]回答表!X45="○",[13]回答表!B326,IF([13]回答表!AA45="○",[13]回答表!B343,""))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IF([13]回答表!X45="○",[13]回答表!E326,IF([13]回答表!AA45="○",[13]回答表!E343,""))</f>
        <v/>
      </c>
      <c r="BF210" s="83"/>
      <c r="BG210" s="83"/>
      <c r="BH210" s="83"/>
      <c r="BI210" s="82" t="str">
        <f>IF([13]回答表!X45="○",[13]回答表!E327,IF([13]回答表!AA45="○",[13]回答表!E344,""))</f>
        <v/>
      </c>
      <c r="BJ210" s="83"/>
      <c r="BK210" s="83"/>
      <c r="BL210" s="86"/>
      <c r="BM210" s="82" t="str">
        <f>IF([13]回答表!X45="○",[13]回答表!E328,IF([13]回答表!AA45="○",[13]回答表!E345,""))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IF([13]回答表!AD45="○","○","")</f>
        <v/>
      </c>
      <c r="O219" s="98"/>
      <c r="P219" s="98"/>
      <c r="Q219" s="99"/>
      <c r="R219" s="39"/>
      <c r="S219" s="39"/>
      <c r="T219" s="39"/>
      <c r="U219" s="106" t="str">
        <f>IF([13]回答表!AD45="○",[13]回答表!B350,"")</f>
        <v/>
      </c>
      <c r="V219" s="107"/>
      <c r="W219" s="107"/>
      <c r="X219" s="107"/>
      <c r="Y219" s="107"/>
      <c r="Z219" s="107"/>
      <c r="AA219" s="107"/>
      <c r="AB219" s="107"/>
      <c r="AC219" s="107"/>
      <c r="AD219" s="107"/>
      <c r="AE219" s="107"/>
      <c r="AF219" s="107"/>
      <c r="AG219" s="107"/>
      <c r="AH219" s="107"/>
      <c r="AI219" s="107"/>
      <c r="AJ219" s="108"/>
      <c r="AK219" s="61"/>
      <c r="AL219" s="61"/>
      <c r="AM219" s="106" t="str">
        <f>IF([13]回答表!AD45="○",[13]回答表!B356,"")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IF([13]回答表!X46="○","○","")</f>
        <v/>
      </c>
      <c r="O231" s="98"/>
      <c r="P231" s="98"/>
      <c r="Q231" s="99"/>
      <c r="R231" s="39"/>
      <c r="S231" s="39"/>
      <c r="T231" s="39"/>
      <c r="U231" s="106" t="str">
        <f>IF([13]回答表!X46="○",[13]回答表!B368,IF([13]回答表!AA46="○",[13]回答表!B382,""))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IF([13]回答表!X46="○",[13]回答表!BC375,IF([13]回答表!AA46="○",[13]回答表!BC389,""))</f>
        <v/>
      </c>
      <c r="AR231" s="150"/>
      <c r="AS231" s="150"/>
      <c r="AT231" s="150"/>
      <c r="AU231" s="155" t="s">
        <v>63</v>
      </c>
      <c r="AV231" s="156"/>
      <c r="AW231" s="156"/>
      <c r="AX231" s="157"/>
      <c r="AY231" s="150" t="str">
        <f>IF([13]回答表!X46="○",[13]回答表!BC380,IF([13]回答表!AA46="○",[13]回答表!BC394,""))</f>
        <v/>
      </c>
      <c r="AZ231" s="150"/>
      <c r="BA231" s="150"/>
      <c r="BB231" s="150"/>
      <c r="BC231" s="40"/>
      <c r="BD231" s="35"/>
      <c r="BE231" s="115" t="str">
        <f>IF([13]回答表!X46="○",[13]回答表!S374,IF([13]回答表!AA46="○",[13]回答表!S388,""))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IF([13]回答表!X46="○",[13]回答表!BC376,IF([13]回答表!AA46="○",[13]回答表!BC390,""))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IF([13]回答表!X46="○",[13]回答表!V374,IF([13]回答表!AA46="○",[13]回答表!V388,""))</f>
        <v/>
      </c>
      <c r="BF234" s="83"/>
      <c r="BG234" s="83"/>
      <c r="BH234" s="83"/>
      <c r="BI234" s="82" t="str">
        <f>IF([13]回答表!X46="○",[13]回答表!V375,IF([13]回答表!AA46="○",[13]回答表!V389,""))</f>
        <v/>
      </c>
      <c r="BJ234" s="83"/>
      <c r="BK234" s="83"/>
      <c r="BL234" s="86"/>
      <c r="BM234" s="82" t="str">
        <f>IF([13]回答表!X46="○",[13]回答表!V376,IF([13]回答表!AA46="○",[13]回答表!V390,""))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IF([13]回答表!X46="○",[13]回答表!BC377,IF([13]回答表!AA46="○",[13]回答表!BC391,""))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IF([13]回答表!X46="○",[13]回答表!BC381,IF([13]回答表!AA46="○",[13]回答表!BC395,""))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IF([13]回答表!X46="○",[13]回答表!BC378,IF([13]回答表!AA46="○",[13]回答表!BC392,""))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IF([13]回答表!X46="○",[13]回答表!BC379,IF([13]回答表!AA46="○",[13]回答表!BC393,""))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IF([13]回答表!AD46="○","○","")</f>
        <v/>
      </c>
      <c r="O243" s="98"/>
      <c r="P243" s="98"/>
      <c r="Q243" s="99"/>
      <c r="R243" s="39"/>
      <c r="S243" s="39"/>
      <c r="T243" s="39"/>
      <c r="U243" s="106" t="str">
        <f>IF([13]回答表!AD46="○",[13]回答表!B396,"")</f>
        <v/>
      </c>
      <c r="V243" s="107"/>
      <c r="W243" s="107"/>
      <c r="X243" s="107"/>
      <c r="Y243" s="107"/>
      <c r="Z243" s="107"/>
      <c r="AA243" s="107"/>
      <c r="AB243" s="107"/>
      <c r="AC243" s="107"/>
      <c r="AD243" s="107"/>
      <c r="AE243" s="107"/>
      <c r="AF243" s="107"/>
      <c r="AG243" s="107"/>
      <c r="AH243" s="107"/>
      <c r="AI243" s="107"/>
      <c r="AJ243" s="108"/>
      <c r="AK243" s="56"/>
      <c r="AL243" s="56"/>
      <c r="AM243" s="106" t="str">
        <f>IF([13]回答表!AD46="○",[13]回答表!B402,"")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IF([13]回答表!X47="○","○","")</f>
        <v/>
      </c>
      <c r="O254" s="98"/>
      <c r="P254" s="98"/>
      <c r="Q254" s="99"/>
      <c r="R254" s="39"/>
      <c r="S254" s="39"/>
      <c r="T254" s="39"/>
      <c r="U254" s="106" t="str">
        <f>IF([13]回答表!X47="○",[13]回答表!B414,IF([13]回答表!AA47="○",[13]回答表!B431,""))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IF([13]回答表!X47="○",[13]回答表!B424,IF([13]回答表!AA47="○",[13]回答表!B441,""))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IF([13]回答表!X47="○",[13]回答表!G420,IF([13]回答表!AA47="○",[13]回答表!G437,""))</f>
        <v/>
      </c>
      <c r="AN256" s="119"/>
      <c r="AO256" s="119"/>
      <c r="AP256" s="119"/>
      <c r="AQ256" s="119"/>
      <c r="AR256" s="119"/>
      <c r="AS256" s="119"/>
      <c r="AT256" s="120"/>
      <c r="AU256" s="118" t="str">
        <f>IF([13]回答表!X47="○",[13]回答表!G421,IF([13]回答表!AA47="○",[13]回答表!G438,""))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IF([13]回答表!X47="○",[13]回答表!E424,IF([13]回答表!AA47="○",[13]回答表!E441,""))</f>
        <v/>
      </c>
      <c r="BF257" s="83"/>
      <c r="BG257" s="83"/>
      <c r="BH257" s="83"/>
      <c r="BI257" s="82" t="str">
        <f>IF([13]回答表!X47="○",[13]回答表!E425,IF([13]回答表!AA47="○",[13]回答表!E442,""))</f>
        <v/>
      </c>
      <c r="BJ257" s="83"/>
      <c r="BK257" s="83"/>
      <c r="BL257" s="86"/>
      <c r="BM257" s="82" t="str">
        <f>IF([13]回答表!X47="○",[13]回答表!E426,IF([13]回答表!AA47="○",[13]回答表!E443,""))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IF([13]回答表!AD47="○","○","")</f>
        <v/>
      </c>
      <c r="O266" s="98"/>
      <c r="P266" s="98"/>
      <c r="Q266" s="99"/>
      <c r="R266" s="39"/>
      <c r="S266" s="39"/>
      <c r="T266" s="39"/>
      <c r="U266" s="106" t="str">
        <f>IF([13]回答表!AD47="○",[13]回答表!B448,"")</f>
        <v/>
      </c>
      <c r="V266" s="107"/>
      <c r="W266" s="107"/>
      <c r="X266" s="107"/>
      <c r="Y266" s="107"/>
      <c r="Z266" s="107"/>
      <c r="AA266" s="107"/>
      <c r="AB266" s="107"/>
      <c r="AC266" s="107"/>
      <c r="AD266" s="107"/>
      <c r="AE266" s="107"/>
      <c r="AF266" s="107"/>
      <c r="AG266" s="107"/>
      <c r="AH266" s="107"/>
      <c r="AI266" s="107"/>
      <c r="AJ266" s="108"/>
      <c r="AK266" s="50"/>
      <c r="AL266" s="50"/>
      <c r="AM266" s="106" t="str">
        <f>IF([13]回答表!AD47="○",[13]回答表!B454,"")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IF([13]回答表!R48="○",[13]回答表!B467,"")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F0448-CE6C-4CE7-B9DD-3C89256FD369}">
  <sheetPr>
    <pageSetUpPr fitToPage="1"/>
  </sheetPr>
  <dimension ref="A1:CE298"/>
  <sheetViews>
    <sheetView showZeros="0"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IF(COUNTIF([1]回答表!K15,"*")&gt;0,[1]回答表!K15,"")</f>
        <v>仙北市</v>
      </c>
      <c r="D11" s="255"/>
      <c r="E11" s="255"/>
      <c r="F11" s="255"/>
      <c r="G11" s="255"/>
      <c r="H11" s="255"/>
      <c r="I11" s="255"/>
      <c r="J11" s="255"/>
      <c r="K11" s="255"/>
      <c r="L11" s="255"/>
      <c r="M11" s="255"/>
      <c r="N11" s="255"/>
      <c r="O11" s="255"/>
      <c r="P11" s="255"/>
      <c r="Q11" s="255"/>
      <c r="R11" s="255"/>
      <c r="S11" s="255"/>
      <c r="T11" s="255"/>
      <c r="U11" s="262" t="str">
        <f>IF(COUNTIF([1]回答表!F17,"*")&gt;0,[1]回答表!F17,"")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IF(COUNTIF([1]回答表!W17,"*")&gt;0,[1]回答表!W17,"")</f>
        <v>個別排水処理施設</v>
      </c>
      <c r="AP11" s="257"/>
      <c r="AQ11" s="257"/>
      <c r="AR11" s="257"/>
      <c r="AS11" s="257"/>
      <c r="AT11" s="257"/>
      <c r="AU11" s="257"/>
      <c r="AV11" s="257"/>
      <c r="AW11" s="257"/>
      <c r="AX11" s="257"/>
      <c r="AY11" s="257"/>
      <c r="AZ11" s="257"/>
      <c r="BA11" s="257"/>
      <c r="BB11" s="257"/>
      <c r="BC11" s="257"/>
      <c r="BD11" s="257"/>
      <c r="BE11" s="258"/>
      <c r="BF11" s="261" t="str">
        <f>IF(COUNTIF([1]回答表!F19,"*")&gt;0,[1]回答表!F19,"")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IF([1]回答表!R41="○","○","")</f>
        <v/>
      </c>
      <c r="E24" s="122"/>
      <c r="F24" s="122"/>
      <c r="G24" s="122"/>
      <c r="H24" s="122"/>
      <c r="I24" s="122"/>
      <c r="J24" s="123"/>
      <c r="K24" s="121" t="str">
        <f>IF([1]回答表!R42="○","○","")</f>
        <v/>
      </c>
      <c r="L24" s="122"/>
      <c r="M24" s="122"/>
      <c r="N24" s="122"/>
      <c r="O24" s="122"/>
      <c r="P24" s="122"/>
      <c r="Q24" s="123"/>
      <c r="R24" s="121" t="str">
        <f>IF([1]回答表!R43="○","○","")</f>
        <v/>
      </c>
      <c r="S24" s="122"/>
      <c r="T24" s="122"/>
      <c r="U24" s="122"/>
      <c r="V24" s="122"/>
      <c r="W24" s="122"/>
      <c r="X24" s="123"/>
      <c r="Y24" s="121" t="str">
        <f>IF([1]回答表!R44="○","○","")</f>
        <v/>
      </c>
      <c r="Z24" s="122"/>
      <c r="AA24" s="122"/>
      <c r="AB24" s="122"/>
      <c r="AC24" s="122"/>
      <c r="AD24" s="122"/>
      <c r="AE24" s="123"/>
      <c r="AF24" s="121" t="str">
        <f>IF([1]回答表!R45="○","○","")</f>
        <v/>
      </c>
      <c r="AG24" s="122"/>
      <c r="AH24" s="122"/>
      <c r="AI24" s="122"/>
      <c r="AJ24" s="122"/>
      <c r="AK24" s="122"/>
      <c r="AL24" s="123"/>
      <c r="AM24" s="121" t="str">
        <f>IF([1]回答表!R46="○","○","")</f>
        <v/>
      </c>
      <c r="AN24" s="122"/>
      <c r="AO24" s="122"/>
      <c r="AP24" s="122"/>
      <c r="AQ24" s="122"/>
      <c r="AR24" s="122"/>
      <c r="AS24" s="123"/>
      <c r="AT24" s="121" t="str">
        <f>IF([1]回答表!R47="○","○","")</f>
        <v/>
      </c>
      <c r="AU24" s="122"/>
      <c r="AV24" s="122"/>
      <c r="AW24" s="122"/>
      <c r="AX24" s="122"/>
      <c r="AY24" s="122"/>
      <c r="AZ24" s="123"/>
      <c r="BA24" s="19"/>
      <c r="BB24" s="118" t="str">
        <f>IF([1]回答表!R48="○","○","")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IF([1]回答表!X41="○","○","")</f>
        <v/>
      </c>
      <c r="O36" s="98"/>
      <c r="P36" s="98"/>
      <c r="Q36" s="99"/>
      <c r="R36" s="39"/>
      <c r="S36" s="39"/>
      <c r="T36" s="39"/>
      <c r="U36" s="106" t="str">
        <f>IF([1]回答表!X41="○",[1]回答表!B56,IF([1]回答表!AA41="○",[1]回答表!B76,""))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IF([1]回答表!X41="○",[1]回答表!S62,IF([1]回答表!AA41="○",[1]回答表!S82,""))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IF([1]回答表!X41="○",[1]回答表!G62,IF([1]回答表!AA41="○",[1]回答表!G82,""))</f>
        <v/>
      </c>
      <c r="AN38" s="119"/>
      <c r="AO38" s="119"/>
      <c r="AP38" s="119"/>
      <c r="AQ38" s="119"/>
      <c r="AR38" s="119"/>
      <c r="AS38" s="119"/>
      <c r="AT38" s="120"/>
      <c r="AU38" s="118" t="str">
        <f>IF([1]回答表!X41="○",[1]回答表!G63,IF([1]回答表!AA41="○",[1]回答表!G83,""))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IF([1]回答表!X41="○",[1]回答表!V62,IF([1]回答表!AA41="○",[1]回答表!V82,""))</f>
        <v/>
      </c>
      <c r="BF39" s="208"/>
      <c r="BG39" s="208"/>
      <c r="BH39" s="209"/>
      <c r="BI39" s="82" t="str">
        <f>IF([1]回答表!X41="○",[1]回答表!V63,IF([1]回答表!AA41="○",[1]回答表!V83,""))</f>
        <v/>
      </c>
      <c r="BJ39" s="208"/>
      <c r="BK39" s="208"/>
      <c r="BL39" s="209"/>
      <c r="BM39" s="82" t="str">
        <f>IF([1]回答表!X41="○",[1]回答表!V64,IF([1]回答表!AA41="○",[1]回答表!V84,""))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IF([1]回答表!X41="○",[1]回答表!O68,IF([1]回答表!AA41="○",[1]回答表!O88,""))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IF([1]回答表!X41="○",[1]回答表!O69,IF([1]回答表!AA41="○",[1]回答表!O89,""))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IF([1]回答表!X41="○",[1]回答表!O70,IF([1]回答表!AA41="○",[1]回答表!O90,""))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IF([1]回答表!X41="○",[1]回答表!O71,IF([1]回答表!AA41="○",[1]回答表!O91,""))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IF([1]回答表!X41="○",[1]回答表!AG68,IF([1]回答表!AA41="○",[1]回答表!AG88,""))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IF([1]回答表!X41="○",[1]回答表!AG69,IF([1]回答表!AA41="○",[1]回答表!AG89,""))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IF([1]回答表!X41="○",[1]回答表!AG70,IF([1]回答表!AA41="○",[1]回答表!AG90,""))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IF([1]回答表!AD41="○","○","")</f>
        <v/>
      </c>
      <c r="O52" s="98"/>
      <c r="P52" s="98"/>
      <c r="Q52" s="99"/>
      <c r="R52" s="39"/>
      <c r="S52" s="39"/>
      <c r="T52" s="39"/>
      <c r="U52" s="106" t="str">
        <f>IF([1]回答表!AD41="○",[1]回答表!B96,"")</f>
        <v/>
      </c>
      <c r="V52" s="107"/>
      <c r="W52" s="107"/>
      <c r="X52" s="107"/>
      <c r="Y52" s="107"/>
      <c r="Z52" s="107"/>
      <c r="AA52" s="107"/>
      <c r="AB52" s="107"/>
      <c r="AC52" s="107"/>
      <c r="AD52" s="107"/>
      <c r="AE52" s="107"/>
      <c r="AF52" s="107"/>
      <c r="AG52" s="107"/>
      <c r="AH52" s="107"/>
      <c r="AI52" s="107"/>
      <c r="AJ52" s="108"/>
      <c r="AK52" s="56"/>
      <c r="AL52" s="56"/>
      <c r="AM52" s="106" t="str">
        <f>IF([1]回答表!AD41="○",[1]回答表!B101,"")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IF([1]回答表!X42="○","○","")</f>
        <v/>
      </c>
      <c r="O63" s="98"/>
      <c r="P63" s="98"/>
      <c r="Q63" s="99"/>
      <c r="R63" s="39"/>
      <c r="S63" s="39"/>
      <c r="T63" s="39"/>
      <c r="U63" s="106" t="str">
        <f>IF([1]回答表!X42="○",[1]回答表!B111,IF([1]回答表!AA42="○",[1]回答表!B124,""))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IF([1]回答表!X42="○",[1]回答表!S117,IF([1]回答表!AA42="○",[1]回答表!S130,""))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IF([1]回答表!X42="○",[1]回答表!J117,IF([1]回答表!AA42="○",[1]回答表!J130,""))</f>
        <v/>
      </c>
      <c r="AN66" s="119"/>
      <c r="AO66" s="119"/>
      <c r="AP66" s="119"/>
      <c r="AQ66" s="119"/>
      <c r="AR66" s="119"/>
      <c r="AS66" s="119"/>
      <c r="AT66" s="120"/>
      <c r="AU66" s="118" t="str">
        <f>IF([1]回答表!X42="○",[1]回答表!J118,IF([1]回答表!AA42="○",[1]回答表!J131,""))</f>
        <v/>
      </c>
      <c r="AV66" s="119"/>
      <c r="AW66" s="119"/>
      <c r="AX66" s="119"/>
      <c r="AY66" s="119"/>
      <c r="AZ66" s="119"/>
      <c r="BA66" s="119"/>
      <c r="BB66" s="120"/>
      <c r="BC66" s="40"/>
      <c r="BD66" s="35"/>
      <c r="BE66" s="82" t="str">
        <f>IF([1]回答表!X42="○",[1]回答表!V117,IF([1]回答表!AA42="○",[1]回答表!V130,""))</f>
        <v/>
      </c>
      <c r="BF66" s="83"/>
      <c r="BG66" s="83"/>
      <c r="BH66" s="83"/>
      <c r="BI66" s="82" t="str">
        <f>IF([1]回答表!X42="○",[1]回答表!V118,IF([1]回答表!AA42="○",[1]回答表!V131,""))</f>
        <v/>
      </c>
      <c r="BJ66" s="83"/>
      <c r="BK66" s="83"/>
      <c r="BL66" s="83"/>
      <c r="BM66" s="82" t="str">
        <f>IF([1]回答表!X42="○",[1]回答表!V119,IF([1]回答表!AA42="○",[1]回答表!V132,""))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IF([1]回答表!AD42="○","○","")</f>
        <v/>
      </c>
      <c r="O75" s="98"/>
      <c r="P75" s="98"/>
      <c r="Q75" s="99"/>
      <c r="R75" s="39"/>
      <c r="S75" s="39"/>
      <c r="T75" s="39"/>
      <c r="U75" s="106" t="str">
        <f>IF([1]回答表!AD42="○",[1]回答表!B137,"")</f>
        <v/>
      </c>
      <c r="V75" s="107"/>
      <c r="W75" s="107"/>
      <c r="X75" s="107"/>
      <c r="Y75" s="107"/>
      <c r="Z75" s="107"/>
      <c r="AA75" s="107"/>
      <c r="AB75" s="107"/>
      <c r="AC75" s="107"/>
      <c r="AD75" s="107"/>
      <c r="AE75" s="107"/>
      <c r="AF75" s="107"/>
      <c r="AG75" s="107"/>
      <c r="AH75" s="107"/>
      <c r="AI75" s="107"/>
      <c r="AJ75" s="108"/>
      <c r="AK75" s="56"/>
      <c r="AL75" s="56"/>
      <c r="AM75" s="106" t="str">
        <f>IF([1]回答表!AD42="○",[1]回答表!B143,"")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IF([1]回答表!F17="水道事業",IF([1]回答表!X43="○","○",""),"")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IF([1]回答表!F17="水道事業",IF([1]回答表!X43="○",[1]回答表!B154,IF([1]回答表!AA43="○",[1]回答表!B201,"")),"")</f>
        <v/>
      </c>
      <c r="AN87" s="107"/>
      <c r="AO87" s="107"/>
      <c r="AP87" s="107"/>
      <c r="AQ87" s="107"/>
      <c r="AR87" s="107"/>
      <c r="AS87" s="107"/>
      <c r="AT87" s="107"/>
      <c r="AU87" s="107"/>
      <c r="AV87" s="107"/>
      <c r="AW87" s="107"/>
      <c r="AX87" s="107"/>
      <c r="AY87" s="107"/>
      <c r="AZ87" s="107"/>
      <c r="BA87" s="107"/>
      <c r="BB87" s="108"/>
      <c r="BC87" s="40"/>
      <c r="BD87" s="35"/>
      <c r="BE87" s="115" t="str">
        <f>IF([1]回答表!F17="水道事業",IF([1]回答表!X43="○",[1]回答表!B190,IF([1]回答表!AA43="○",[1]回答表!B238,"")),"")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IF([1]回答表!F17="水道事業",IF([1]回答表!X43="○",[1]回答表!J162,IF([1]回答表!AA43="○",[1]回答表!J209,"")),"")</f>
        <v/>
      </c>
      <c r="V89" s="119"/>
      <c r="W89" s="119"/>
      <c r="X89" s="119"/>
      <c r="Y89" s="119"/>
      <c r="Z89" s="119"/>
      <c r="AA89" s="119"/>
      <c r="AB89" s="120"/>
      <c r="AC89" s="118" t="str">
        <f>IF([1]回答表!F17="水道事業",IF([1]回答表!X43="○",[1]回答表!J169,IF([1]回答表!AA43="○",[1]回答表!J216,"")),"")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IF([1]回答表!F17="水道事業",IF([1]回答表!X43="○",[1]回答表!E190,IF([1]回答表!AA43="○",[1]回答表!E238,"")),"")</f>
        <v/>
      </c>
      <c r="BF90" s="83"/>
      <c r="BG90" s="83"/>
      <c r="BH90" s="83"/>
      <c r="BI90" s="82" t="str">
        <f>IF([1]回答表!F17="水道事業",IF([1]回答表!X43="○",[1]回答表!E191,IF([1]回答表!AA43="○",[1]回答表!E239,"")),"")</f>
        <v/>
      </c>
      <c r="BJ90" s="83"/>
      <c r="BK90" s="83"/>
      <c r="BL90" s="83"/>
      <c r="BM90" s="82" t="str">
        <f>IF([1]回答表!F17="水道事業",IF([1]回答表!X43="○",[1]回答表!E192,IF([1]回答表!AA43="○",[1]回答表!E240,"")),"")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IF([1]回答表!F17="水道事業",IF([1]回答表!AA43="○","○",""),"")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IF([1]回答表!F17="水道事業",IF([1]回答表!X43="○",[1]回答表!J172,IF([1]回答表!AA43="○",[1]回答表!J219,"")),"")</f>
        <v/>
      </c>
      <c r="V94" s="119"/>
      <c r="W94" s="119"/>
      <c r="X94" s="119"/>
      <c r="Y94" s="119"/>
      <c r="Z94" s="119"/>
      <c r="AA94" s="119"/>
      <c r="AB94" s="120"/>
      <c r="AC94" s="118" t="str">
        <f>IF([1]回答表!F17="水道事業",IF([1]回答表!X43="○",[1]回答表!J176,IF([1]回答表!AA43="○",[1]回答表!J223,"")),"")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IF([1]回答表!F17="水道事業",IF([1]回答表!AD43="○","○",""),"")</f>
        <v/>
      </c>
      <c r="O99" s="98"/>
      <c r="P99" s="98"/>
      <c r="Q99" s="99"/>
      <c r="R99" s="39"/>
      <c r="S99" s="39"/>
      <c r="T99" s="39"/>
      <c r="U99" s="106" t="str">
        <f>IF([1]回答表!F17="水道事業",IF([1]回答表!AD43="○",[1]回答表!B249,""),"")</f>
        <v/>
      </c>
      <c r="V99" s="107"/>
      <c r="W99" s="107"/>
      <c r="X99" s="107"/>
      <c r="Y99" s="107"/>
      <c r="Z99" s="107"/>
      <c r="AA99" s="107"/>
      <c r="AB99" s="107"/>
      <c r="AC99" s="107"/>
      <c r="AD99" s="107"/>
      <c r="AE99" s="107"/>
      <c r="AF99" s="107"/>
      <c r="AG99" s="107"/>
      <c r="AH99" s="107"/>
      <c r="AI99" s="107"/>
      <c r="AJ99" s="108"/>
      <c r="AK99" s="56"/>
      <c r="AL99" s="56"/>
      <c r="AM99" s="106" t="str">
        <f>IF([1]回答表!F17="水道事業",IF([1]回答表!AD43="○",[1]回答表!B255,""),"")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IF([1]回答表!F17="簡易水道事業",IF([1]回答表!X43="○","○",""),"")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IF([1]回答表!F17="簡易水道事業",IF([1]回答表!X43="○",[1]回答表!B154,IF([1]回答表!AA43="○",[1]回答表!B201,"")),"")</f>
        <v/>
      </c>
      <c r="AN111" s="107"/>
      <c r="AO111" s="107"/>
      <c r="AP111" s="107"/>
      <c r="AQ111" s="107"/>
      <c r="AR111" s="107"/>
      <c r="AS111" s="107"/>
      <c r="AT111" s="107"/>
      <c r="AU111" s="107"/>
      <c r="AV111" s="107"/>
      <c r="AW111" s="107"/>
      <c r="AX111" s="107"/>
      <c r="AY111" s="107"/>
      <c r="AZ111" s="107"/>
      <c r="BA111" s="107"/>
      <c r="BB111" s="108"/>
      <c r="BC111" s="40"/>
      <c r="BD111" s="35"/>
      <c r="BE111" s="115" t="str">
        <f>IF([1]回答表!F17="簡易水道事業",IF([1]回答表!X43="○",[1]回答表!B190,IF([1]回答表!AA43="○",[1]回答表!B238,"")),"")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IF([1]回答表!F17="簡易水道事業",IF([1]回答表!X43="○",[1]回答表!Y181,IF([1]回答表!AA43="○",[1]回答表!Y229,"")),"")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IF([1]回答表!F17="簡易水道事業",IF([1]回答表!X43="○",[1]回答表!E190,IF([1]回答表!AA43="○",[1]回答表!E238,"")),"")</f>
        <v/>
      </c>
      <c r="BF114" s="83"/>
      <c r="BG114" s="83"/>
      <c r="BH114" s="83"/>
      <c r="BI114" s="82" t="str">
        <f>IF([1]回答表!F17="簡易水道事業",IF([1]回答表!X43="○",[1]回答表!E191,IF([1]回答表!AA43="○",[1]回答表!E239,"")),"")</f>
        <v/>
      </c>
      <c r="BJ114" s="83"/>
      <c r="BK114" s="83"/>
      <c r="BL114" s="83"/>
      <c r="BM114" s="82" t="str">
        <f>IF([1]回答表!F17="簡易水道事業",IF([1]回答表!X43="○",[1]回答表!E192,IF([1]回答表!AA43="○",[1]回答表!E240,"")),"")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IF([1]回答表!F17="簡易水道事業",IF([1]回答表!AA43="○","○",""),"")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IF([1]回答表!F17="簡易水道事業",IF([1]回答表!X43="○",[1]回答表!Y182,IF([1]回答表!AA43="○",[1]回答表!Y230,"")),"")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IF([1]回答表!F17="簡易水道事業",IF([1]回答表!AD43="○","○",""),"")</f>
        <v/>
      </c>
      <c r="O123" s="98"/>
      <c r="P123" s="98"/>
      <c r="Q123" s="99"/>
      <c r="R123" s="39"/>
      <c r="S123" s="39"/>
      <c r="T123" s="39"/>
      <c r="U123" s="106" t="str">
        <f>IF([1]回答表!F17="簡易水道事業",IF([1]回答表!AD43="○",[1]回答表!B249,""),"")</f>
        <v/>
      </c>
      <c r="V123" s="107"/>
      <c r="W123" s="107"/>
      <c r="X123" s="107"/>
      <c r="Y123" s="107"/>
      <c r="Z123" s="107"/>
      <c r="AA123" s="107"/>
      <c r="AB123" s="107"/>
      <c r="AC123" s="107"/>
      <c r="AD123" s="107"/>
      <c r="AE123" s="107"/>
      <c r="AF123" s="107"/>
      <c r="AG123" s="107"/>
      <c r="AH123" s="107"/>
      <c r="AI123" s="107"/>
      <c r="AJ123" s="108"/>
      <c r="AK123" s="56"/>
      <c r="AL123" s="56"/>
      <c r="AM123" s="106" t="str">
        <f>IF([1]回答表!F17="簡易水道事業",IF([1]回答表!AD43="○",[1]回答表!B255,""),"")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IF([1]回答表!F17="下水道事業",IF([1]回答表!X43="○","○",""),"")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IF([1]回答表!F17="下水道事業",IF([1]回答表!X43="○",[1]回答表!B154,IF([1]回答表!AA43="○",[1]回答表!B201,"")),"")</f>
        <v/>
      </c>
      <c r="AN135" s="107"/>
      <c r="AO135" s="107"/>
      <c r="AP135" s="107"/>
      <c r="AQ135" s="107"/>
      <c r="AR135" s="107"/>
      <c r="AS135" s="107"/>
      <c r="AT135" s="107"/>
      <c r="AU135" s="107"/>
      <c r="AV135" s="107"/>
      <c r="AW135" s="107"/>
      <c r="AX135" s="107"/>
      <c r="AY135" s="107"/>
      <c r="AZ135" s="107"/>
      <c r="BA135" s="107"/>
      <c r="BB135" s="108"/>
      <c r="BC135" s="40"/>
      <c r="BD135" s="35"/>
      <c r="BE135" s="115" t="str">
        <f>IF([1]回答表!F17="下水道事業",IF([1]回答表!X43="○",[1]回答表!B190,IF([1]回答表!AA43="○",[1]回答表!B238,"")),"")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IF([1]回答表!F17="下水道事業",IF([1]回答表!X43="○",[1]回答表!Y184,IF([1]回答表!AA43="○",[1]回答表!Y232,"")),"")</f>
        <v/>
      </c>
      <c r="V137" s="119"/>
      <c r="W137" s="119"/>
      <c r="X137" s="119"/>
      <c r="Y137" s="119"/>
      <c r="Z137" s="119"/>
      <c r="AA137" s="119"/>
      <c r="AB137" s="120"/>
      <c r="AC137" s="118" t="str">
        <f>IF([1]回答表!F17="下水道事業",IF([1]回答表!X43="○",[1]回答表!Y185,IF([1]回答表!AA43="○",[1]回答表!Y233,"")),"")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IF([1]回答表!F17="下水道事業",IF([1]回答表!X43="○",[1]回答表!E190,IF([1]回答表!AA43="○",[1]回答表!E238,"")),"")</f>
        <v/>
      </c>
      <c r="BF138" s="83"/>
      <c r="BG138" s="83"/>
      <c r="BH138" s="83"/>
      <c r="BI138" s="82" t="str">
        <f>IF([1]回答表!F17="下水道事業",IF([1]回答表!X43="○",[1]回答表!E191,IF([1]回答表!AA43="○",[1]回答表!E239,"")),"")</f>
        <v/>
      </c>
      <c r="BJ138" s="83"/>
      <c r="BK138" s="83"/>
      <c r="BL138" s="83"/>
      <c r="BM138" s="82" t="str">
        <f>IF([1]回答表!F17="下水道事業",IF([1]回答表!X43="○",[1]回答表!E192,IF([1]回答表!AA43="○",[1]回答表!E240,"")),"")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IF([1]回答表!F17="下水道事業",IF([1]回答表!AA43="○","○",""),"")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IF([1]回答表!F17="下水道事業",IF([1]回答表!X43="○",[1]回答表!Y186,IF([1]回答表!AA43="○",[1]回答表!Y234,"")),"")</f>
        <v/>
      </c>
      <c r="V142" s="119"/>
      <c r="W142" s="119"/>
      <c r="X142" s="119"/>
      <c r="Y142" s="119"/>
      <c r="Z142" s="119"/>
      <c r="AA142" s="119"/>
      <c r="AB142" s="120"/>
      <c r="AC142" s="118" t="str">
        <f>IF([1]回答表!F17="下水道事業",IF([1]回答表!X43="○",[1]回答表!Y187,IF([1]回答表!AA43="○",[1]回答表!Y235,"")),"")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IF([1]回答表!F17="下水道事業",IF([1]回答表!AD43="○","○",""),"")</f>
        <v/>
      </c>
      <c r="O147" s="98"/>
      <c r="P147" s="98"/>
      <c r="Q147" s="99"/>
      <c r="R147" s="39"/>
      <c r="S147" s="39"/>
      <c r="T147" s="39"/>
      <c r="U147" s="106" t="str">
        <f>IF([1]回答表!F17="下水道事業",IF([1]回答表!AD43="○",[1]回答表!B249,""),"")</f>
        <v/>
      </c>
      <c r="V147" s="107"/>
      <c r="W147" s="107"/>
      <c r="X147" s="107"/>
      <c r="Y147" s="107"/>
      <c r="Z147" s="107"/>
      <c r="AA147" s="107"/>
      <c r="AB147" s="107"/>
      <c r="AC147" s="107"/>
      <c r="AD147" s="107"/>
      <c r="AE147" s="107"/>
      <c r="AF147" s="107"/>
      <c r="AG147" s="107"/>
      <c r="AH147" s="107"/>
      <c r="AI147" s="107"/>
      <c r="AJ147" s="108"/>
      <c r="AK147" s="56"/>
      <c r="AL147" s="56"/>
      <c r="AM147" s="106" t="str">
        <f>IF([1]回答表!F17="下水道事業",IF([1]回答表!AD43="○",[1]回答表!B255,""),"")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IF([1]回答表!BD17="○",IF([1]回答表!X43="○","○",""),"")</f>
        <v/>
      </c>
      <c r="O159" s="98"/>
      <c r="P159" s="98"/>
      <c r="Q159" s="99"/>
      <c r="R159" s="39"/>
      <c r="S159" s="39"/>
      <c r="T159" s="39"/>
      <c r="U159" s="106" t="str">
        <f>IF([1]回答表!BD17="○",IF([1]回答表!X43="○",[1]回答表!B154,IF([1]回答表!AA43="○",[1]回答表!B201,"")),"")</f>
        <v/>
      </c>
      <c r="V159" s="107"/>
      <c r="W159" s="107"/>
      <c r="X159" s="107"/>
      <c r="Y159" s="107"/>
      <c r="Z159" s="107"/>
      <c r="AA159" s="107"/>
      <c r="AB159" s="107"/>
      <c r="AC159" s="107"/>
      <c r="AD159" s="107"/>
      <c r="AE159" s="107"/>
      <c r="AF159" s="107"/>
      <c r="AG159" s="107"/>
      <c r="AH159" s="107"/>
      <c r="AI159" s="107"/>
      <c r="AJ159" s="108"/>
      <c r="AK159" s="50"/>
      <c r="AL159" s="50"/>
      <c r="AM159" s="115" t="str">
        <f>IF([1]回答表!BD17="○",IF([1]回答表!X43="○",[1]回答表!B190,IF([1]回答表!AA43="○",[1]回答表!B238,"")),"")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IF([1]回答表!BD17="○",IF([1]回答表!X43="○",[1]回答表!E190,IF([1]回答表!AA43="○",[1]回答表!E238,"")),"")</f>
        <v/>
      </c>
      <c r="AN162" s="83"/>
      <c r="AO162" s="83"/>
      <c r="AP162" s="83"/>
      <c r="AQ162" s="82" t="str">
        <f>IF([1]回答表!BD17="○",IF([1]回答表!X43="○",[1]回答表!E191,IF([1]回答表!AA43="○",[1]回答表!E239,"")),"")</f>
        <v/>
      </c>
      <c r="AR162" s="83"/>
      <c r="AS162" s="83"/>
      <c r="AT162" s="83"/>
      <c r="AU162" s="82" t="str">
        <f>IF([1]回答表!BD17="○",IF([1]回答表!X43="○",[1]回答表!E192,IF([1]回答表!AA43="○",[1]回答表!E240,"")),"")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IF([1]回答表!BD17="○",IF([1]回答表!AA43="○","○",""),"")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IF([1]回答表!BD17="○",IF([1]回答表!AD43="○","○",""),"")</f>
        <v/>
      </c>
      <c r="O171" s="98"/>
      <c r="P171" s="98"/>
      <c r="Q171" s="99"/>
      <c r="R171" s="39"/>
      <c r="S171" s="39"/>
      <c r="T171" s="39"/>
      <c r="U171" s="106" t="str">
        <f>IF([1]回答表!BD17="○",IF([1]回答表!AD43="○",[1]回答表!B249,""),"")</f>
        <v/>
      </c>
      <c r="V171" s="107"/>
      <c r="W171" s="107"/>
      <c r="X171" s="107"/>
      <c r="Y171" s="107"/>
      <c r="Z171" s="107"/>
      <c r="AA171" s="107"/>
      <c r="AB171" s="107"/>
      <c r="AC171" s="107"/>
      <c r="AD171" s="107"/>
      <c r="AE171" s="107"/>
      <c r="AF171" s="107"/>
      <c r="AG171" s="107"/>
      <c r="AH171" s="107"/>
      <c r="AI171" s="107"/>
      <c r="AJ171" s="108"/>
      <c r="AK171" s="56"/>
      <c r="AL171" s="56"/>
      <c r="AM171" s="106" t="str">
        <f>IF([1]回答表!BD17="○",IF([1]回答表!AD43="○",[1]回答表!B255,""),"")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IF([1]回答表!X44="○","○","")</f>
        <v/>
      </c>
      <c r="O183" s="98"/>
      <c r="P183" s="98"/>
      <c r="Q183" s="99"/>
      <c r="R183" s="39"/>
      <c r="S183" s="39"/>
      <c r="T183" s="39"/>
      <c r="U183" s="106" t="str">
        <f>IF([1]回答表!X44="○",[1]回答表!B266,IF([1]回答表!AA44="○",[1]回答表!B283,""))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IF([1]回答表!X44="○",[1]回答表!U272,IF([1]回答表!AA44="○",[1]回答表!U289,""))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IF([1]回答表!X44="○",[1]回答表!G272,IF([1]回答表!AA44="○",[1]回答表!G289,""))</f>
        <v/>
      </c>
      <c r="AN186" s="119"/>
      <c r="AO186" s="119"/>
      <c r="AP186" s="119"/>
      <c r="AQ186" s="119"/>
      <c r="AR186" s="119"/>
      <c r="AS186" s="119"/>
      <c r="AT186" s="120"/>
      <c r="AU186" s="118" t="str">
        <f>IF([1]回答表!X44="○",[1]回答表!G273,IF([1]回答表!AA44="○",[1]回答表!G290,""))</f>
        <v/>
      </c>
      <c r="AV186" s="119"/>
      <c r="AW186" s="119"/>
      <c r="AX186" s="119"/>
      <c r="AY186" s="119"/>
      <c r="AZ186" s="119"/>
      <c r="BA186" s="119"/>
      <c r="BB186" s="120"/>
      <c r="BC186" s="40"/>
      <c r="BD186" s="35"/>
      <c r="BE186" s="82" t="str">
        <f>IF([1]回答表!X44="○",[1]回答表!X272,IF([1]回答表!AA44="○",[1]回答表!X289,""))</f>
        <v/>
      </c>
      <c r="BF186" s="83"/>
      <c r="BG186" s="83"/>
      <c r="BH186" s="83"/>
      <c r="BI186" s="82" t="str">
        <f>IF([1]回答表!X44="○",[1]回答表!X273,IF([1]回答表!AA44="○",[1]回答表!X290,""))</f>
        <v/>
      </c>
      <c r="BJ186" s="83"/>
      <c r="BK186" s="83"/>
      <c r="BL186" s="86"/>
      <c r="BM186" s="82" t="str">
        <f>IF([1]回答表!X44="○",[1]回答表!X274,IF([1]回答表!AA44="○",[1]回答表!X291,""))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IF([1]回答表!AD44="○","○","")</f>
        <v/>
      </c>
      <c r="O195" s="98"/>
      <c r="P195" s="98"/>
      <c r="Q195" s="99"/>
      <c r="R195" s="39"/>
      <c r="S195" s="39"/>
      <c r="T195" s="39"/>
      <c r="U195" s="106" t="str">
        <f>IF([1]回答表!AD44="○",[1]回答表!B296,"")</f>
        <v/>
      </c>
      <c r="V195" s="107"/>
      <c r="W195" s="107"/>
      <c r="X195" s="107"/>
      <c r="Y195" s="107"/>
      <c r="Z195" s="107"/>
      <c r="AA195" s="107"/>
      <c r="AB195" s="107"/>
      <c r="AC195" s="107"/>
      <c r="AD195" s="107"/>
      <c r="AE195" s="107"/>
      <c r="AF195" s="107"/>
      <c r="AG195" s="107"/>
      <c r="AH195" s="107"/>
      <c r="AI195" s="107"/>
      <c r="AJ195" s="108"/>
      <c r="AK195" s="61"/>
      <c r="AL195" s="61"/>
      <c r="AM195" s="106" t="str">
        <f>IF([1]回答表!AD44="○",[1]回答表!B302,"")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IF([1]回答表!X45="○","○","")</f>
        <v/>
      </c>
      <c r="O207" s="98"/>
      <c r="P207" s="98"/>
      <c r="Q207" s="99"/>
      <c r="R207" s="39"/>
      <c r="S207" s="39"/>
      <c r="T207" s="39"/>
      <c r="U207" s="106" t="str">
        <f>IF([1]回答表!X45="○",[1]回答表!B314,IF([1]回答表!AA45="○",[1]回答表!B337,""))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IF([1]回答表!X45="○",[1]回答表!B320,"")</f>
        <v/>
      </c>
      <c r="AO207" s="164"/>
      <c r="AP207" s="164"/>
      <c r="AQ207" s="164"/>
      <c r="AR207" s="164"/>
      <c r="AS207" s="164"/>
      <c r="AT207" s="164"/>
      <c r="AU207" s="164"/>
      <c r="AV207" s="164"/>
      <c r="AW207" s="164"/>
      <c r="AX207" s="164"/>
      <c r="AY207" s="164"/>
      <c r="AZ207" s="164"/>
      <c r="BA207" s="164"/>
      <c r="BB207" s="165"/>
      <c r="BC207" s="40"/>
      <c r="BD207" s="35"/>
      <c r="BE207" s="115" t="str">
        <f>IF([1]回答表!X45="○",[1]回答表!B326,IF([1]回答表!AA45="○",[1]回答表!B343,""))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IF([1]回答表!X45="○",[1]回答表!E326,IF([1]回答表!AA45="○",[1]回答表!E343,""))</f>
        <v/>
      </c>
      <c r="BF210" s="83"/>
      <c r="BG210" s="83"/>
      <c r="BH210" s="83"/>
      <c r="BI210" s="82" t="str">
        <f>IF([1]回答表!X45="○",[1]回答表!E327,IF([1]回答表!AA45="○",[1]回答表!E344,""))</f>
        <v/>
      </c>
      <c r="BJ210" s="83"/>
      <c r="BK210" s="83"/>
      <c r="BL210" s="86"/>
      <c r="BM210" s="82" t="str">
        <f>IF([1]回答表!X45="○",[1]回答表!E328,IF([1]回答表!AA45="○",[1]回答表!E345,""))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IF([1]回答表!AD45="○","○","")</f>
        <v/>
      </c>
      <c r="O219" s="98"/>
      <c r="P219" s="98"/>
      <c r="Q219" s="99"/>
      <c r="R219" s="39"/>
      <c r="S219" s="39"/>
      <c r="T219" s="39"/>
      <c r="U219" s="106" t="str">
        <f>IF([1]回答表!AD45="○",[1]回答表!B350,"")</f>
        <v/>
      </c>
      <c r="V219" s="107"/>
      <c r="W219" s="107"/>
      <c r="X219" s="107"/>
      <c r="Y219" s="107"/>
      <c r="Z219" s="107"/>
      <c r="AA219" s="107"/>
      <c r="AB219" s="107"/>
      <c r="AC219" s="107"/>
      <c r="AD219" s="107"/>
      <c r="AE219" s="107"/>
      <c r="AF219" s="107"/>
      <c r="AG219" s="107"/>
      <c r="AH219" s="107"/>
      <c r="AI219" s="107"/>
      <c r="AJ219" s="108"/>
      <c r="AK219" s="61"/>
      <c r="AL219" s="61"/>
      <c r="AM219" s="106" t="str">
        <f>IF([1]回答表!AD45="○",[1]回答表!B356,"")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IF([1]回答表!X46="○","○","")</f>
        <v/>
      </c>
      <c r="O231" s="98"/>
      <c r="P231" s="98"/>
      <c r="Q231" s="99"/>
      <c r="R231" s="39"/>
      <c r="S231" s="39"/>
      <c r="T231" s="39"/>
      <c r="U231" s="106" t="str">
        <f>IF([1]回答表!X46="○",[1]回答表!B368,IF([1]回答表!AA46="○",[1]回答表!B382,""))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IF([1]回答表!X46="○",[1]回答表!BC375,IF([1]回答表!AA46="○",[1]回答表!BC389,""))</f>
        <v/>
      </c>
      <c r="AR231" s="150"/>
      <c r="AS231" s="150"/>
      <c r="AT231" s="150"/>
      <c r="AU231" s="155" t="s">
        <v>63</v>
      </c>
      <c r="AV231" s="156"/>
      <c r="AW231" s="156"/>
      <c r="AX231" s="157"/>
      <c r="AY231" s="150" t="str">
        <f>IF([1]回答表!X46="○",[1]回答表!BC380,IF([1]回答表!AA46="○",[1]回答表!BC394,""))</f>
        <v/>
      </c>
      <c r="AZ231" s="150"/>
      <c r="BA231" s="150"/>
      <c r="BB231" s="150"/>
      <c r="BC231" s="40"/>
      <c r="BD231" s="35"/>
      <c r="BE231" s="115" t="str">
        <f>IF([1]回答表!X46="○",[1]回答表!S374,IF([1]回答表!AA46="○",[1]回答表!S388,""))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IF([1]回答表!X46="○",[1]回答表!BC376,IF([1]回答表!AA46="○",[1]回答表!BC390,""))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IF([1]回答表!X46="○",[1]回答表!V374,IF([1]回答表!AA46="○",[1]回答表!V388,""))</f>
        <v/>
      </c>
      <c r="BF234" s="83"/>
      <c r="BG234" s="83"/>
      <c r="BH234" s="83"/>
      <c r="BI234" s="82" t="str">
        <f>IF([1]回答表!X46="○",[1]回答表!V375,IF([1]回答表!AA46="○",[1]回答表!V389,""))</f>
        <v/>
      </c>
      <c r="BJ234" s="83"/>
      <c r="BK234" s="83"/>
      <c r="BL234" s="86"/>
      <c r="BM234" s="82" t="str">
        <f>IF([1]回答表!X46="○",[1]回答表!V376,IF([1]回答表!AA46="○",[1]回答表!V390,""))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IF([1]回答表!X46="○",[1]回答表!BC377,IF([1]回答表!AA46="○",[1]回答表!BC391,""))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IF([1]回答表!X46="○",[1]回答表!BC381,IF([1]回答表!AA46="○",[1]回答表!BC395,""))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IF([1]回答表!X46="○",[1]回答表!BC378,IF([1]回答表!AA46="○",[1]回答表!BC392,""))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IF([1]回答表!X46="○",[1]回答表!BC379,IF([1]回答表!AA46="○",[1]回答表!BC393,""))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IF([1]回答表!AD46="○","○","")</f>
        <v/>
      </c>
      <c r="O243" s="98"/>
      <c r="P243" s="98"/>
      <c r="Q243" s="99"/>
      <c r="R243" s="39"/>
      <c r="S243" s="39"/>
      <c r="T243" s="39"/>
      <c r="U243" s="106" t="str">
        <f>IF([1]回答表!AD46="○",[1]回答表!B396,"")</f>
        <v/>
      </c>
      <c r="V243" s="107"/>
      <c r="W243" s="107"/>
      <c r="X243" s="107"/>
      <c r="Y243" s="107"/>
      <c r="Z243" s="107"/>
      <c r="AA243" s="107"/>
      <c r="AB243" s="107"/>
      <c r="AC243" s="107"/>
      <c r="AD243" s="107"/>
      <c r="AE243" s="107"/>
      <c r="AF243" s="107"/>
      <c r="AG243" s="107"/>
      <c r="AH243" s="107"/>
      <c r="AI243" s="107"/>
      <c r="AJ243" s="108"/>
      <c r="AK243" s="56"/>
      <c r="AL243" s="56"/>
      <c r="AM243" s="106" t="str">
        <f>IF([1]回答表!AD46="○",[1]回答表!B402,"")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IF([1]回答表!X47="○","○","")</f>
        <v/>
      </c>
      <c r="O254" s="98"/>
      <c r="P254" s="98"/>
      <c r="Q254" s="99"/>
      <c r="R254" s="39"/>
      <c r="S254" s="39"/>
      <c r="T254" s="39"/>
      <c r="U254" s="106" t="str">
        <f>IF([1]回答表!X47="○",[1]回答表!B414,IF([1]回答表!AA47="○",[1]回答表!B431,""))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IF([1]回答表!X47="○",[1]回答表!B424,IF([1]回答表!AA47="○",[1]回答表!B441,""))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IF([1]回答表!X47="○",[1]回答表!G420,IF([1]回答表!AA47="○",[1]回答表!G437,""))</f>
        <v/>
      </c>
      <c r="AN256" s="119"/>
      <c r="AO256" s="119"/>
      <c r="AP256" s="119"/>
      <c r="AQ256" s="119"/>
      <c r="AR256" s="119"/>
      <c r="AS256" s="119"/>
      <c r="AT256" s="120"/>
      <c r="AU256" s="118" t="str">
        <f>IF([1]回答表!X47="○",[1]回答表!G421,IF([1]回答表!AA47="○",[1]回答表!G438,""))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IF([1]回答表!X47="○",[1]回答表!E424,IF([1]回答表!AA47="○",[1]回答表!E441,""))</f>
        <v/>
      </c>
      <c r="BF257" s="83"/>
      <c r="BG257" s="83"/>
      <c r="BH257" s="83"/>
      <c r="BI257" s="82" t="str">
        <f>IF([1]回答表!X47="○",[1]回答表!E425,IF([1]回答表!AA47="○",[1]回答表!E442,""))</f>
        <v/>
      </c>
      <c r="BJ257" s="83"/>
      <c r="BK257" s="83"/>
      <c r="BL257" s="86"/>
      <c r="BM257" s="82" t="str">
        <f>IF([1]回答表!X47="○",[1]回答表!E426,IF([1]回答表!AA47="○",[1]回答表!E443,""))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IF([1]回答表!AD47="○","○","")</f>
        <v/>
      </c>
      <c r="O266" s="98"/>
      <c r="P266" s="98"/>
      <c r="Q266" s="99"/>
      <c r="R266" s="39"/>
      <c r="S266" s="39"/>
      <c r="T266" s="39"/>
      <c r="U266" s="106" t="str">
        <f>IF([1]回答表!AD47="○",[1]回答表!B448,"")</f>
        <v/>
      </c>
      <c r="V266" s="107"/>
      <c r="W266" s="107"/>
      <c r="X266" s="107"/>
      <c r="Y266" s="107"/>
      <c r="Z266" s="107"/>
      <c r="AA266" s="107"/>
      <c r="AB266" s="107"/>
      <c r="AC266" s="107"/>
      <c r="AD266" s="107"/>
      <c r="AE266" s="107"/>
      <c r="AF266" s="107"/>
      <c r="AG266" s="107"/>
      <c r="AH266" s="107"/>
      <c r="AI266" s="107"/>
      <c r="AJ266" s="108"/>
      <c r="AK266" s="50"/>
      <c r="AL266" s="50"/>
      <c r="AM266" s="106" t="str">
        <f>IF([1]回答表!AD47="○",[1]回答表!B454,"")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IF([1]回答表!R48="○",[1]回答表!B467,"")</f>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EB626-6239-43FA-9A7A-068B25D48A30}">
  <sheetPr>
    <pageSetUpPr fitToPage="1"/>
  </sheetPr>
  <dimension ref="A1:CE298"/>
  <sheetViews>
    <sheetView showZeros="0" zoomScale="55" zoomScaleNormal="55" workbookViewId="0">
      <selection activeCell="CS61" sqref="CS61:CT61"/>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IF(COUNTIF([10]回答表!K15,"*")&gt;0,[10]回答表!K15,"")</f>
        <v>仙北市</v>
      </c>
      <c r="D11" s="255"/>
      <c r="E11" s="255"/>
      <c r="F11" s="255"/>
      <c r="G11" s="255"/>
      <c r="H11" s="255"/>
      <c r="I11" s="255"/>
      <c r="J11" s="255"/>
      <c r="K11" s="255"/>
      <c r="L11" s="255"/>
      <c r="M11" s="255"/>
      <c r="N11" s="255"/>
      <c r="O11" s="255"/>
      <c r="P11" s="255"/>
      <c r="Q11" s="255"/>
      <c r="R11" s="255"/>
      <c r="S11" s="255"/>
      <c r="T11" s="255"/>
      <c r="U11" s="262" t="str">
        <f>IF(COUNTIF([10]回答表!F17,"*")&gt;0,[10]回答表!F17,"")</f>
        <v>介護サービス事業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IF(COUNTIF([10]回答表!W17,"*")&gt;0,[10]回答表!W17,"")</f>
        <v>介護老人保健施設</v>
      </c>
      <c r="AP11" s="257"/>
      <c r="AQ11" s="257"/>
      <c r="AR11" s="257"/>
      <c r="AS11" s="257"/>
      <c r="AT11" s="257"/>
      <c r="AU11" s="257"/>
      <c r="AV11" s="257"/>
      <c r="AW11" s="257"/>
      <c r="AX11" s="257"/>
      <c r="AY11" s="257"/>
      <c r="AZ11" s="257"/>
      <c r="BA11" s="257"/>
      <c r="BB11" s="257"/>
      <c r="BC11" s="257"/>
      <c r="BD11" s="257"/>
      <c r="BE11" s="258"/>
      <c r="BF11" s="261" t="str">
        <f>IF(COUNTIF([10]回答表!F19,"*")&gt;0,[10]回答表!F19,"")</f>
        <v>介護保険特別会計</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IF([10]回答表!R41="○","○","")</f>
        <v/>
      </c>
      <c r="E24" s="122"/>
      <c r="F24" s="122"/>
      <c r="G24" s="122"/>
      <c r="H24" s="122"/>
      <c r="I24" s="122"/>
      <c r="J24" s="123"/>
      <c r="K24" s="121" t="str">
        <f>IF([10]回答表!R42="○","○","")</f>
        <v/>
      </c>
      <c r="L24" s="122"/>
      <c r="M24" s="122"/>
      <c r="N24" s="122"/>
      <c r="O24" s="122"/>
      <c r="P24" s="122"/>
      <c r="Q24" s="123"/>
      <c r="R24" s="121" t="str">
        <f>IF([10]回答表!R43="○","○","")</f>
        <v/>
      </c>
      <c r="S24" s="122"/>
      <c r="T24" s="122"/>
      <c r="U24" s="122"/>
      <c r="V24" s="122"/>
      <c r="W24" s="122"/>
      <c r="X24" s="123"/>
      <c r="Y24" s="121" t="str">
        <f>IF([10]回答表!R44="○","○","")</f>
        <v/>
      </c>
      <c r="Z24" s="122"/>
      <c r="AA24" s="122"/>
      <c r="AB24" s="122"/>
      <c r="AC24" s="122"/>
      <c r="AD24" s="122"/>
      <c r="AE24" s="123"/>
      <c r="AF24" s="121" t="str">
        <f>IF([10]回答表!R45="○","○","")</f>
        <v/>
      </c>
      <c r="AG24" s="122"/>
      <c r="AH24" s="122"/>
      <c r="AI24" s="122"/>
      <c r="AJ24" s="122"/>
      <c r="AK24" s="122"/>
      <c r="AL24" s="123"/>
      <c r="AM24" s="121" t="str">
        <f>IF([10]回答表!R46="○","○","")</f>
        <v/>
      </c>
      <c r="AN24" s="122"/>
      <c r="AO24" s="122"/>
      <c r="AP24" s="122"/>
      <c r="AQ24" s="122"/>
      <c r="AR24" s="122"/>
      <c r="AS24" s="123"/>
      <c r="AT24" s="121" t="str">
        <f>IF([10]回答表!R47="○","○","")</f>
        <v/>
      </c>
      <c r="AU24" s="122"/>
      <c r="AV24" s="122"/>
      <c r="AW24" s="122"/>
      <c r="AX24" s="122"/>
      <c r="AY24" s="122"/>
      <c r="AZ24" s="123"/>
      <c r="BA24" s="19"/>
      <c r="BB24" s="118" t="str">
        <f>IF([10]回答表!R48="○","○","")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IF([10]回答表!X41="○","○","")</f>
        <v/>
      </c>
      <c r="O36" s="98"/>
      <c r="P36" s="98"/>
      <c r="Q36" s="99"/>
      <c r="R36" s="39"/>
      <c r="S36" s="39"/>
      <c r="T36" s="39"/>
      <c r="U36" s="106" t="str">
        <f>IF([10]回答表!X41="○",[10]回答表!B56,IF([10]回答表!AA41="○",[10]回答表!B76,""))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IF([10]回答表!X41="○",[10]回答表!S62,IF([10]回答表!AA41="○",[10]回答表!S82,""))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IF([10]回答表!X41="○",[10]回答表!G62,IF([10]回答表!AA41="○",[10]回答表!G82,""))</f>
        <v/>
      </c>
      <c r="AN38" s="119"/>
      <c r="AO38" s="119"/>
      <c r="AP38" s="119"/>
      <c r="AQ38" s="119"/>
      <c r="AR38" s="119"/>
      <c r="AS38" s="119"/>
      <c r="AT38" s="120"/>
      <c r="AU38" s="118" t="str">
        <f>IF([10]回答表!X41="○",[10]回答表!G63,IF([10]回答表!AA41="○",[10]回答表!G83,""))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IF([10]回答表!X41="○",[10]回答表!V62,IF([10]回答表!AA41="○",[10]回答表!V82,""))</f>
        <v/>
      </c>
      <c r="BF39" s="208"/>
      <c r="BG39" s="208"/>
      <c r="BH39" s="209"/>
      <c r="BI39" s="82" t="str">
        <f>IF([10]回答表!X41="○",[10]回答表!V63,IF([10]回答表!AA41="○",[10]回答表!V83,""))</f>
        <v/>
      </c>
      <c r="BJ39" s="208"/>
      <c r="BK39" s="208"/>
      <c r="BL39" s="209"/>
      <c r="BM39" s="82" t="str">
        <f>IF([10]回答表!X41="○",[10]回答表!V64,IF([10]回答表!AA41="○",[10]回答表!V84,""))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IF([10]回答表!X41="○",[10]回答表!O68,IF([10]回答表!AA41="○",[10]回答表!O88,""))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IF([10]回答表!X41="○",[10]回答表!O69,IF([10]回答表!AA41="○",[10]回答表!O89,""))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IF([10]回答表!AA41="○","○","")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IF([10]回答表!X41="○",[10]回答表!O70,IF([10]回答表!AA41="○",[10]回答表!O90,""))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IF([10]回答表!X41="○",[10]回答表!O71,IF([10]回答表!AA41="○",[10]回答表!O91,""))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IF([10]回答表!X41="○",[10]回答表!AG68,IF([10]回答表!AA41="○",[10]回答表!AG88,""))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IF([10]回答表!X41="○",[10]回答表!AG69,IF([10]回答表!AA41="○",[10]回答表!AG89,""))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IF([10]回答表!X41="○",[10]回答表!AG70,IF([10]回答表!AA41="○",[10]回答表!AG90,""))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IF([10]回答表!AD41="○","○","")</f>
        <v/>
      </c>
      <c r="O52" s="98"/>
      <c r="P52" s="98"/>
      <c r="Q52" s="99"/>
      <c r="R52" s="39"/>
      <c r="S52" s="39"/>
      <c r="T52" s="39"/>
      <c r="U52" s="106" t="str">
        <f>IF([10]回答表!AD41="○",[10]回答表!B96,"")</f>
        <v/>
      </c>
      <c r="V52" s="107"/>
      <c r="W52" s="107"/>
      <c r="X52" s="107"/>
      <c r="Y52" s="107"/>
      <c r="Z52" s="107"/>
      <c r="AA52" s="107"/>
      <c r="AB52" s="107"/>
      <c r="AC52" s="107"/>
      <c r="AD52" s="107"/>
      <c r="AE52" s="107"/>
      <c r="AF52" s="107"/>
      <c r="AG52" s="107"/>
      <c r="AH52" s="107"/>
      <c r="AI52" s="107"/>
      <c r="AJ52" s="108"/>
      <c r="AK52" s="56"/>
      <c r="AL52" s="56"/>
      <c r="AM52" s="106" t="str">
        <f>IF([10]回答表!AD41="○",[10]回答表!B101,"")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IF([10]回答表!X42="○","○","")</f>
        <v/>
      </c>
      <c r="O63" s="98"/>
      <c r="P63" s="98"/>
      <c r="Q63" s="99"/>
      <c r="R63" s="39"/>
      <c r="S63" s="39"/>
      <c r="T63" s="39"/>
      <c r="U63" s="106" t="str">
        <f>IF([10]回答表!X42="○",[10]回答表!B111,IF([10]回答表!AA42="○",[10]回答表!B124,""))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IF([10]回答表!X42="○",[10]回答表!S117,IF([10]回答表!AA42="○",[10]回答表!S130,""))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IF([10]回答表!X42="○",[10]回答表!J117,IF([10]回答表!AA42="○",[10]回答表!J130,""))</f>
        <v/>
      </c>
      <c r="AN66" s="119"/>
      <c r="AO66" s="119"/>
      <c r="AP66" s="119"/>
      <c r="AQ66" s="119"/>
      <c r="AR66" s="119"/>
      <c r="AS66" s="119"/>
      <c r="AT66" s="120"/>
      <c r="AU66" s="118" t="str">
        <f>IF([10]回答表!X42="○",[10]回答表!J118,IF([10]回答表!AA42="○",[10]回答表!J131,""))</f>
        <v/>
      </c>
      <c r="AV66" s="119"/>
      <c r="AW66" s="119"/>
      <c r="AX66" s="119"/>
      <c r="AY66" s="119"/>
      <c r="AZ66" s="119"/>
      <c r="BA66" s="119"/>
      <c r="BB66" s="120"/>
      <c r="BC66" s="40"/>
      <c r="BD66" s="35"/>
      <c r="BE66" s="82" t="str">
        <f>IF([10]回答表!X42="○",[10]回答表!V117,IF([10]回答表!AA42="○",[10]回答表!V130,""))</f>
        <v/>
      </c>
      <c r="BF66" s="83"/>
      <c r="BG66" s="83"/>
      <c r="BH66" s="83"/>
      <c r="BI66" s="82" t="str">
        <f>IF([10]回答表!X42="○",[10]回答表!V118,IF([10]回答表!AA42="○",[10]回答表!V131,""))</f>
        <v/>
      </c>
      <c r="BJ66" s="83"/>
      <c r="BK66" s="83"/>
      <c r="BL66" s="83"/>
      <c r="BM66" s="82" t="str">
        <f>IF([10]回答表!X42="○",[10]回答表!V119,IF([10]回答表!AA42="○",[10]回答表!V132,""))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IF([10]回答表!AA42="○","○","")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IF([10]回答表!AD42="○","○","")</f>
        <v/>
      </c>
      <c r="O75" s="98"/>
      <c r="P75" s="98"/>
      <c r="Q75" s="99"/>
      <c r="R75" s="39"/>
      <c r="S75" s="39"/>
      <c r="T75" s="39"/>
      <c r="U75" s="106" t="str">
        <f>IF([10]回答表!AD42="○",[10]回答表!B137,"")</f>
        <v/>
      </c>
      <c r="V75" s="107"/>
      <c r="W75" s="107"/>
      <c r="X75" s="107"/>
      <c r="Y75" s="107"/>
      <c r="Z75" s="107"/>
      <c r="AA75" s="107"/>
      <c r="AB75" s="107"/>
      <c r="AC75" s="107"/>
      <c r="AD75" s="107"/>
      <c r="AE75" s="107"/>
      <c r="AF75" s="107"/>
      <c r="AG75" s="107"/>
      <c r="AH75" s="107"/>
      <c r="AI75" s="107"/>
      <c r="AJ75" s="108"/>
      <c r="AK75" s="56"/>
      <c r="AL75" s="56"/>
      <c r="AM75" s="106" t="str">
        <f>IF([10]回答表!AD42="○",[10]回答表!B143,"")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IF([10]回答表!F17="水道事業",IF([10]回答表!X43="○","○",""),"")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IF([10]回答表!F17="水道事業",IF([10]回答表!X43="○",[10]回答表!B154,IF([10]回答表!AA43="○",[10]回答表!B201,"")),"")</f>
        <v/>
      </c>
      <c r="AN87" s="107"/>
      <c r="AO87" s="107"/>
      <c r="AP87" s="107"/>
      <c r="AQ87" s="107"/>
      <c r="AR87" s="107"/>
      <c r="AS87" s="107"/>
      <c r="AT87" s="107"/>
      <c r="AU87" s="107"/>
      <c r="AV87" s="107"/>
      <c r="AW87" s="107"/>
      <c r="AX87" s="107"/>
      <c r="AY87" s="107"/>
      <c r="AZ87" s="107"/>
      <c r="BA87" s="107"/>
      <c r="BB87" s="108"/>
      <c r="BC87" s="40"/>
      <c r="BD87" s="35"/>
      <c r="BE87" s="115" t="str">
        <f>IF([10]回答表!F17="水道事業",IF([10]回答表!X43="○",[10]回答表!B190,IF([10]回答表!AA43="○",[10]回答表!B238,"")),"")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IF([10]回答表!F17="水道事業",IF([10]回答表!X43="○",[10]回答表!J162,IF([10]回答表!AA43="○",[10]回答表!J209,"")),"")</f>
        <v/>
      </c>
      <c r="V89" s="119"/>
      <c r="W89" s="119"/>
      <c r="X89" s="119"/>
      <c r="Y89" s="119"/>
      <c r="Z89" s="119"/>
      <c r="AA89" s="119"/>
      <c r="AB89" s="120"/>
      <c r="AC89" s="118" t="str">
        <f>IF([10]回答表!F17="水道事業",IF([10]回答表!X43="○",[10]回答表!J169,IF([10]回答表!AA43="○",[10]回答表!J216,"")),"")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IF([10]回答表!F17="水道事業",IF([10]回答表!X43="○",[10]回答表!E190,IF([10]回答表!AA43="○",[10]回答表!E238,"")),"")</f>
        <v/>
      </c>
      <c r="BF90" s="83"/>
      <c r="BG90" s="83"/>
      <c r="BH90" s="83"/>
      <c r="BI90" s="82" t="str">
        <f>IF([10]回答表!F17="水道事業",IF([10]回答表!X43="○",[10]回答表!E191,IF([10]回答表!AA43="○",[10]回答表!E239,"")),"")</f>
        <v/>
      </c>
      <c r="BJ90" s="83"/>
      <c r="BK90" s="83"/>
      <c r="BL90" s="83"/>
      <c r="BM90" s="82" t="str">
        <f>IF([10]回答表!F17="水道事業",IF([10]回答表!X43="○",[10]回答表!E192,IF([10]回答表!AA43="○",[10]回答表!E240,"")),"")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IF([10]回答表!F17="水道事業",IF([10]回答表!AA43="○","○",""),"")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IF([10]回答表!F17="水道事業",IF([10]回答表!X43="○",[10]回答表!J172,IF([10]回答表!AA43="○",[10]回答表!J219,"")),"")</f>
        <v/>
      </c>
      <c r="V94" s="119"/>
      <c r="W94" s="119"/>
      <c r="X94" s="119"/>
      <c r="Y94" s="119"/>
      <c r="Z94" s="119"/>
      <c r="AA94" s="119"/>
      <c r="AB94" s="120"/>
      <c r="AC94" s="118" t="str">
        <f>IF([10]回答表!F17="水道事業",IF([10]回答表!X43="○",[10]回答表!J176,IF([10]回答表!AA43="○",[10]回答表!J223,"")),"")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IF([10]回答表!F17="水道事業",IF([10]回答表!AD43="○","○",""),"")</f>
        <v/>
      </c>
      <c r="O99" s="98"/>
      <c r="P99" s="98"/>
      <c r="Q99" s="99"/>
      <c r="R99" s="39"/>
      <c r="S99" s="39"/>
      <c r="T99" s="39"/>
      <c r="U99" s="106" t="str">
        <f>IF([10]回答表!F17="水道事業",IF([10]回答表!AD43="○",[10]回答表!B249,""),"")</f>
        <v/>
      </c>
      <c r="V99" s="107"/>
      <c r="W99" s="107"/>
      <c r="X99" s="107"/>
      <c r="Y99" s="107"/>
      <c r="Z99" s="107"/>
      <c r="AA99" s="107"/>
      <c r="AB99" s="107"/>
      <c r="AC99" s="107"/>
      <c r="AD99" s="107"/>
      <c r="AE99" s="107"/>
      <c r="AF99" s="107"/>
      <c r="AG99" s="107"/>
      <c r="AH99" s="107"/>
      <c r="AI99" s="107"/>
      <c r="AJ99" s="108"/>
      <c r="AK99" s="56"/>
      <c r="AL99" s="56"/>
      <c r="AM99" s="106" t="str">
        <f>IF([10]回答表!F17="水道事業",IF([10]回答表!AD43="○",[10]回答表!B255,""),"")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IF([10]回答表!F17="簡易水道事業",IF([10]回答表!X43="○","○",""),"")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IF([10]回答表!F17="簡易水道事業",IF([10]回答表!X43="○",[10]回答表!B154,IF([10]回答表!AA43="○",[10]回答表!B201,"")),"")</f>
        <v/>
      </c>
      <c r="AN111" s="107"/>
      <c r="AO111" s="107"/>
      <c r="AP111" s="107"/>
      <c r="AQ111" s="107"/>
      <c r="AR111" s="107"/>
      <c r="AS111" s="107"/>
      <c r="AT111" s="107"/>
      <c r="AU111" s="107"/>
      <c r="AV111" s="107"/>
      <c r="AW111" s="107"/>
      <c r="AX111" s="107"/>
      <c r="AY111" s="107"/>
      <c r="AZ111" s="107"/>
      <c r="BA111" s="107"/>
      <c r="BB111" s="108"/>
      <c r="BC111" s="40"/>
      <c r="BD111" s="35"/>
      <c r="BE111" s="115" t="str">
        <f>IF([10]回答表!F17="簡易水道事業",IF([10]回答表!X43="○",[10]回答表!B190,IF([10]回答表!AA43="○",[10]回答表!B238,"")),"")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IF([10]回答表!F17="簡易水道事業",IF([10]回答表!X43="○",[10]回答表!Y181,IF([10]回答表!AA43="○",[10]回答表!Y229,"")),"")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IF([10]回答表!F17="簡易水道事業",IF([10]回答表!X43="○",[10]回答表!E190,IF([10]回答表!AA43="○",[10]回答表!E238,"")),"")</f>
        <v/>
      </c>
      <c r="BF114" s="83"/>
      <c r="BG114" s="83"/>
      <c r="BH114" s="83"/>
      <c r="BI114" s="82" t="str">
        <f>IF([10]回答表!F17="簡易水道事業",IF([10]回答表!X43="○",[10]回答表!E191,IF([10]回答表!AA43="○",[10]回答表!E239,"")),"")</f>
        <v/>
      </c>
      <c r="BJ114" s="83"/>
      <c r="BK114" s="83"/>
      <c r="BL114" s="83"/>
      <c r="BM114" s="82" t="str">
        <f>IF([10]回答表!F17="簡易水道事業",IF([10]回答表!X43="○",[10]回答表!E192,IF([10]回答表!AA43="○",[10]回答表!E240,"")),"")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IF([10]回答表!F17="簡易水道事業",IF([10]回答表!AA43="○","○",""),"")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IF([10]回答表!F17="簡易水道事業",IF([10]回答表!X43="○",[10]回答表!Y182,IF([10]回答表!AA43="○",[10]回答表!Y230,"")),"")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IF([10]回答表!F17="簡易水道事業",IF([10]回答表!AD43="○","○",""),"")</f>
        <v/>
      </c>
      <c r="O123" s="98"/>
      <c r="P123" s="98"/>
      <c r="Q123" s="99"/>
      <c r="R123" s="39"/>
      <c r="S123" s="39"/>
      <c r="T123" s="39"/>
      <c r="U123" s="106" t="str">
        <f>IF([10]回答表!F17="簡易水道事業",IF([10]回答表!AD43="○",[10]回答表!B249,""),"")</f>
        <v/>
      </c>
      <c r="V123" s="107"/>
      <c r="W123" s="107"/>
      <c r="X123" s="107"/>
      <c r="Y123" s="107"/>
      <c r="Z123" s="107"/>
      <c r="AA123" s="107"/>
      <c r="AB123" s="107"/>
      <c r="AC123" s="107"/>
      <c r="AD123" s="107"/>
      <c r="AE123" s="107"/>
      <c r="AF123" s="107"/>
      <c r="AG123" s="107"/>
      <c r="AH123" s="107"/>
      <c r="AI123" s="107"/>
      <c r="AJ123" s="108"/>
      <c r="AK123" s="56"/>
      <c r="AL123" s="56"/>
      <c r="AM123" s="106" t="str">
        <f>IF([10]回答表!F17="簡易水道事業",IF([10]回答表!AD43="○",[10]回答表!B255,""),"")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IF([10]回答表!F17="下水道事業",IF([10]回答表!X43="○","○",""),"")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IF([10]回答表!F17="下水道事業",IF([10]回答表!X43="○",[10]回答表!B154,IF([10]回答表!AA43="○",[10]回答表!B201,"")),"")</f>
        <v/>
      </c>
      <c r="AN135" s="107"/>
      <c r="AO135" s="107"/>
      <c r="AP135" s="107"/>
      <c r="AQ135" s="107"/>
      <c r="AR135" s="107"/>
      <c r="AS135" s="107"/>
      <c r="AT135" s="107"/>
      <c r="AU135" s="107"/>
      <c r="AV135" s="107"/>
      <c r="AW135" s="107"/>
      <c r="AX135" s="107"/>
      <c r="AY135" s="107"/>
      <c r="AZ135" s="107"/>
      <c r="BA135" s="107"/>
      <c r="BB135" s="108"/>
      <c r="BC135" s="40"/>
      <c r="BD135" s="35"/>
      <c r="BE135" s="115" t="str">
        <f>IF([10]回答表!F17="下水道事業",IF([10]回答表!X43="○",[10]回答表!B190,IF([10]回答表!AA43="○",[10]回答表!B238,"")),"")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IF([10]回答表!F17="下水道事業",IF([10]回答表!X43="○",[10]回答表!Y184,IF([10]回答表!AA43="○",[10]回答表!Y232,"")),"")</f>
        <v/>
      </c>
      <c r="V137" s="119"/>
      <c r="W137" s="119"/>
      <c r="X137" s="119"/>
      <c r="Y137" s="119"/>
      <c r="Z137" s="119"/>
      <c r="AA137" s="119"/>
      <c r="AB137" s="120"/>
      <c r="AC137" s="118" t="str">
        <f>IF([10]回答表!F17="下水道事業",IF([10]回答表!X43="○",[10]回答表!Y185,IF([10]回答表!AA43="○",[10]回答表!Y233,"")),"")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IF([10]回答表!F17="下水道事業",IF([10]回答表!X43="○",[10]回答表!E190,IF([10]回答表!AA43="○",[10]回答表!E238,"")),"")</f>
        <v/>
      </c>
      <c r="BF138" s="83"/>
      <c r="BG138" s="83"/>
      <c r="BH138" s="83"/>
      <c r="BI138" s="82" t="str">
        <f>IF([10]回答表!F17="下水道事業",IF([10]回答表!X43="○",[10]回答表!E191,IF([10]回答表!AA43="○",[10]回答表!E239,"")),"")</f>
        <v/>
      </c>
      <c r="BJ138" s="83"/>
      <c r="BK138" s="83"/>
      <c r="BL138" s="83"/>
      <c r="BM138" s="82" t="str">
        <f>IF([10]回答表!F17="下水道事業",IF([10]回答表!X43="○",[10]回答表!E192,IF([10]回答表!AA43="○",[10]回答表!E240,"")),"")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IF([10]回答表!F17="下水道事業",IF([10]回答表!AA43="○","○",""),"")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IF([10]回答表!F17="下水道事業",IF([10]回答表!X43="○",[10]回答表!Y186,IF([10]回答表!AA43="○",[10]回答表!Y234,"")),"")</f>
        <v/>
      </c>
      <c r="V142" s="119"/>
      <c r="W142" s="119"/>
      <c r="X142" s="119"/>
      <c r="Y142" s="119"/>
      <c r="Z142" s="119"/>
      <c r="AA142" s="119"/>
      <c r="AB142" s="120"/>
      <c r="AC142" s="118" t="str">
        <f>IF([10]回答表!F17="下水道事業",IF([10]回答表!X43="○",[10]回答表!Y187,IF([10]回答表!AA43="○",[10]回答表!Y235,"")),"")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IF([10]回答表!F17="下水道事業",IF([10]回答表!AD43="○","○",""),"")</f>
        <v/>
      </c>
      <c r="O147" s="98"/>
      <c r="P147" s="98"/>
      <c r="Q147" s="99"/>
      <c r="R147" s="39"/>
      <c r="S147" s="39"/>
      <c r="T147" s="39"/>
      <c r="U147" s="106" t="str">
        <f>IF([10]回答表!F17="下水道事業",IF([10]回答表!AD43="○",[10]回答表!B249,""),"")</f>
        <v/>
      </c>
      <c r="V147" s="107"/>
      <c r="W147" s="107"/>
      <c r="X147" s="107"/>
      <c r="Y147" s="107"/>
      <c r="Z147" s="107"/>
      <c r="AA147" s="107"/>
      <c r="AB147" s="107"/>
      <c r="AC147" s="107"/>
      <c r="AD147" s="107"/>
      <c r="AE147" s="107"/>
      <c r="AF147" s="107"/>
      <c r="AG147" s="107"/>
      <c r="AH147" s="107"/>
      <c r="AI147" s="107"/>
      <c r="AJ147" s="108"/>
      <c r="AK147" s="56"/>
      <c r="AL147" s="56"/>
      <c r="AM147" s="106" t="str">
        <f>IF([10]回答表!F17="下水道事業",IF([10]回答表!AD43="○",[10]回答表!B255,""),"")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IF([10]回答表!BD17="○",IF([10]回答表!X43="○","○",""),"")</f>
        <v/>
      </c>
      <c r="O159" s="98"/>
      <c r="P159" s="98"/>
      <c r="Q159" s="99"/>
      <c r="R159" s="39"/>
      <c r="S159" s="39"/>
      <c r="T159" s="39"/>
      <c r="U159" s="106" t="str">
        <f>IF([10]回答表!BD17="○",IF([10]回答表!X43="○",[10]回答表!B154,IF([10]回答表!AA43="○",[10]回答表!B201,"")),"")</f>
        <v/>
      </c>
      <c r="V159" s="107"/>
      <c r="W159" s="107"/>
      <c r="X159" s="107"/>
      <c r="Y159" s="107"/>
      <c r="Z159" s="107"/>
      <c r="AA159" s="107"/>
      <c r="AB159" s="107"/>
      <c r="AC159" s="107"/>
      <c r="AD159" s="107"/>
      <c r="AE159" s="107"/>
      <c r="AF159" s="107"/>
      <c r="AG159" s="107"/>
      <c r="AH159" s="107"/>
      <c r="AI159" s="107"/>
      <c r="AJ159" s="108"/>
      <c r="AK159" s="50"/>
      <c r="AL159" s="50"/>
      <c r="AM159" s="115" t="str">
        <f>IF([10]回答表!BD17="○",IF([10]回答表!X43="○",[10]回答表!B190,IF([10]回答表!AA43="○",[10]回答表!B238,"")),"")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IF([10]回答表!BD17="○",IF([10]回答表!X43="○",[10]回答表!E190,IF([10]回答表!AA43="○",[10]回答表!E238,"")),"")</f>
        <v/>
      </c>
      <c r="AN162" s="83"/>
      <c r="AO162" s="83"/>
      <c r="AP162" s="83"/>
      <c r="AQ162" s="82" t="str">
        <f>IF([10]回答表!BD17="○",IF([10]回答表!X43="○",[10]回答表!E191,IF([10]回答表!AA43="○",[10]回答表!E239,"")),"")</f>
        <v/>
      </c>
      <c r="AR162" s="83"/>
      <c r="AS162" s="83"/>
      <c r="AT162" s="83"/>
      <c r="AU162" s="82" t="str">
        <f>IF([10]回答表!BD17="○",IF([10]回答表!X43="○",[10]回答表!E192,IF([10]回答表!AA43="○",[10]回答表!E240,"")),"")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IF([10]回答表!BD17="○",IF([10]回答表!AA43="○","○",""),"")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IF([10]回答表!BD17="○",IF([10]回答表!AD43="○","○",""),"")</f>
        <v/>
      </c>
      <c r="O171" s="98"/>
      <c r="P171" s="98"/>
      <c r="Q171" s="99"/>
      <c r="R171" s="39"/>
      <c r="S171" s="39"/>
      <c r="T171" s="39"/>
      <c r="U171" s="106" t="str">
        <f>IF([10]回答表!BD17="○",IF([10]回答表!AD43="○",[10]回答表!B249,""),"")</f>
        <v/>
      </c>
      <c r="V171" s="107"/>
      <c r="W171" s="107"/>
      <c r="X171" s="107"/>
      <c r="Y171" s="107"/>
      <c r="Z171" s="107"/>
      <c r="AA171" s="107"/>
      <c r="AB171" s="107"/>
      <c r="AC171" s="107"/>
      <c r="AD171" s="107"/>
      <c r="AE171" s="107"/>
      <c r="AF171" s="107"/>
      <c r="AG171" s="107"/>
      <c r="AH171" s="107"/>
      <c r="AI171" s="107"/>
      <c r="AJ171" s="108"/>
      <c r="AK171" s="56"/>
      <c r="AL171" s="56"/>
      <c r="AM171" s="106" t="str">
        <f>IF([10]回答表!BD17="○",IF([10]回答表!AD43="○",[10]回答表!B255,""),"")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IF([10]回答表!X44="○","○","")</f>
        <v/>
      </c>
      <c r="O183" s="98"/>
      <c r="P183" s="98"/>
      <c r="Q183" s="99"/>
      <c r="R183" s="39"/>
      <c r="S183" s="39"/>
      <c r="T183" s="39"/>
      <c r="U183" s="106" t="str">
        <f>IF([10]回答表!X44="○",[10]回答表!B266,IF([10]回答表!AA44="○",[10]回答表!B283,""))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IF([10]回答表!X44="○",[10]回答表!U272,IF([10]回答表!AA44="○",[10]回答表!U289,""))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IF([10]回答表!X44="○",[10]回答表!G272,IF([10]回答表!AA44="○",[10]回答表!G289,""))</f>
        <v/>
      </c>
      <c r="AN186" s="119"/>
      <c r="AO186" s="119"/>
      <c r="AP186" s="119"/>
      <c r="AQ186" s="119"/>
      <c r="AR186" s="119"/>
      <c r="AS186" s="119"/>
      <c r="AT186" s="120"/>
      <c r="AU186" s="118" t="str">
        <f>IF([10]回答表!X44="○",[10]回答表!G273,IF([10]回答表!AA44="○",[10]回答表!G290,""))</f>
        <v/>
      </c>
      <c r="AV186" s="119"/>
      <c r="AW186" s="119"/>
      <c r="AX186" s="119"/>
      <c r="AY186" s="119"/>
      <c r="AZ186" s="119"/>
      <c r="BA186" s="119"/>
      <c r="BB186" s="120"/>
      <c r="BC186" s="40"/>
      <c r="BD186" s="35"/>
      <c r="BE186" s="82" t="str">
        <f>IF([10]回答表!X44="○",[10]回答表!X272,IF([10]回答表!AA44="○",[10]回答表!X289,""))</f>
        <v/>
      </c>
      <c r="BF186" s="83"/>
      <c r="BG186" s="83"/>
      <c r="BH186" s="83"/>
      <c r="BI186" s="82" t="str">
        <f>IF([10]回答表!X44="○",[10]回答表!X273,IF([10]回答表!AA44="○",[10]回答表!X290,""))</f>
        <v/>
      </c>
      <c r="BJ186" s="83"/>
      <c r="BK186" s="83"/>
      <c r="BL186" s="86"/>
      <c r="BM186" s="82" t="str">
        <f>IF([10]回答表!X44="○",[10]回答表!X274,IF([10]回答表!AA44="○",[10]回答表!X291,""))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IF([10]回答表!AA44="○","○","")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IF([10]回答表!AD44="○","○","")</f>
        <v/>
      </c>
      <c r="O195" s="98"/>
      <c r="P195" s="98"/>
      <c r="Q195" s="99"/>
      <c r="R195" s="39"/>
      <c r="S195" s="39"/>
      <c r="T195" s="39"/>
      <c r="U195" s="106" t="str">
        <f>IF([10]回答表!AD44="○",[10]回答表!B296,"")</f>
        <v/>
      </c>
      <c r="V195" s="107"/>
      <c r="W195" s="107"/>
      <c r="X195" s="107"/>
      <c r="Y195" s="107"/>
      <c r="Z195" s="107"/>
      <c r="AA195" s="107"/>
      <c r="AB195" s="107"/>
      <c r="AC195" s="107"/>
      <c r="AD195" s="107"/>
      <c r="AE195" s="107"/>
      <c r="AF195" s="107"/>
      <c r="AG195" s="107"/>
      <c r="AH195" s="107"/>
      <c r="AI195" s="107"/>
      <c r="AJ195" s="108"/>
      <c r="AK195" s="61"/>
      <c r="AL195" s="61"/>
      <c r="AM195" s="106" t="str">
        <f>IF([10]回答表!AD44="○",[10]回答表!B302,"")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IF([10]回答表!X45="○","○","")</f>
        <v/>
      </c>
      <c r="O207" s="98"/>
      <c r="P207" s="98"/>
      <c r="Q207" s="99"/>
      <c r="R207" s="39"/>
      <c r="S207" s="39"/>
      <c r="T207" s="39"/>
      <c r="U207" s="106" t="str">
        <f>IF([10]回答表!X45="○",[10]回答表!B314,IF([10]回答表!AA45="○",[10]回答表!B337,""))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IF([10]回答表!X45="○",[10]回答表!B320,"")</f>
        <v/>
      </c>
      <c r="AO207" s="164"/>
      <c r="AP207" s="164"/>
      <c r="AQ207" s="164"/>
      <c r="AR207" s="164"/>
      <c r="AS207" s="164"/>
      <c r="AT207" s="164"/>
      <c r="AU207" s="164"/>
      <c r="AV207" s="164"/>
      <c r="AW207" s="164"/>
      <c r="AX207" s="164"/>
      <c r="AY207" s="164"/>
      <c r="AZ207" s="164"/>
      <c r="BA207" s="164"/>
      <c r="BB207" s="165"/>
      <c r="BC207" s="40"/>
      <c r="BD207" s="35"/>
      <c r="BE207" s="115" t="str">
        <f>IF([10]回答表!X45="○",[10]回答表!B326,IF([10]回答表!AA45="○",[10]回答表!B343,""))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IF([10]回答表!X45="○",[10]回答表!E326,IF([10]回答表!AA45="○",[10]回答表!E343,""))</f>
        <v/>
      </c>
      <c r="BF210" s="83"/>
      <c r="BG210" s="83"/>
      <c r="BH210" s="83"/>
      <c r="BI210" s="82" t="str">
        <f>IF([10]回答表!X45="○",[10]回答表!E327,IF([10]回答表!AA45="○",[10]回答表!E344,""))</f>
        <v/>
      </c>
      <c r="BJ210" s="83"/>
      <c r="BK210" s="83"/>
      <c r="BL210" s="86"/>
      <c r="BM210" s="82" t="str">
        <f>IF([10]回答表!X45="○",[10]回答表!E328,IF([10]回答表!AA45="○",[10]回答表!E345,""))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IF([10]回答表!AA45="○","○","")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IF([10]回答表!AD45="○","○","")</f>
        <v/>
      </c>
      <c r="O219" s="98"/>
      <c r="P219" s="98"/>
      <c r="Q219" s="99"/>
      <c r="R219" s="39"/>
      <c r="S219" s="39"/>
      <c r="T219" s="39"/>
      <c r="U219" s="106" t="str">
        <f>IF([10]回答表!AD45="○",[10]回答表!B350,"")</f>
        <v/>
      </c>
      <c r="V219" s="107"/>
      <c r="W219" s="107"/>
      <c r="X219" s="107"/>
      <c r="Y219" s="107"/>
      <c r="Z219" s="107"/>
      <c r="AA219" s="107"/>
      <c r="AB219" s="107"/>
      <c r="AC219" s="107"/>
      <c r="AD219" s="107"/>
      <c r="AE219" s="107"/>
      <c r="AF219" s="107"/>
      <c r="AG219" s="107"/>
      <c r="AH219" s="107"/>
      <c r="AI219" s="107"/>
      <c r="AJ219" s="108"/>
      <c r="AK219" s="61"/>
      <c r="AL219" s="61"/>
      <c r="AM219" s="106" t="str">
        <f>IF([10]回答表!AD45="○",[10]回答表!B356,"")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IF([10]回答表!X46="○","○","")</f>
        <v/>
      </c>
      <c r="O231" s="98"/>
      <c r="P231" s="98"/>
      <c r="Q231" s="99"/>
      <c r="R231" s="39"/>
      <c r="S231" s="39"/>
      <c r="T231" s="39"/>
      <c r="U231" s="106" t="str">
        <f>IF([10]回答表!X46="○",[10]回答表!B368,IF([10]回答表!AA46="○",[10]回答表!B382,""))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IF([10]回答表!X46="○",[10]回答表!BC375,IF([10]回答表!AA46="○",[10]回答表!BC389,""))</f>
        <v/>
      </c>
      <c r="AR231" s="150"/>
      <c r="AS231" s="150"/>
      <c r="AT231" s="150"/>
      <c r="AU231" s="155" t="s">
        <v>63</v>
      </c>
      <c r="AV231" s="156"/>
      <c r="AW231" s="156"/>
      <c r="AX231" s="157"/>
      <c r="AY231" s="150" t="str">
        <f>IF([10]回答表!X46="○",[10]回答表!BC380,IF([10]回答表!AA46="○",[10]回答表!BC394,""))</f>
        <v/>
      </c>
      <c r="AZ231" s="150"/>
      <c r="BA231" s="150"/>
      <c r="BB231" s="150"/>
      <c r="BC231" s="40"/>
      <c r="BD231" s="35"/>
      <c r="BE231" s="115" t="str">
        <f>IF([10]回答表!X46="○",[10]回答表!S374,IF([10]回答表!AA46="○",[10]回答表!S388,""))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IF([10]回答表!X46="○",[10]回答表!BC376,IF([10]回答表!AA46="○",[10]回答表!BC390,""))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IF([10]回答表!X46="○",[10]回答表!V374,IF([10]回答表!AA46="○",[10]回答表!V388,""))</f>
        <v/>
      </c>
      <c r="BF234" s="83"/>
      <c r="BG234" s="83"/>
      <c r="BH234" s="83"/>
      <c r="BI234" s="82" t="str">
        <f>IF([10]回答表!X46="○",[10]回答表!V375,IF([10]回答表!AA46="○",[10]回答表!V389,""))</f>
        <v/>
      </c>
      <c r="BJ234" s="83"/>
      <c r="BK234" s="83"/>
      <c r="BL234" s="86"/>
      <c r="BM234" s="82" t="str">
        <f>IF([10]回答表!X46="○",[10]回答表!V376,IF([10]回答表!AA46="○",[10]回答表!V390,""))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IF([10]回答表!X46="○",[10]回答表!BC377,IF([10]回答表!AA46="○",[10]回答表!BC391,""))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IF([10]回答表!X46="○",[10]回答表!BC381,IF([10]回答表!AA46="○",[10]回答表!BC395,""))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IF([10]回答表!AA46="○","○","")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IF([10]回答表!X46="○",[10]回答表!BC378,IF([10]回答表!AA46="○",[10]回答表!BC392,""))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IF([10]回答表!X46="○",[10]回答表!BC379,IF([10]回答表!AA46="○",[10]回答表!BC393,""))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IF([10]回答表!AD46="○","○","")</f>
        <v/>
      </c>
      <c r="O243" s="98"/>
      <c r="P243" s="98"/>
      <c r="Q243" s="99"/>
      <c r="R243" s="39"/>
      <c r="S243" s="39"/>
      <c r="T243" s="39"/>
      <c r="U243" s="106" t="str">
        <f>IF([10]回答表!AD46="○",[10]回答表!B396,"")</f>
        <v/>
      </c>
      <c r="V243" s="107"/>
      <c r="W243" s="107"/>
      <c r="X243" s="107"/>
      <c r="Y243" s="107"/>
      <c r="Z243" s="107"/>
      <c r="AA243" s="107"/>
      <c r="AB243" s="107"/>
      <c r="AC243" s="107"/>
      <c r="AD243" s="107"/>
      <c r="AE243" s="107"/>
      <c r="AF243" s="107"/>
      <c r="AG243" s="107"/>
      <c r="AH243" s="107"/>
      <c r="AI243" s="107"/>
      <c r="AJ243" s="108"/>
      <c r="AK243" s="56"/>
      <c r="AL243" s="56"/>
      <c r="AM243" s="106" t="str">
        <f>IF([10]回答表!AD46="○",[10]回答表!B402,"")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IF([10]回答表!X47="○","○","")</f>
        <v/>
      </c>
      <c r="O254" s="98"/>
      <c r="P254" s="98"/>
      <c r="Q254" s="99"/>
      <c r="R254" s="39"/>
      <c r="S254" s="39"/>
      <c r="T254" s="39"/>
      <c r="U254" s="106" t="str">
        <f>IF([10]回答表!X47="○",[10]回答表!B414,IF([10]回答表!AA47="○",[10]回答表!B431,""))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IF([10]回答表!X47="○",[10]回答表!B424,IF([10]回答表!AA47="○",[10]回答表!B441,""))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IF([10]回答表!X47="○",[10]回答表!G420,IF([10]回答表!AA47="○",[10]回答表!G437,""))</f>
        <v/>
      </c>
      <c r="AN256" s="119"/>
      <c r="AO256" s="119"/>
      <c r="AP256" s="119"/>
      <c r="AQ256" s="119"/>
      <c r="AR256" s="119"/>
      <c r="AS256" s="119"/>
      <c r="AT256" s="120"/>
      <c r="AU256" s="118" t="str">
        <f>IF([10]回答表!X47="○",[10]回答表!G421,IF([10]回答表!AA47="○",[10]回答表!G438,""))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IF([10]回答表!X47="○",[10]回答表!E424,IF([10]回答表!AA47="○",[10]回答表!E441,""))</f>
        <v/>
      </c>
      <c r="BF257" s="83"/>
      <c r="BG257" s="83"/>
      <c r="BH257" s="83"/>
      <c r="BI257" s="82" t="str">
        <f>IF([10]回答表!X47="○",[10]回答表!E425,IF([10]回答表!AA47="○",[10]回答表!E442,""))</f>
        <v/>
      </c>
      <c r="BJ257" s="83"/>
      <c r="BK257" s="83"/>
      <c r="BL257" s="86"/>
      <c r="BM257" s="82" t="str">
        <f>IF([10]回答表!X47="○",[10]回答表!E426,IF([10]回答表!AA47="○",[10]回答表!E443,""))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IF([10]回答表!AA47="○","○","")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IF([10]回答表!AD47="○","○","")</f>
        <v/>
      </c>
      <c r="O266" s="98"/>
      <c r="P266" s="98"/>
      <c r="Q266" s="99"/>
      <c r="R266" s="39"/>
      <c r="S266" s="39"/>
      <c r="T266" s="39"/>
      <c r="U266" s="106" t="str">
        <f>IF([10]回答表!AD47="○",[10]回答表!B448,"")</f>
        <v/>
      </c>
      <c r="V266" s="107"/>
      <c r="W266" s="107"/>
      <c r="X266" s="107"/>
      <c r="Y266" s="107"/>
      <c r="Z266" s="107"/>
      <c r="AA266" s="107"/>
      <c r="AB266" s="107"/>
      <c r="AC266" s="107"/>
      <c r="AD266" s="107"/>
      <c r="AE266" s="107"/>
      <c r="AF266" s="107"/>
      <c r="AG266" s="107"/>
      <c r="AH266" s="107"/>
      <c r="AI266" s="107"/>
      <c r="AJ266" s="108"/>
      <c r="AK266" s="50"/>
      <c r="AL266" s="50"/>
      <c r="AM266" s="106" t="str">
        <f>IF([10]回答表!AD47="○",[10]回答表!B454,"")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IF([10]回答表!R48="○",[10]回答表!B467,"")</f>
        <v>民営化も視野に入れ運営方針を検討しており具体的な方向性は未確定であることから、差し当たり現行体制での運営を継続するため</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7F833-77D2-4945-9870-BE750160D256}">
  <sheetPr>
    <pageSetUpPr fitToPage="1"/>
  </sheetPr>
  <dimension ref="A1:CE298"/>
  <sheetViews>
    <sheetView showZeros="0" zoomScale="55" zoomScaleNormal="55" workbookViewId="0">
      <selection activeCell="BZ23" sqref="BZ23"/>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IF(COUNTIF([8]回答表!K15,"*")&gt;0,[8]回答表!K15,"")</f>
        <v>仙北市</v>
      </c>
      <c r="D11" s="255"/>
      <c r="E11" s="255"/>
      <c r="F11" s="255"/>
      <c r="G11" s="255"/>
      <c r="H11" s="255"/>
      <c r="I11" s="255"/>
      <c r="J11" s="255"/>
      <c r="K11" s="255"/>
      <c r="L11" s="255"/>
      <c r="M11" s="255"/>
      <c r="N11" s="255"/>
      <c r="O11" s="255"/>
      <c r="P11" s="255"/>
      <c r="Q11" s="255"/>
      <c r="R11" s="255"/>
      <c r="S11" s="255"/>
      <c r="T11" s="255"/>
      <c r="U11" s="262" t="str">
        <f>IF(COUNTIF([8]回答表!F17,"*")&gt;0,[8]回答表!F17,"")</f>
        <v>介護サービス事業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IF(COUNTIF([8]回答表!W17,"*")&gt;0,[8]回答表!W17,"")</f>
        <v>指定介護老人福祉施設</v>
      </c>
      <c r="AP11" s="257"/>
      <c r="AQ11" s="257"/>
      <c r="AR11" s="257"/>
      <c r="AS11" s="257"/>
      <c r="AT11" s="257"/>
      <c r="AU11" s="257"/>
      <c r="AV11" s="257"/>
      <c r="AW11" s="257"/>
      <c r="AX11" s="257"/>
      <c r="AY11" s="257"/>
      <c r="AZ11" s="257"/>
      <c r="BA11" s="257"/>
      <c r="BB11" s="257"/>
      <c r="BC11" s="257"/>
      <c r="BD11" s="257"/>
      <c r="BE11" s="258"/>
      <c r="BF11" s="261" t="str">
        <f>IF(COUNTIF([8]回答表!F19,"*")&gt;0,[8]回答表!F19,"")</f>
        <v>介護保険特別会計</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IF([8]回答表!R41="○","○","")</f>
        <v/>
      </c>
      <c r="E24" s="122"/>
      <c r="F24" s="122"/>
      <c r="G24" s="122"/>
      <c r="H24" s="122"/>
      <c r="I24" s="122"/>
      <c r="J24" s="123"/>
      <c r="K24" s="121" t="str">
        <f>IF([8]回答表!R42="○","○","")</f>
        <v>○</v>
      </c>
      <c r="L24" s="122"/>
      <c r="M24" s="122"/>
      <c r="N24" s="122"/>
      <c r="O24" s="122"/>
      <c r="P24" s="122"/>
      <c r="Q24" s="123"/>
      <c r="R24" s="121" t="str">
        <f>IF([8]回答表!R43="○","○","")</f>
        <v/>
      </c>
      <c r="S24" s="122"/>
      <c r="T24" s="122"/>
      <c r="U24" s="122"/>
      <c r="V24" s="122"/>
      <c r="W24" s="122"/>
      <c r="X24" s="123"/>
      <c r="Y24" s="121" t="str">
        <f>IF([8]回答表!R44="○","○","")</f>
        <v/>
      </c>
      <c r="Z24" s="122"/>
      <c r="AA24" s="122"/>
      <c r="AB24" s="122"/>
      <c r="AC24" s="122"/>
      <c r="AD24" s="122"/>
      <c r="AE24" s="123"/>
      <c r="AF24" s="121" t="str">
        <f>IF([8]回答表!R45="○","○","")</f>
        <v/>
      </c>
      <c r="AG24" s="122"/>
      <c r="AH24" s="122"/>
      <c r="AI24" s="122"/>
      <c r="AJ24" s="122"/>
      <c r="AK24" s="122"/>
      <c r="AL24" s="123"/>
      <c r="AM24" s="121" t="str">
        <f>IF([8]回答表!R46="○","○","")</f>
        <v/>
      </c>
      <c r="AN24" s="122"/>
      <c r="AO24" s="122"/>
      <c r="AP24" s="122"/>
      <c r="AQ24" s="122"/>
      <c r="AR24" s="122"/>
      <c r="AS24" s="123"/>
      <c r="AT24" s="121" t="str">
        <f>IF([8]回答表!R47="○","○","")</f>
        <v/>
      </c>
      <c r="AU24" s="122"/>
      <c r="AV24" s="122"/>
      <c r="AW24" s="122"/>
      <c r="AX24" s="122"/>
      <c r="AY24" s="122"/>
      <c r="AZ24" s="123"/>
      <c r="BA24" s="19"/>
      <c r="BB24" s="118" t="str">
        <f>IF([8]回答表!R48="○","○","")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IF([8]回答表!X41="○","○","")</f>
        <v/>
      </c>
      <c r="O36" s="98"/>
      <c r="P36" s="98"/>
      <c r="Q36" s="99"/>
      <c r="R36" s="39"/>
      <c r="S36" s="39"/>
      <c r="T36" s="39"/>
      <c r="U36" s="106" t="str">
        <f>IF([8]回答表!X41="○",[8]回答表!B56,IF([8]回答表!AA41="○",[8]回答表!B76,""))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IF([8]回答表!X41="○",[8]回答表!S62,IF([8]回答表!AA41="○",[8]回答表!S82,""))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IF([8]回答表!X41="○",[8]回答表!G62,IF([8]回答表!AA41="○",[8]回答表!G82,""))</f>
        <v/>
      </c>
      <c r="AN38" s="119"/>
      <c r="AO38" s="119"/>
      <c r="AP38" s="119"/>
      <c r="AQ38" s="119"/>
      <c r="AR38" s="119"/>
      <c r="AS38" s="119"/>
      <c r="AT38" s="120"/>
      <c r="AU38" s="118" t="str">
        <f>IF([8]回答表!X41="○",[8]回答表!G63,IF([8]回答表!AA41="○",[8]回答表!G83,""))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IF([8]回答表!X41="○",[8]回答表!V62,IF([8]回答表!AA41="○",[8]回答表!V82,""))</f>
        <v/>
      </c>
      <c r="BF39" s="208"/>
      <c r="BG39" s="208"/>
      <c r="BH39" s="209"/>
      <c r="BI39" s="82" t="str">
        <f>IF([8]回答表!X41="○",[8]回答表!V63,IF([8]回答表!AA41="○",[8]回答表!V83,""))</f>
        <v/>
      </c>
      <c r="BJ39" s="208"/>
      <c r="BK39" s="208"/>
      <c r="BL39" s="209"/>
      <c r="BM39" s="82" t="str">
        <f>IF([8]回答表!X41="○",[8]回答表!V64,IF([8]回答表!AA41="○",[8]回答表!V84,""))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IF([8]回答表!X41="○",[8]回答表!O68,IF([8]回答表!AA41="○",[8]回答表!O88,""))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IF([8]回答表!X41="○",[8]回答表!O69,IF([8]回答表!AA41="○",[8]回答表!O89,""))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IF([8]回答表!AA41="○","○","")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IF([8]回答表!X41="○",[8]回答表!O70,IF([8]回答表!AA41="○",[8]回答表!O90,""))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IF([8]回答表!X41="○",[8]回答表!O71,IF([8]回答表!AA41="○",[8]回答表!O91,""))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IF([8]回答表!X41="○",[8]回答表!AG68,IF([8]回答表!AA41="○",[8]回答表!AG88,""))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IF([8]回答表!X41="○",[8]回答表!AG69,IF([8]回答表!AA41="○",[8]回答表!AG89,""))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IF([8]回答表!X41="○",[8]回答表!AG70,IF([8]回答表!AA41="○",[8]回答表!AG90,""))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IF([8]回答表!AD41="○","○","")</f>
        <v/>
      </c>
      <c r="O52" s="98"/>
      <c r="P52" s="98"/>
      <c r="Q52" s="99"/>
      <c r="R52" s="39"/>
      <c r="S52" s="39"/>
      <c r="T52" s="39"/>
      <c r="U52" s="106" t="str">
        <f>IF([8]回答表!AD41="○",[8]回答表!B96,"")</f>
        <v/>
      </c>
      <c r="V52" s="107"/>
      <c r="W52" s="107"/>
      <c r="X52" s="107"/>
      <c r="Y52" s="107"/>
      <c r="Z52" s="107"/>
      <c r="AA52" s="107"/>
      <c r="AB52" s="107"/>
      <c r="AC52" s="107"/>
      <c r="AD52" s="107"/>
      <c r="AE52" s="107"/>
      <c r="AF52" s="107"/>
      <c r="AG52" s="107"/>
      <c r="AH52" s="107"/>
      <c r="AI52" s="107"/>
      <c r="AJ52" s="108"/>
      <c r="AK52" s="56"/>
      <c r="AL52" s="56"/>
      <c r="AM52" s="106" t="str">
        <f>IF([8]回答表!AD41="○",[8]回答表!B101,"")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IF([8]回答表!X42="○","○","")</f>
        <v>○</v>
      </c>
      <c r="O63" s="98"/>
      <c r="P63" s="98"/>
      <c r="Q63" s="99"/>
      <c r="R63" s="39"/>
      <c r="S63" s="39"/>
      <c r="T63" s="39"/>
      <c r="U63" s="269" t="str">
        <f>IF([8]回答表!X42="○",[8]回答表!B111,IF([8]回答表!AA42="○",[8]回答表!B124,""))</f>
        <v>市直営の特別養護老人ホーム桜苑を社会福祉法人に譲渡する。
（建物：無償譲渡、土地：無償譲渡）
　市の直接的な人員が不要となり、人件費等の財政負担が無くなった。</v>
      </c>
      <c r="V63" s="270"/>
      <c r="W63" s="270"/>
      <c r="X63" s="270"/>
      <c r="Y63" s="270"/>
      <c r="Z63" s="270"/>
      <c r="AA63" s="270"/>
      <c r="AB63" s="270"/>
      <c r="AC63" s="270"/>
      <c r="AD63" s="270"/>
      <c r="AE63" s="270"/>
      <c r="AF63" s="270"/>
      <c r="AG63" s="270"/>
      <c r="AH63" s="270"/>
      <c r="AI63" s="270"/>
      <c r="AJ63" s="271"/>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IF([8]回答表!X42="○",[8]回答表!S117,IF([8]回答表!AA42="○",[8]回答表!S130,""))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272"/>
      <c r="V64" s="273"/>
      <c r="W64" s="273"/>
      <c r="X64" s="273"/>
      <c r="Y64" s="273"/>
      <c r="Z64" s="273"/>
      <c r="AA64" s="273"/>
      <c r="AB64" s="273"/>
      <c r="AC64" s="273"/>
      <c r="AD64" s="273"/>
      <c r="AE64" s="273"/>
      <c r="AF64" s="273"/>
      <c r="AG64" s="273"/>
      <c r="AH64" s="273"/>
      <c r="AI64" s="273"/>
      <c r="AJ64" s="274"/>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272"/>
      <c r="V65" s="273"/>
      <c r="W65" s="273"/>
      <c r="X65" s="273"/>
      <c r="Y65" s="273"/>
      <c r="Z65" s="273"/>
      <c r="AA65" s="273"/>
      <c r="AB65" s="273"/>
      <c r="AC65" s="273"/>
      <c r="AD65" s="273"/>
      <c r="AE65" s="273"/>
      <c r="AF65" s="273"/>
      <c r="AG65" s="273"/>
      <c r="AH65" s="273"/>
      <c r="AI65" s="273"/>
      <c r="AJ65" s="274"/>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272"/>
      <c r="V66" s="273"/>
      <c r="W66" s="273"/>
      <c r="X66" s="273"/>
      <c r="Y66" s="273"/>
      <c r="Z66" s="273"/>
      <c r="AA66" s="273"/>
      <c r="AB66" s="273"/>
      <c r="AC66" s="273"/>
      <c r="AD66" s="273"/>
      <c r="AE66" s="273"/>
      <c r="AF66" s="273"/>
      <c r="AG66" s="273"/>
      <c r="AH66" s="273"/>
      <c r="AI66" s="273"/>
      <c r="AJ66" s="274"/>
      <c r="AK66" s="50"/>
      <c r="AL66" s="50"/>
      <c r="AM66" s="118" t="str">
        <f>IF([8]回答表!X42="○",[8]回答表!J117,IF([8]回答表!AA42="○",[8]回答表!J130,""))</f>
        <v>○</v>
      </c>
      <c r="AN66" s="119"/>
      <c r="AO66" s="119"/>
      <c r="AP66" s="119"/>
      <c r="AQ66" s="119"/>
      <c r="AR66" s="119"/>
      <c r="AS66" s="119"/>
      <c r="AT66" s="120"/>
      <c r="AU66" s="118">
        <f>IF([8]回答表!X42="○",[8]回答表!J118,IF([8]回答表!AA42="○",[8]回答表!J131,""))</f>
        <v>0</v>
      </c>
      <c r="AV66" s="119"/>
      <c r="AW66" s="119"/>
      <c r="AX66" s="119"/>
      <c r="AY66" s="119"/>
      <c r="AZ66" s="119"/>
      <c r="BA66" s="119"/>
      <c r="BB66" s="120"/>
      <c r="BC66" s="40"/>
      <c r="BD66" s="35"/>
      <c r="BE66" s="82">
        <f>IF([8]回答表!X42="○",[8]回答表!V117,IF([8]回答表!AA42="○",[8]回答表!V130,""))</f>
        <v>23</v>
      </c>
      <c r="BF66" s="83"/>
      <c r="BG66" s="83"/>
      <c r="BH66" s="83"/>
      <c r="BI66" s="82">
        <f>IF([8]回答表!X42="○",[8]回答表!V118,IF([8]回答表!AA42="○",[8]回答表!V131,""))</f>
        <v>4</v>
      </c>
      <c r="BJ66" s="83"/>
      <c r="BK66" s="83"/>
      <c r="BL66" s="83"/>
      <c r="BM66" s="82">
        <f>IF([8]回答表!X42="○",[8]回答表!V119,IF([8]回答表!AA42="○",[8]回答表!V132,""))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272"/>
      <c r="V67" s="273"/>
      <c r="W67" s="273"/>
      <c r="X67" s="273"/>
      <c r="Y67" s="273"/>
      <c r="Z67" s="273"/>
      <c r="AA67" s="273"/>
      <c r="AB67" s="273"/>
      <c r="AC67" s="273"/>
      <c r="AD67" s="273"/>
      <c r="AE67" s="273"/>
      <c r="AF67" s="273"/>
      <c r="AG67" s="273"/>
      <c r="AH67" s="273"/>
      <c r="AI67" s="273"/>
      <c r="AJ67" s="274"/>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272"/>
      <c r="V68" s="273"/>
      <c r="W68" s="273"/>
      <c r="X68" s="273"/>
      <c r="Y68" s="273"/>
      <c r="Z68" s="273"/>
      <c r="AA68" s="273"/>
      <c r="AB68" s="273"/>
      <c r="AC68" s="273"/>
      <c r="AD68" s="273"/>
      <c r="AE68" s="273"/>
      <c r="AF68" s="273"/>
      <c r="AG68" s="273"/>
      <c r="AH68" s="273"/>
      <c r="AI68" s="273"/>
      <c r="AJ68" s="274"/>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IF([8]回答表!AA42="○","○","")</f>
        <v/>
      </c>
      <c r="O69" s="98"/>
      <c r="P69" s="98"/>
      <c r="Q69" s="99"/>
      <c r="R69" s="39"/>
      <c r="S69" s="39"/>
      <c r="T69" s="39"/>
      <c r="U69" s="272"/>
      <c r="V69" s="273"/>
      <c r="W69" s="273"/>
      <c r="X69" s="273"/>
      <c r="Y69" s="273"/>
      <c r="Z69" s="273"/>
      <c r="AA69" s="273"/>
      <c r="AB69" s="273"/>
      <c r="AC69" s="273"/>
      <c r="AD69" s="273"/>
      <c r="AE69" s="273"/>
      <c r="AF69" s="273"/>
      <c r="AG69" s="273"/>
      <c r="AH69" s="273"/>
      <c r="AI69" s="273"/>
      <c r="AJ69" s="274"/>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272"/>
      <c r="V70" s="273"/>
      <c r="W70" s="273"/>
      <c r="X70" s="273"/>
      <c r="Y70" s="273"/>
      <c r="Z70" s="273"/>
      <c r="AA70" s="273"/>
      <c r="AB70" s="273"/>
      <c r="AC70" s="273"/>
      <c r="AD70" s="273"/>
      <c r="AE70" s="273"/>
      <c r="AF70" s="273"/>
      <c r="AG70" s="273"/>
      <c r="AH70" s="273"/>
      <c r="AI70" s="273"/>
      <c r="AJ70" s="274"/>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272"/>
      <c r="V71" s="273"/>
      <c r="W71" s="273"/>
      <c r="X71" s="273"/>
      <c r="Y71" s="273"/>
      <c r="Z71" s="273"/>
      <c r="AA71" s="273"/>
      <c r="AB71" s="273"/>
      <c r="AC71" s="273"/>
      <c r="AD71" s="273"/>
      <c r="AE71" s="273"/>
      <c r="AF71" s="273"/>
      <c r="AG71" s="273"/>
      <c r="AH71" s="273"/>
      <c r="AI71" s="273"/>
      <c r="AJ71" s="274"/>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275"/>
      <c r="V72" s="276"/>
      <c r="W72" s="276"/>
      <c r="X72" s="276"/>
      <c r="Y72" s="276"/>
      <c r="Z72" s="276"/>
      <c r="AA72" s="276"/>
      <c r="AB72" s="276"/>
      <c r="AC72" s="276"/>
      <c r="AD72" s="276"/>
      <c r="AE72" s="276"/>
      <c r="AF72" s="276"/>
      <c r="AG72" s="276"/>
      <c r="AH72" s="276"/>
      <c r="AI72" s="276"/>
      <c r="AJ72" s="277"/>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IF([8]回答表!AD42="○","○","")</f>
        <v/>
      </c>
      <c r="O75" s="98"/>
      <c r="P75" s="98"/>
      <c r="Q75" s="99"/>
      <c r="R75" s="39"/>
      <c r="S75" s="39"/>
      <c r="T75" s="39"/>
      <c r="U75" s="106" t="str">
        <f>IF([8]回答表!AD42="○",[8]回答表!B137,"")</f>
        <v/>
      </c>
      <c r="V75" s="107"/>
      <c r="W75" s="107"/>
      <c r="X75" s="107"/>
      <c r="Y75" s="107"/>
      <c r="Z75" s="107"/>
      <c r="AA75" s="107"/>
      <c r="AB75" s="107"/>
      <c r="AC75" s="107"/>
      <c r="AD75" s="107"/>
      <c r="AE75" s="107"/>
      <c r="AF75" s="107"/>
      <c r="AG75" s="107"/>
      <c r="AH75" s="107"/>
      <c r="AI75" s="107"/>
      <c r="AJ75" s="108"/>
      <c r="AK75" s="56"/>
      <c r="AL75" s="56"/>
      <c r="AM75" s="106" t="str">
        <f>IF([8]回答表!AD42="○",[8]回答表!B143,"")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IF([8]回答表!F17="水道事業",IF([8]回答表!X43="○","○",""),"")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IF([8]回答表!F17="水道事業",IF([8]回答表!X43="○",[8]回答表!B154,IF([8]回答表!AA43="○",[8]回答表!B201,"")),"")</f>
        <v/>
      </c>
      <c r="AN87" s="107"/>
      <c r="AO87" s="107"/>
      <c r="AP87" s="107"/>
      <c r="AQ87" s="107"/>
      <c r="AR87" s="107"/>
      <c r="AS87" s="107"/>
      <c r="AT87" s="107"/>
      <c r="AU87" s="107"/>
      <c r="AV87" s="107"/>
      <c r="AW87" s="107"/>
      <c r="AX87" s="107"/>
      <c r="AY87" s="107"/>
      <c r="AZ87" s="107"/>
      <c r="BA87" s="107"/>
      <c r="BB87" s="108"/>
      <c r="BC87" s="40"/>
      <c r="BD87" s="35"/>
      <c r="BE87" s="115" t="str">
        <f>IF([8]回答表!F17="水道事業",IF([8]回答表!X43="○",[8]回答表!B190,IF([8]回答表!AA43="○",[8]回答表!B238,"")),"")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IF([8]回答表!F17="水道事業",IF([8]回答表!X43="○",[8]回答表!J162,IF([8]回答表!AA43="○",[8]回答表!J209,"")),"")</f>
        <v/>
      </c>
      <c r="V89" s="119"/>
      <c r="W89" s="119"/>
      <c r="X89" s="119"/>
      <c r="Y89" s="119"/>
      <c r="Z89" s="119"/>
      <c r="AA89" s="119"/>
      <c r="AB89" s="120"/>
      <c r="AC89" s="118" t="str">
        <f>IF([8]回答表!F17="水道事業",IF([8]回答表!X43="○",[8]回答表!J169,IF([8]回答表!AA43="○",[8]回答表!J216,"")),"")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IF([8]回答表!F17="水道事業",IF([8]回答表!X43="○",[8]回答表!E190,IF([8]回答表!AA43="○",[8]回答表!E238,"")),"")</f>
        <v/>
      </c>
      <c r="BF90" s="83"/>
      <c r="BG90" s="83"/>
      <c r="BH90" s="83"/>
      <c r="BI90" s="82" t="str">
        <f>IF([8]回答表!F17="水道事業",IF([8]回答表!X43="○",[8]回答表!E191,IF([8]回答表!AA43="○",[8]回答表!E239,"")),"")</f>
        <v/>
      </c>
      <c r="BJ90" s="83"/>
      <c r="BK90" s="83"/>
      <c r="BL90" s="83"/>
      <c r="BM90" s="82" t="str">
        <f>IF([8]回答表!F17="水道事業",IF([8]回答表!X43="○",[8]回答表!E192,IF([8]回答表!AA43="○",[8]回答表!E240,"")),"")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IF([8]回答表!F17="水道事業",IF([8]回答表!AA43="○","○",""),"")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IF([8]回答表!F17="水道事業",IF([8]回答表!X43="○",[8]回答表!J172,IF([8]回答表!AA43="○",[8]回答表!J219,"")),"")</f>
        <v/>
      </c>
      <c r="V94" s="119"/>
      <c r="W94" s="119"/>
      <c r="X94" s="119"/>
      <c r="Y94" s="119"/>
      <c r="Z94" s="119"/>
      <c r="AA94" s="119"/>
      <c r="AB94" s="120"/>
      <c r="AC94" s="118" t="str">
        <f>IF([8]回答表!F17="水道事業",IF([8]回答表!X43="○",[8]回答表!J176,IF([8]回答表!AA43="○",[8]回答表!J223,"")),"")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IF([8]回答表!F17="水道事業",IF([8]回答表!AD43="○","○",""),"")</f>
        <v/>
      </c>
      <c r="O99" s="98"/>
      <c r="P99" s="98"/>
      <c r="Q99" s="99"/>
      <c r="R99" s="39"/>
      <c r="S99" s="39"/>
      <c r="T99" s="39"/>
      <c r="U99" s="106" t="str">
        <f>IF([8]回答表!F17="水道事業",IF([8]回答表!AD43="○",[8]回答表!B249,""),"")</f>
        <v/>
      </c>
      <c r="V99" s="107"/>
      <c r="W99" s="107"/>
      <c r="X99" s="107"/>
      <c r="Y99" s="107"/>
      <c r="Z99" s="107"/>
      <c r="AA99" s="107"/>
      <c r="AB99" s="107"/>
      <c r="AC99" s="107"/>
      <c r="AD99" s="107"/>
      <c r="AE99" s="107"/>
      <c r="AF99" s="107"/>
      <c r="AG99" s="107"/>
      <c r="AH99" s="107"/>
      <c r="AI99" s="107"/>
      <c r="AJ99" s="108"/>
      <c r="AK99" s="56"/>
      <c r="AL99" s="56"/>
      <c r="AM99" s="106" t="str">
        <f>IF([8]回答表!F17="水道事業",IF([8]回答表!AD43="○",[8]回答表!B255,""),"")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IF([8]回答表!F17="簡易水道事業",IF([8]回答表!X43="○","○",""),"")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IF([8]回答表!F17="簡易水道事業",IF([8]回答表!X43="○",[8]回答表!B154,IF([8]回答表!AA43="○",[8]回答表!B201,"")),"")</f>
        <v/>
      </c>
      <c r="AN111" s="107"/>
      <c r="AO111" s="107"/>
      <c r="AP111" s="107"/>
      <c r="AQ111" s="107"/>
      <c r="AR111" s="107"/>
      <c r="AS111" s="107"/>
      <c r="AT111" s="107"/>
      <c r="AU111" s="107"/>
      <c r="AV111" s="107"/>
      <c r="AW111" s="107"/>
      <c r="AX111" s="107"/>
      <c r="AY111" s="107"/>
      <c r="AZ111" s="107"/>
      <c r="BA111" s="107"/>
      <c r="BB111" s="108"/>
      <c r="BC111" s="40"/>
      <c r="BD111" s="35"/>
      <c r="BE111" s="115" t="str">
        <f>IF([8]回答表!F17="簡易水道事業",IF([8]回答表!X43="○",[8]回答表!B190,IF([8]回答表!AA43="○",[8]回答表!B238,"")),"")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IF([8]回答表!F17="簡易水道事業",IF([8]回答表!X43="○",[8]回答表!Y181,IF([8]回答表!AA43="○",[8]回答表!Y229,"")),"")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IF([8]回答表!F17="簡易水道事業",IF([8]回答表!X43="○",[8]回答表!E190,IF([8]回答表!AA43="○",[8]回答表!E238,"")),"")</f>
        <v/>
      </c>
      <c r="BF114" s="83"/>
      <c r="BG114" s="83"/>
      <c r="BH114" s="83"/>
      <c r="BI114" s="82" t="str">
        <f>IF([8]回答表!F17="簡易水道事業",IF([8]回答表!X43="○",[8]回答表!E191,IF([8]回答表!AA43="○",[8]回答表!E239,"")),"")</f>
        <v/>
      </c>
      <c r="BJ114" s="83"/>
      <c r="BK114" s="83"/>
      <c r="BL114" s="83"/>
      <c r="BM114" s="82" t="str">
        <f>IF([8]回答表!F17="簡易水道事業",IF([8]回答表!X43="○",[8]回答表!E192,IF([8]回答表!AA43="○",[8]回答表!E240,"")),"")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IF([8]回答表!F17="簡易水道事業",IF([8]回答表!AA43="○","○",""),"")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IF([8]回答表!F17="簡易水道事業",IF([8]回答表!X43="○",[8]回答表!Y182,IF([8]回答表!AA43="○",[8]回答表!Y230,"")),"")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IF([8]回答表!F17="簡易水道事業",IF([8]回答表!AD43="○","○",""),"")</f>
        <v/>
      </c>
      <c r="O123" s="98"/>
      <c r="P123" s="98"/>
      <c r="Q123" s="99"/>
      <c r="R123" s="39"/>
      <c r="S123" s="39"/>
      <c r="T123" s="39"/>
      <c r="U123" s="106" t="str">
        <f>IF([8]回答表!F17="簡易水道事業",IF([8]回答表!AD43="○",[8]回答表!B249,""),"")</f>
        <v/>
      </c>
      <c r="V123" s="107"/>
      <c r="W123" s="107"/>
      <c r="X123" s="107"/>
      <c r="Y123" s="107"/>
      <c r="Z123" s="107"/>
      <c r="AA123" s="107"/>
      <c r="AB123" s="107"/>
      <c r="AC123" s="107"/>
      <c r="AD123" s="107"/>
      <c r="AE123" s="107"/>
      <c r="AF123" s="107"/>
      <c r="AG123" s="107"/>
      <c r="AH123" s="107"/>
      <c r="AI123" s="107"/>
      <c r="AJ123" s="108"/>
      <c r="AK123" s="56"/>
      <c r="AL123" s="56"/>
      <c r="AM123" s="106" t="str">
        <f>IF([8]回答表!F17="簡易水道事業",IF([8]回答表!AD43="○",[8]回答表!B255,""),"")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IF([8]回答表!F17="下水道事業",IF([8]回答表!X43="○","○",""),"")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IF([8]回答表!F17="下水道事業",IF([8]回答表!X43="○",[8]回答表!B154,IF([8]回答表!AA43="○",[8]回答表!B201,"")),"")</f>
        <v/>
      </c>
      <c r="AN135" s="107"/>
      <c r="AO135" s="107"/>
      <c r="AP135" s="107"/>
      <c r="AQ135" s="107"/>
      <c r="AR135" s="107"/>
      <c r="AS135" s="107"/>
      <c r="AT135" s="107"/>
      <c r="AU135" s="107"/>
      <c r="AV135" s="107"/>
      <c r="AW135" s="107"/>
      <c r="AX135" s="107"/>
      <c r="AY135" s="107"/>
      <c r="AZ135" s="107"/>
      <c r="BA135" s="107"/>
      <c r="BB135" s="108"/>
      <c r="BC135" s="40"/>
      <c r="BD135" s="35"/>
      <c r="BE135" s="115" t="str">
        <f>IF([8]回答表!F17="下水道事業",IF([8]回答表!X43="○",[8]回答表!B190,IF([8]回答表!AA43="○",[8]回答表!B238,"")),"")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IF([8]回答表!F17="下水道事業",IF([8]回答表!X43="○",[8]回答表!Y184,IF([8]回答表!AA43="○",[8]回答表!Y232,"")),"")</f>
        <v/>
      </c>
      <c r="V137" s="119"/>
      <c r="W137" s="119"/>
      <c r="X137" s="119"/>
      <c r="Y137" s="119"/>
      <c r="Z137" s="119"/>
      <c r="AA137" s="119"/>
      <c r="AB137" s="120"/>
      <c r="AC137" s="118" t="str">
        <f>IF([8]回答表!F17="下水道事業",IF([8]回答表!X43="○",[8]回答表!Y185,IF([8]回答表!AA43="○",[8]回答表!Y233,"")),"")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IF([8]回答表!F17="下水道事業",IF([8]回答表!X43="○",[8]回答表!E190,IF([8]回答表!AA43="○",[8]回答表!E238,"")),"")</f>
        <v/>
      </c>
      <c r="BF138" s="83"/>
      <c r="BG138" s="83"/>
      <c r="BH138" s="83"/>
      <c r="BI138" s="82" t="str">
        <f>IF([8]回答表!F17="下水道事業",IF([8]回答表!X43="○",[8]回答表!E191,IF([8]回答表!AA43="○",[8]回答表!E239,"")),"")</f>
        <v/>
      </c>
      <c r="BJ138" s="83"/>
      <c r="BK138" s="83"/>
      <c r="BL138" s="83"/>
      <c r="BM138" s="82" t="str">
        <f>IF([8]回答表!F17="下水道事業",IF([8]回答表!X43="○",[8]回答表!E192,IF([8]回答表!AA43="○",[8]回答表!E240,"")),"")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IF([8]回答表!F17="下水道事業",IF([8]回答表!AA43="○","○",""),"")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IF([8]回答表!F17="下水道事業",IF([8]回答表!X43="○",[8]回答表!Y186,IF([8]回答表!AA43="○",[8]回答表!Y234,"")),"")</f>
        <v/>
      </c>
      <c r="V142" s="119"/>
      <c r="W142" s="119"/>
      <c r="X142" s="119"/>
      <c r="Y142" s="119"/>
      <c r="Z142" s="119"/>
      <c r="AA142" s="119"/>
      <c r="AB142" s="120"/>
      <c r="AC142" s="118" t="str">
        <f>IF([8]回答表!F17="下水道事業",IF([8]回答表!X43="○",[8]回答表!Y187,IF([8]回答表!AA43="○",[8]回答表!Y235,"")),"")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IF([8]回答表!F17="下水道事業",IF([8]回答表!AD43="○","○",""),"")</f>
        <v/>
      </c>
      <c r="O147" s="98"/>
      <c r="P147" s="98"/>
      <c r="Q147" s="99"/>
      <c r="R147" s="39"/>
      <c r="S147" s="39"/>
      <c r="T147" s="39"/>
      <c r="U147" s="106" t="str">
        <f>IF([8]回答表!F17="下水道事業",IF([8]回答表!AD43="○",[8]回答表!B249,""),"")</f>
        <v/>
      </c>
      <c r="V147" s="107"/>
      <c r="W147" s="107"/>
      <c r="X147" s="107"/>
      <c r="Y147" s="107"/>
      <c r="Z147" s="107"/>
      <c r="AA147" s="107"/>
      <c r="AB147" s="107"/>
      <c r="AC147" s="107"/>
      <c r="AD147" s="107"/>
      <c r="AE147" s="107"/>
      <c r="AF147" s="107"/>
      <c r="AG147" s="107"/>
      <c r="AH147" s="107"/>
      <c r="AI147" s="107"/>
      <c r="AJ147" s="108"/>
      <c r="AK147" s="56"/>
      <c r="AL147" s="56"/>
      <c r="AM147" s="106" t="str">
        <f>IF([8]回答表!F17="下水道事業",IF([8]回答表!AD43="○",[8]回答表!B255,""),"")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IF([8]回答表!BD17="○",IF([8]回答表!X43="○","○",""),"")</f>
        <v/>
      </c>
      <c r="O159" s="98"/>
      <c r="P159" s="98"/>
      <c r="Q159" s="99"/>
      <c r="R159" s="39"/>
      <c r="S159" s="39"/>
      <c r="T159" s="39"/>
      <c r="U159" s="106" t="str">
        <f>IF([8]回答表!BD17="○",IF([8]回答表!X43="○",[8]回答表!B154,IF([8]回答表!AA43="○",[8]回答表!B201,"")),"")</f>
        <v/>
      </c>
      <c r="V159" s="107"/>
      <c r="W159" s="107"/>
      <c r="X159" s="107"/>
      <c r="Y159" s="107"/>
      <c r="Z159" s="107"/>
      <c r="AA159" s="107"/>
      <c r="AB159" s="107"/>
      <c r="AC159" s="107"/>
      <c r="AD159" s="107"/>
      <c r="AE159" s="107"/>
      <c r="AF159" s="107"/>
      <c r="AG159" s="107"/>
      <c r="AH159" s="107"/>
      <c r="AI159" s="107"/>
      <c r="AJ159" s="108"/>
      <c r="AK159" s="50"/>
      <c r="AL159" s="50"/>
      <c r="AM159" s="115" t="str">
        <f>IF([8]回答表!BD17="○",IF([8]回答表!X43="○",[8]回答表!B190,IF([8]回答表!AA43="○",[8]回答表!B238,"")),"")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IF([8]回答表!BD17="○",IF([8]回答表!X43="○",[8]回答表!E190,IF([8]回答表!AA43="○",[8]回答表!E238,"")),"")</f>
        <v/>
      </c>
      <c r="AN162" s="83"/>
      <c r="AO162" s="83"/>
      <c r="AP162" s="83"/>
      <c r="AQ162" s="82" t="str">
        <f>IF([8]回答表!BD17="○",IF([8]回答表!X43="○",[8]回答表!E191,IF([8]回答表!AA43="○",[8]回答表!E239,"")),"")</f>
        <v/>
      </c>
      <c r="AR162" s="83"/>
      <c r="AS162" s="83"/>
      <c r="AT162" s="83"/>
      <c r="AU162" s="82" t="str">
        <f>IF([8]回答表!BD17="○",IF([8]回答表!X43="○",[8]回答表!E192,IF([8]回答表!AA43="○",[8]回答表!E240,"")),"")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IF([8]回答表!BD17="○",IF([8]回答表!AA43="○","○",""),"")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IF([8]回答表!BD17="○",IF([8]回答表!AD43="○","○",""),"")</f>
        <v/>
      </c>
      <c r="O171" s="98"/>
      <c r="P171" s="98"/>
      <c r="Q171" s="99"/>
      <c r="R171" s="39"/>
      <c r="S171" s="39"/>
      <c r="T171" s="39"/>
      <c r="U171" s="106" t="str">
        <f>IF([8]回答表!BD17="○",IF([8]回答表!AD43="○",[8]回答表!B249,""),"")</f>
        <v/>
      </c>
      <c r="V171" s="107"/>
      <c r="W171" s="107"/>
      <c r="X171" s="107"/>
      <c r="Y171" s="107"/>
      <c r="Z171" s="107"/>
      <c r="AA171" s="107"/>
      <c r="AB171" s="107"/>
      <c r="AC171" s="107"/>
      <c r="AD171" s="107"/>
      <c r="AE171" s="107"/>
      <c r="AF171" s="107"/>
      <c r="AG171" s="107"/>
      <c r="AH171" s="107"/>
      <c r="AI171" s="107"/>
      <c r="AJ171" s="108"/>
      <c r="AK171" s="56"/>
      <c r="AL171" s="56"/>
      <c r="AM171" s="106" t="str">
        <f>IF([8]回答表!BD17="○",IF([8]回答表!AD43="○",[8]回答表!B255,""),"")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IF([8]回答表!X44="○","○","")</f>
        <v/>
      </c>
      <c r="O183" s="98"/>
      <c r="P183" s="98"/>
      <c r="Q183" s="99"/>
      <c r="R183" s="39"/>
      <c r="S183" s="39"/>
      <c r="T183" s="39"/>
      <c r="U183" s="106" t="str">
        <f>IF([8]回答表!X44="○",[8]回答表!B266,IF([8]回答表!AA44="○",[8]回答表!B283,""))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IF([8]回答表!X44="○",[8]回答表!U272,IF([8]回答表!AA44="○",[8]回答表!U289,""))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IF([8]回答表!X44="○",[8]回答表!G272,IF([8]回答表!AA44="○",[8]回答表!G289,""))</f>
        <v/>
      </c>
      <c r="AN186" s="119"/>
      <c r="AO186" s="119"/>
      <c r="AP186" s="119"/>
      <c r="AQ186" s="119"/>
      <c r="AR186" s="119"/>
      <c r="AS186" s="119"/>
      <c r="AT186" s="120"/>
      <c r="AU186" s="118" t="str">
        <f>IF([8]回答表!X44="○",[8]回答表!G273,IF([8]回答表!AA44="○",[8]回答表!G290,""))</f>
        <v/>
      </c>
      <c r="AV186" s="119"/>
      <c r="AW186" s="119"/>
      <c r="AX186" s="119"/>
      <c r="AY186" s="119"/>
      <c r="AZ186" s="119"/>
      <c r="BA186" s="119"/>
      <c r="BB186" s="120"/>
      <c r="BC186" s="40"/>
      <c r="BD186" s="35"/>
      <c r="BE186" s="82" t="str">
        <f>IF([8]回答表!X44="○",[8]回答表!X272,IF([8]回答表!AA44="○",[8]回答表!X289,""))</f>
        <v/>
      </c>
      <c r="BF186" s="83"/>
      <c r="BG186" s="83"/>
      <c r="BH186" s="83"/>
      <c r="BI186" s="82" t="str">
        <f>IF([8]回答表!X44="○",[8]回答表!X273,IF([8]回答表!AA44="○",[8]回答表!X290,""))</f>
        <v/>
      </c>
      <c r="BJ186" s="83"/>
      <c r="BK186" s="83"/>
      <c r="BL186" s="86"/>
      <c r="BM186" s="82" t="str">
        <f>IF([8]回答表!X44="○",[8]回答表!X274,IF([8]回答表!AA44="○",[8]回答表!X291,""))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IF([8]回答表!AA44="○","○","")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IF([8]回答表!AD44="○","○","")</f>
        <v/>
      </c>
      <c r="O195" s="98"/>
      <c r="P195" s="98"/>
      <c r="Q195" s="99"/>
      <c r="R195" s="39"/>
      <c r="S195" s="39"/>
      <c r="T195" s="39"/>
      <c r="U195" s="106" t="str">
        <f>IF([8]回答表!AD44="○",[8]回答表!B296,"")</f>
        <v/>
      </c>
      <c r="V195" s="107"/>
      <c r="W195" s="107"/>
      <c r="X195" s="107"/>
      <c r="Y195" s="107"/>
      <c r="Z195" s="107"/>
      <c r="AA195" s="107"/>
      <c r="AB195" s="107"/>
      <c r="AC195" s="107"/>
      <c r="AD195" s="107"/>
      <c r="AE195" s="107"/>
      <c r="AF195" s="107"/>
      <c r="AG195" s="107"/>
      <c r="AH195" s="107"/>
      <c r="AI195" s="107"/>
      <c r="AJ195" s="108"/>
      <c r="AK195" s="61"/>
      <c r="AL195" s="61"/>
      <c r="AM195" s="106" t="str">
        <f>IF([8]回答表!AD44="○",[8]回答表!B302,"")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IF([8]回答表!X45="○","○","")</f>
        <v/>
      </c>
      <c r="O207" s="98"/>
      <c r="P207" s="98"/>
      <c r="Q207" s="99"/>
      <c r="R207" s="39"/>
      <c r="S207" s="39"/>
      <c r="T207" s="39"/>
      <c r="U207" s="106" t="str">
        <f>IF([8]回答表!X45="○",[8]回答表!B314,IF([8]回答表!AA45="○",[8]回答表!B337,""))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IF([8]回答表!X45="○",[8]回答表!B320,"")</f>
        <v/>
      </c>
      <c r="AO207" s="164"/>
      <c r="AP207" s="164"/>
      <c r="AQ207" s="164"/>
      <c r="AR207" s="164"/>
      <c r="AS207" s="164"/>
      <c r="AT207" s="164"/>
      <c r="AU207" s="164"/>
      <c r="AV207" s="164"/>
      <c r="AW207" s="164"/>
      <c r="AX207" s="164"/>
      <c r="AY207" s="164"/>
      <c r="AZ207" s="164"/>
      <c r="BA207" s="164"/>
      <c r="BB207" s="165"/>
      <c r="BC207" s="40"/>
      <c r="BD207" s="35"/>
      <c r="BE207" s="115" t="str">
        <f>IF([8]回答表!X45="○",[8]回答表!B326,IF([8]回答表!AA45="○",[8]回答表!B343,""))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IF([8]回答表!X45="○",[8]回答表!E326,IF([8]回答表!AA45="○",[8]回答表!E343,""))</f>
        <v/>
      </c>
      <c r="BF210" s="83"/>
      <c r="BG210" s="83"/>
      <c r="BH210" s="83"/>
      <c r="BI210" s="82" t="str">
        <f>IF([8]回答表!X45="○",[8]回答表!E327,IF([8]回答表!AA45="○",[8]回答表!E344,""))</f>
        <v/>
      </c>
      <c r="BJ210" s="83"/>
      <c r="BK210" s="83"/>
      <c r="BL210" s="86"/>
      <c r="BM210" s="82" t="str">
        <f>IF([8]回答表!X45="○",[8]回答表!E328,IF([8]回答表!AA45="○",[8]回答表!E345,""))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IF([8]回答表!AA45="○","○","")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IF([8]回答表!AD45="○","○","")</f>
        <v/>
      </c>
      <c r="O219" s="98"/>
      <c r="P219" s="98"/>
      <c r="Q219" s="99"/>
      <c r="R219" s="39"/>
      <c r="S219" s="39"/>
      <c r="T219" s="39"/>
      <c r="U219" s="106" t="str">
        <f>IF([8]回答表!AD45="○",[8]回答表!B350,"")</f>
        <v/>
      </c>
      <c r="V219" s="107"/>
      <c r="W219" s="107"/>
      <c r="X219" s="107"/>
      <c r="Y219" s="107"/>
      <c r="Z219" s="107"/>
      <c r="AA219" s="107"/>
      <c r="AB219" s="107"/>
      <c r="AC219" s="107"/>
      <c r="AD219" s="107"/>
      <c r="AE219" s="107"/>
      <c r="AF219" s="107"/>
      <c r="AG219" s="107"/>
      <c r="AH219" s="107"/>
      <c r="AI219" s="107"/>
      <c r="AJ219" s="108"/>
      <c r="AK219" s="61"/>
      <c r="AL219" s="61"/>
      <c r="AM219" s="106" t="str">
        <f>IF([8]回答表!AD45="○",[8]回答表!B356,"")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IF([8]回答表!X46="○","○","")</f>
        <v/>
      </c>
      <c r="O231" s="98"/>
      <c r="P231" s="98"/>
      <c r="Q231" s="99"/>
      <c r="R231" s="39"/>
      <c r="S231" s="39"/>
      <c r="T231" s="39"/>
      <c r="U231" s="106" t="str">
        <f>IF([8]回答表!X46="○",[8]回答表!B368,IF([8]回答表!AA46="○",[8]回答表!B382,""))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IF([8]回答表!X46="○",[8]回答表!BC375,IF([8]回答表!AA46="○",[8]回答表!BC389,""))</f>
        <v/>
      </c>
      <c r="AR231" s="150"/>
      <c r="AS231" s="150"/>
      <c r="AT231" s="150"/>
      <c r="AU231" s="155" t="s">
        <v>63</v>
      </c>
      <c r="AV231" s="156"/>
      <c r="AW231" s="156"/>
      <c r="AX231" s="157"/>
      <c r="AY231" s="150" t="str">
        <f>IF([8]回答表!X46="○",[8]回答表!BC380,IF([8]回答表!AA46="○",[8]回答表!BC394,""))</f>
        <v/>
      </c>
      <c r="AZ231" s="150"/>
      <c r="BA231" s="150"/>
      <c r="BB231" s="150"/>
      <c r="BC231" s="40"/>
      <c r="BD231" s="35"/>
      <c r="BE231" s="115" t="str">
        <f>IF([8]回答表!X46="○",[8]回答表!S374,IF([8]回答表!AA46="○",[8]回答表!S388,""))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IF([8]回答表!X46="○",[8]回答表!BC376,IF([8]回答表!AA46="○",[8]回答表!BC390,""))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IF([8]回答表!X46="○",[8]回答表!V374,IF([8]回答表!AA46="○",[8]回答表!V388,""))</f>
        <v/>
      </c>
      <c r="BF234" s="83"/>
      <c r="BG234" s="83"/>
      <c r="BH234" s="83"/>
      <c r="BI234" s="82" t="str">
        <f>IF([8]回答表!X46="○",[8]回答表!V375,IF([8]回答表!AA46="○",[8]回答表!V389,""))</f>
        <v/>
      </c>
      <c r="BJ234" s="83"/>
      <c r="BK234" s="83"/>
      <c r="BL234" s="86"/>
      <c r="BM234" s="82" t="str">
        <f>IF([8]回答表!X46="○",[8]回答表!V376,IF([8]回答表!AA46="○",[8]回答表!V390,""))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IF([8]回答表!X46="○",[8]回答表!BC377,IF([8]回答表!AA46="○",[8]回答表!BC391,""))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IF([8]回答表!X46="○",[8]回答表!BC381,IF([8]回答表!AA46="○",[8]回答表!BC395,""))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IF([8]回答表!AA46="○","○","")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IF([8]回答表!X46="○",[8]回答表!BC378,IF([8]回答表!AA46="○",[8]回答表!BC392,""))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IF([8]回答表!X46="○",[8]回答表!BC379,IF([8]回答表!AA46="○",[8]回答表!BC393,""))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IF([8]回答表!AD46="○","○","")</f>
        <v/>
      </c>
      <c r="O243" s="98"/>
      <c r="P243" s="98"/>
      <c r="Q243" s="99"/>
      <c r="R243" s="39"/>
      <c r="S243" s="39"/>
      <c r="T243" s="39"/>
      <c r="U243" s="106" t="str">
        <f>IF([8]回答表!AD46="○",[8]回答表!B396,"")</f>
        <v/>
      </c>
      <c r="V243" s="107"/>
      <c r="W243" s="107"/>
      <c r="X243" s="107"/>
      <c r="Y243" s="107"/>
      <c r="Z243" s="107"/>
      <c r="AA243" s="107"/>
      <c r="AB243" s="107"/>
      <c r="AC243" s="107"/>
      <c r="AD243" s="107"/>
      <c r="AE243" s="107"/>
      <c r="AF243" s="107"/>
      <c r="AG243" s="107"/>
      <c r="AH243" s="107"/>
      <c r="AI243" s="107"/>
      <c r="AJ243" s="108"/>
      <c r="AK243" s="56"/>
      <c r="AL243" s="56"/>
      <c r="AM243" s="106" t="str">
        <f>IF([8]回答表!AD46="○",[8]回答表!B402,"")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IF([8]回答表!X47="○","○","")</f>
        <v/>
      </c>
      <c r="O254" s="98"/>
      <c r="P254" s="98"/>
      <c r="Q254" s="99"/>
      <c r="R254" s="39"/>
      <c r="S254" s="39"/>
      <c r="T254" s="39"/>
      <c r="U254" s="106" t="str">
        <f>IF([8]回答表!X47="○",[8]回答表!B414,IF([8]回答表!AA47="○",[8]回答表!B431,""))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IF([8]回答表!X47="○",[8]回答表!B424,IF([8]回答表!AA47="○",[8]回答表!B441,""))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IF([8]回答表!X47="○",[8]回答表!G420,IF([8]回答表!AA47="○",[8]回答表!G437,""))</f>
        <v/>
      </c>
      <c r="AN256" s="119"/>
      <c r="AO256" s="119"/>
      <c r="AP256" s="119"/>
      <c r="AQ256" s="119"/>
      <c r="AR256" s="119"/>
      <c r="AS256" s="119"/>
      <c r="AT256" s="120"/>
      <c r="AU256" s="118" t="str">
        <f>IF([8]回答表!X47="○",[8]回答表!G421,IF([8]回答表!AA47="○",[8]回答表!G438,""))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IF([8]回答表!X47="○",[8]回答表!E424,IF([8]回答表!AA47="○",[8]回答表!E441,""))</f>
        <v/>
      </c>
      <c r="BF257" s="83"/>
      <c r="BG257" s="83"/>
      <c r="BH257" s="83"/>
      <c r="BI257" s="82" t="str">
        <f>IF([8]回答表!X47="○",[8]回答表!E425,IF([8]回答表!AA47="○",[8]回答表!E442,""))</f>
        <v/>
      </c>
      <c r="BJ257" s="83"/>
      <c r="BK257" s="83"/>
      <c r="BL257" s="86"/>
      <c r="BM257" s="82" t="str">
        <f>IF([8]回答表!X47="○",[8]回答表!E426,IF([8]回答表!AA47="○",[8]回答表!E443,""))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IF([8]回答表!AA47="○","○","")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IF([8]回答表!AD47="○","○","")</f>
        <v/>
      </c>
      <c r="O266" s="98"/>
      <c r="P266" s="98"/>
      <c r="Q266" s="99"/>
      <c r="R266" s="39"/>
      <c r="S266" s="39"/>
      <c r="T266" s="39"/>
      <c r="U266" s="106" t="str">
        <f>IF([8]回答表!AD47="○",[8]回答表!B448,"")</f>
        <v/>
      </c>
      <c r="V266" s="107"/>
      <c r="W266" s="107"/>
      <c r="X266" s="107"/>
      <c r="Y266" s="107"/>
      <c r="Z266" s="107"/>
      <c r="AA266" s="107"/>
      <c r="AB266" s="107"/>
      <c r="AC266" s="107"/>
      <c r="AD266" s="107"/>
      <c r="AE266" s="107"/>
      <c r="AF266" s="107"/>
      <c r="AG266" s="107"/>
      <c r="AH266" s="107"/>
      <c r="AI266" s="107"/>
      <c r="AJ266" s="108"/>
      <c r="AK266" s="50"/>
      <c r="AL266" s="50"/>
      <c r="AM266" s="106" t="str">
        <f>IF([8]回答表!AD47="○",[8]回答表!B454,"")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IF([8]回答表!R48="○",[8]回答表!B467,"")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FF338-1A10-4DD9-99BD-F8BF00690D15}">
  <sheetPr>
    <pageSetUpPr fitToPage="1"/>
  </sheetPr>
  <dimension ref="A1:CE298"/>
  <sheetViews>
    <sheetView showZeros="0"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IF(COUNTIF([9]回答表!K15,"*")&gt;0,[9]回答表!K15,"")</f>
        <v>仙北市</v>
      </c>
      <c r="D11" s="255"/>
      <c r="E11" s="255"/>
      <c r="F11" s="255"/>
      <c r="G11" s="255"/>
      <c r="H11" s="255"/>
      <c r="I11" s="255"/>
      <c r="J11" s="255"/>
      <c r="K11" s="255"/>
      <c r="L11" s="255"/>
      <c r="M11" s="255"/>
      <c r="N11" s="255"/>
      <c r="O11" s="255"/>
      <c r="P11" s="255"/>
      <c r="Q11" s="255"/>
      <c r="R11" s="255"/>
      <c r="S11" s="255"/>
      <c r="T11" s="255"/>
      <c r="U11" s="262" t="str">
        <f>IF(COUNTIF([9]回答表!F17,"*")&gt;0,[9]回答表!F17,"")</f>
        <v>介護サービス事業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IF(COUNTIF([9]回答表!W17,"*")&gt;0,[9]回答表!W17,"")</f>
        <v>老人短期入所施設</v>
      </c>
      <c r="AP11" s="257"/>
      <c r="AQ11" s="257"/>
      <c r="AR11" s="257"/>
      <c r="AS11" s="257"/>
      <c r="AT11" s="257"/>
      <c r="AU11" s="257"/>
      <c r="AV11" s="257"/>
      <c r="AW11" s="257"/>
      <c r="AX11" s="257"/>
      <c r="AY11" s="257"/>
      <c r="AZ11" s="257"/>
      <c r="BA11" s="257"/>
      <c r="BB11" s="257"/>
      <c r="BC11" s="257"/>
      <c r="BD11" s="257"/>
      <c r="BE11" s="258"/>
      <c r="BF11" s="261" t="str">
        <f>IF(COUNTIF([9]回答表!F19,"*")&gt;0,[9]回答表!F19,"")</f>
        <v>介護保険特別会計</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IF([9]回答表!R41="○","○","")</f>
        <v/>
      </c>
      <c r="E24" s="122"/>
      <c r="F24" s="122"/>
      <c r="G24" s="122"/>
      <c r="H24" s="122"/>
      <c r="I24" s="122"/>
      <c r="J24" s="123"/>
      <c r="K24" s="121" t="str">
        <f>IF([9]回答表!R42="○","○","")</f>
        <v>○</v>
      </c>
      <c r="L24" s="122"/>
      <c r="M24" s="122"/>
      <c r="N24" s="122"/>
      <c r="O24" s="122"/>
      <c r="P24" s="122"/>
      <c r="Q24" s="123"/>
      <c r="R24" s="121" t="str">
        <f>IF([9]回答表!R43="○","○","")</f>
        <v/>
      </c>
      <c r="S24" s="122"/>
      <c r="T24" s="122"/>
      <c r="U24" s="122"/>
      <c r="V24" s="122"/>
      <c r="W24" s="122"/>
      <c r="X24" s="123"/>
      <c r="Y24" s="121" t="str">
        <f>IF([9]回答表!R44="○","○","")</f>
        <v/>
      </c>
      <c r="Z24" s="122"/>
      <c r="AA24" s="122"/>
      <c r="AB24" s="122"/>
      <c r="AC24" s="122"/>
      <c r="AD24" s="122"/>
      <c r="AE24" s="123"/>
      <c r="AF24" s="121" t="str">
        <f>IF([9]回答表!R45="○","○","")</f>
        <v/>
      </c>
      <c r="AG24" s="122"/>
      <c r="AH24" s="122"/>
      <c r="AI24" s="122"/>
      <c r="AJ24" s="122"/>
      <c r="AK24" s="122"/>
      <c r="AL24" s="123"/>
      <c r="AM24" s="121" t="str">
        <f>IF([9]回答表!R46="○","○","")</f>
        <v/>
      </c>
      <c r="AN24" s="122"/>
      <c r="AO24" s="122"/>
      <c r="AP24" s="122"/>
      <c r="AQ24" s="122"/>
      <c r="AR24" s="122"/>
      <c r="AS24" s="123"/>
      <c r="AT24" s="121" t="str">
        <f>IF([9]回答表!R47="○","○","")</f>
        <v/>
      </c>
      <c r="AU24" s="122"/>
      <c r="AV24" s="122"/>
      <c r="AW24" s="122"/>
      <c r="AX24" s="122"/>
      <c r="AY24" s="122"/>
      <c r="AZ24" s="123"/>
      <c r="BA24" s="19"/>
      <c r="BB24" s="118" t="str">
        <f>IF([9]回答表!R48="○","○","")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IF([9]回答表!X41="○","○","")</f>
        <v/>
      </c>
      <c r="O36" s="98"/>
      <c r="P36" s="98"/>
      <c r="Q36" s="99"/>
      <c r="R36" s="39"/>
      <c r="S36" s="39"/>
      <c r="T36" s="39"/>
      <c r="U36" s="106" t="str">
        <f>IF([9]回答表!X41="○",[9]回答表!B56,IF([9]回答表!AA41="○",[9]回答表!B76,""))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IF([9]回答表!X41="○",[9]回答表!S62,IF([9]回答表!AA41="○",[9]回答表!S82,""))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IF([9]回答表!X41="○",[9]回答表!G62,IF([9]回答表!AA41="○",[9]回答表!G82,""))</f>
        <v/>
      </c>
      <c r="AN38" s="119"/>
      <c r="AO38" s="119"/>
      <c r="AP38" s="119"/>
      <c r="AQ38" s="119"/>
      <c r="AR38" s="119"/>
      <c r="AS38" s="119"/>
      <c r="AT38" s="120"/>
      <c r="AU38" s="118" t="str">
        <f>IF([9]回答表!X41="○",[9]回答表!G63,IF([9]回答表!AA41="○",[9]回答表!G83,""))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IF([9]回答表!X41="○",[9]回答表!V62,IF([9]回答表!AA41="○",[9]回答表!V82,""))</f>
        <v/>
      </c>
      <c r="BF39" s="208"/>
      <c r="BG39" s="208"/>
      <c r="BH39" s="209"/>
      <c r="BI39" s="82" t="str">
        <f>IF([9]回答表!X41="○",[9]回答表!V63,IF([9]回答表!AA41="○",[9]回答表!V83,""))</f>
        <v/>
      </c>
      <c r="BJ39" s="208"/>
      <c r="BK39" s="208"/>
      <c r="BL39" s="209"/>
      <c r="BM39" s="82" t="str">
        <f>IF([9]回答表!X41="○",[9]回答表!V64,IF([9]回答表!AA41="○",[9]回答表!V84,""))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IF([9]回答表!X41="○",[9]回答表!O68,IF([9]回答表!AA41="○",[9]回答表!O88,""))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IF([9]回答表!X41="○",[9]回答表!O69,IF([9]回答表!AA41="○",[9]回答表!O89,""))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IF([9]回答表!AA41="○","○","")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IF([9]回答表!X41="○",[9]回答表!O70,IF([9]回答表!AA41="○",[9]回答表!O90,""))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IF([9]回答表!X41="○",[9]回答表!O71,IF([9]回答表!AA41="○",[9]回答表!O91,""))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IF([9]回答表!X41="○",[9]回答表!AG68,IF([9]回答表!AA41="○",[9]回答表!AG88,""))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IF([9]回答表!X41="○",[9]回答表!AG69,IF([9]回答表!AA41="○",[9]回答表!AG89,""))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IF([9]回答表!X41="○",[9]回答表!AG70,IF([9]回答表!AA41="○",[9]回答表!AG90,""))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IF([9]回答表!AD41="○","○","")</f>
        <v/>
      </c>
      <c r="O52" s="98"/>
      <c r="P52" s="98"/>
      <c r="Q52" s="99"/>
      <c r="R52" s="39"/>
      <c r="S52" s="39"/>
      <c r="T52" s="39"/>
      <c r="U52" s="106" t="str">
        <f>IF([9]回答表!AD41="○",[9]回答表!B96,"")</f>
        <v/>
      </c>
      <c r="V52" s="107"/>
      <c r="W52" s="107"/>
      <c r="X52" s="107"/>
      <c r="Y52" s="107"/>
      <c r="Z52" s="107"/>
      <c r="AA52" s="107"/>
      <c r="AB52" s="107"/>
      <c r="AC52" s="107"/>
      <c r="AD52" s="107"/>
      <c r="AE52" s="107"/>
      <c r="AF52" s="107"/>
      <c r="AG52" s="107"/>
      <c r="AH52" s="107"/>
      <c r="AI52" s="107"/>
      <c r="AJ52" s="108"/>
      <c r="AK52" s="56"/>
      <c r="AL52" s="56"/>
      <c r="AM52" s="106" t="str">
        <f>IF([9]回答表!AD41="○",[9]回答表!B101,"")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IF([9]回答表!X42="○","○","")</f>
        <v>○</v>
      </c>
      <c r="O63" s="98"/>
      <c r="P63" s="98"/>
      <c r="Q63" s="99"/>
      <c r="R63" s="39"/>
      <c r="S63" s="39"/>
      <c r="T63" s="39"/>
      <c r="U63" s="269" t="str">
        <f>IF([9]回答表!X42="○",[9]回答表!B111,IF([9]回答表!AA42="○",[9]回答表!B124,""))</f>
        <v>市直営の特別養護老人ホーム桜苑を社会福祉法人に譲渡する。
（建物：無償譲渡、土地：無償譲渡）
　市の直接的な人員が不要となり、人件費等の財政負担が無くなった。</v>
      </c>
      <c r="V63" s="270"/>
      <c r="W63" s="270"/>
      <c r="X63" s="270"/>
      <c r="Y63" s="270"/>
      <c r="Z63" s="270"/>
      <c r="AA63" s="270"/>
      <c r="AB63" s="270"/>
      <c r="AC63" s="270"/>
      <c r="AD63" s="270"/>
      <c r="AE63" s="270"/>
      <c r="AF63" s="270"/>
      <c r="AG63" s="270"/>
      <c r="AH63" s="270"/>
      <c r="AI63" s="270"/>
      <c r="AJ63" s="271"/>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IF([9]回答表!X42="○",[9]回答表!S117,IF([9]回答表!AA42="○",[9]回答表!S130,""))</f>
        <v>平成</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272"/>
      <c r="V64" s="273"/>
      <c r="W64" s="273"/>
      <c r="X64" s="273"/>
      <c r="Y64" s="273"/>
      <c r="Z64" s="273"/>
      <c r="AA64" s="273"/>
      <c r="AB64" s="273"/>
      <c r="AC64" s="273"/>
      <c r="AD64" s="273"/>
      <c r="AE64" s="273"/>
      <c r="AF64" s="273"/>
      <c r="AG64" s="273"/>
      <c r="AH64" s="273"/>
      <c r="AI64" s="273"/>
      <c r="AJ64" s="274"/>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272"/>
      <c r="V65" s="273"/>
      <c r="W65" s="273"/>
      <c r="X65" s="273"/>
      <c r="Y65" s="273"/>
      <c r="Z65" s="273"/>
      <c r="AA65" s="273"/>
      <c r="AB65" s="273"/>
      <c r="AC65" s="273"/>
      <c r="AD65" s="273"/>
      <c r="AE65" s="273"/>
      <c r="AF65" s="273"/>
      <c r="AG65" s="273"/>
      <c r="AH65" s="273"/>
      <c r="AI65" s="273"/>
      <c r="AJ65" s="274"/>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272"/>
      <c r="V66" s="273"/>
      <c r="W66" s="273"/>
      <c r="X66" s="273"/>
      <c r="Y66" s="273"/>
      <c r="Z66" s="273"/>
      <c r="AA66" s="273"/>
      <c r="AB66" s="273"/>
      <c r="AC66" s="273"/>
      <c r="AD66" s="273"/>
      <c r="AE66" s="273"/>
      <c r="AF66" s="273"/>
      <c r="AG66" s="273"/>
      <c r="AH66" s="273"/>
      <c r="AI66" s="273"/>
      <c r="AJ66" s="274"/>
      <c r="AK66" s="50"/>
      <c r="AL66" s="50"/>
      <c r="AM66" s="118" t="str">
        <f>IF([9]回答表!X42="○",[9]回答表!J117,IF([9]回答表!AA42="○",[9]回答表!J130,""))</f>
        <v>○</v>
      </c>
      <c r="AN66" s="119"/>
      <c r="AO66" s="119"/>
      <c r="AP66" s="119"/>
      <c r="AQ66" s="119"/>
      <c r="AR66" s="119"/>
      <c r="AS66" s="119"/>
      <c r="AT66" s="120"/>
      <c r="AU66" s="118">
        <f>IF([9]回答表!X42="○",[9]回答表!J118,IF([9]回答表!AA42="○",[9]回答表!J131,""))</f>
        <v>0</v>
      </c>
      <c r="AV66" s="119"/>
      <c r="AW66" s="119"/>
      <c r="AX66" s="119"/>
      <c r="AY66" s="119"/>
      <c r="AZ66" s="119"/>
      <c r="BA66" s="119"/>
      <c r="BB66" s="120"/>
      <c r="BC66" s="40"/>
      <c r="BD66" s="35"/>
      <c r="BE66" s="82">
        <f>IF([9]回答表!X42="○",[9]回答表!V117,IF([9]回答表!AA42="○",[9]回答表!V130,""))</f>
        <v>23</v>
      </c>
      <c r="BF66" s="83"/>
      <c r="BG66" s="83"/>
      <c r="BH66" s="83"/>
      <c r="BI66" s="82">
        <f>IF([9]回答表!X42="○",[9]回答表!V118,IF([9]回答表!AA42="○",[9]回答表!V131,""))</f>
        <v>4</v>
      </c>
      <c r="BJ66" s="83"/>
      <c r="BK66" s="83"/>
      <c r="BL66" s="83"/>
      <c r="BM66" s="82">
        <f>IF([9]回答表!X42="○",[9]回答表!V119,IF([9]回答表!AA42="○",[9]回答表!V132,""))</f>
        <v>1</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272"/>
      <c r="V67" s="273"/>
      <c r="W67" s="273"/>
      <c r="X67" s="273"/>
      <c r="Y67" s="273"/>
      <c r="Z67" s="273"/>
      <c r="AA67" s="273"/>
      <c r="AB67" s="273"/>
      <c r="AC67" s="273"/>
      <c r="AD67" s="273"/>
      <c r="AE67" s="273"/>
      <c r="AF67" s="273"/>
      <c r="AG67" s="273"/>
      <c r="AH67" s="273"/>
      <c r="AI67" s="273"/>
      <c r="AJ67" s="274"/>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272"/>
      <c r="V68" s="273"/>
      <c r="W68" s="273"/>
      <c r="X68" s="273"/>
      <c r="Y68" s="273"/>
      <c r="Z68" s="273"/>
      <c r="AA68" s="273"/>
      <c r="AB68" s="273"/>
      <c r="AC68" s="273"/>
      <c r="AD68" s="273"/>
      <c r="AE68" s="273"/>
      <c r="AF68" s="273"/>
      <c r="AG68" s="273"/>
      <c r="AH68" s="273"/>
      <c r="AI68" s="273"/>
      <c r="AJ68" s="274"/>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IF([9]回答表!AA42="○","○","")</f>
        <v/>
      </c>
      <c r="O69" s="98"/>
      <c r="P69" s="98"/>
      <c r="Q69" s="99"/>
      <c r="R69" s="39"/>
      <c r="S69" s="39"/>
      <c r="T69" s="39"/>
      <c r="U69" s="272"/>
      <c r="V69" s="273"/>
      <c r="W69" s="273"/>
      <c r="X69" s="273"/>
      <c r="Y69" s="273"/>
      <c r="Z69" s="273"/>
      <c r="AA69" s="273"/>
      <c r="AB69" s="273"/>
      <c r="AC69" s="273"/>
      <c r="AD69" s="273"/>
      <c r="AE69" s="273"/>
      <c r="AF69" s="273"/>
      <c r="AG69" s="273"/>
      <c r="AH69" s="273"/>
      <c r="AI69" s="273"/>
      <c r="AJ69" s="274"/>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272"/>
      <c r="V70" s="273"/>
      <c r="W70" s="273"/>
      <c r="X70" s="273"/>
      <c r="Y70" s="273"/>
      <c r="Z70" s="273"/>
      <c r="AA70" s="273"/>
      <c r="AB70" s="273"/>
      <c r="AC70" s="273"/>
      <c r="AD70" s="273"/>
      <c r="AE70" s="273"/>
      <c r="AF70" s="273"/>
      <c r="AG70" s="273"/>
      <c r="AH70" s="273"/>
      <c r="AI70" s="273"/>
      <c r="AJ70" s="274"/>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272"/>
      <c r="V71" s="273"/>
      <c r="W71" s="273"/>
      <c r="X71" s="273"/>
      <c r="Y71" s="273"/>
      <c r="Z71" s="273"/>
      <c r="AA71" s="273"/>
      <c r="AB71" s="273"/>
      <c r="AC71" s="273"/>
      <c r="AD71" s="273"/>
      <c r="AE71" s="273"/>
      <c r="AF71" s="273"/>
      <c r="AG71" s="273"/>
      <c r="AH71" s="273"/>
      <c r="AI71" s="273"/>
      <c r="AJ71" s="274"/>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275"/>
      <c r="V72" s="276"/>
      <c r="W72" s="276"/>
      <c r="X72" s="276"/>
      <c r="Y72" s="276"/>
      <c r="Z72" s="276"/>
      <c r="AA72" s="276"/>
      <c r="AB72" s="276"/>
      <c r="AC72" s="276"/>
      <c r="AD72" s="276"/>
      <c r="AE72" s="276"/>
      <c r="AF72" s="276"/>
      <c r="AG72" s="276"/>
      <c r="AH72" s="276"/>
      <c r="AI72" s="276"/>
      <c r="AJ72" s="277"/>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IF([9]回答表!AD42="○","○","")</f>
        <v/>
      </c>
      <c r="O75" s="98"/>
      <c r="P75" s="98"/>
      <c r="Q75" s="99"/>
      <c r="R75" s="39"/>
      <c r="S75" s="39"/>
      <c r="T75" s="39"/>
      <c r="U75" s="106" t="str">
        <f>IF([9]回答表!AD42="○",[9]回答表!B137,"")</f>
        <v/>
      </c>
      <c r="V75" s="107"/>
      <c r="W75" s="107"/>
      <c r="X75" s="107"/>
      <c r="Y75" s="107"/>
      <c r="Z75" s="107"/>
      <c r="AA75" s="107"/>
      <c r="AB75" s="107"/>
      <c r="AC75" s="107"/>
      <c r="AD75" s="107"/>
      <c r="AE75" s="107"/>
      <c r="AF75" s="107"/>
      <c r="AG75" s="107"/>
      <c r="AH75" s="107"/>
      <c r="AI75" s="107"/>
      <c r="AJ75" s="108"/>
      <c r="AK75" s="56"/>
      <c r="AL75" s="56"/>
      <c r="AM75" s="106" t="str">
        <f>IF([9]回答表!AD42="○",[9]回答表!B143,"")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IF([9]回答表!F17="水道事業",IF([9]回答表!X43="○","○",""),"")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IF([9]回答表!F17="水道事業",IF([9]回答表!X43="○",[9]回答表!B154,IF([9]回答表!AA43="○",[9]回答表!B201,"")),"")</f>
        <v/>
      </c>
      <c r="AN87" s="107"/>
      <c r="AO87" s="107"/>
      <c r="AP87" s="107"/>
      <c r="AQ87" s="107"/>
      <c r="AR87" s="107"/>
      <c r="AS87" s="107"/>
      <c r="AT87" s="107"/>
      <c r="AU87" s="107"/>
      <c r="AV87" s="107"/>
      <c r="AW87" s="107"/>
      <c r="AX87" s="107"/>
      <c r="AY87" s="107"/>
      <c r="AZ87" s="107"/>
      <c r="BA87" s="107"/>
      <c r="BB87" s="108"/>
      <c r="BC87" s="40"/>
      <c r="BD87" s="35"/>
      <c r="BE87" s="115" t="str">
        <f>IF([9]回答表!F17="水道事業",IF([9]回答表!X43="○",[9]回答表!B190,IF([9]回答表!AA43="○",[9]回答表!B238,"")),"")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IF([9]回答表!F17="水道事業",IF([9]回答表!X43="○",[9]回答表!J162,IF([9]回答表!AA43="○",[9]回答表!J209,"")),"")</f>
        <v/>
      </c>
      <c r="V89" s="119"/>
      <c r="W89" s="119"/>
      <c r="X89" s="119"/>
      <c r="Y89" s="119"/>
      <c r="Z89" s="119"/>
      <c r="AA89" s="119"/>
      <c r="AB89" s="120"/>
      <c r="AC89" s="118" t="str">
        <f>IF([9]回答表!F17="水道事業",IF([9]回答表!X43="○",[9]回答表!J169,IF([9]回答表!AA43="○",[9]回答表!J216,"")),"")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IF([9]回答表!F17="水道事業",IF([9]回答表!X43="○",[9]回答表!E190,IF([9]回答表!AA43="○",[9]回答表!E238,"")),"")</f>
        <v/>
      </c>
      <c r="BF90" s="83"/>
      <c r="BG90" s="83"/>
      <c r="BH90" s="83"/>
      <c r="BI90" s="82" t="str">
        <f>IF([9]回答表!F17="水道事業",IF([9]回答表!X43="○",[9]回答表!E191,IF([9]回答表!AA43="○",[9]回答表!E239,"")),"")</f>
        <v/>
      </c>
      <c r="BJ90" s="83"/>
      <c r="BK90" s="83"/>
      <c r="BL90" s="83"/>
      <c r="BM90" s="82" t="str">
        <f>IF([9]回答表!F17="水道事業",IF([9]回答表!X43="○",[9]回答表!E192,IF([9]回答表!AA43="○",[9]回答表!E240,"")),"")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IF([9]回答表!F17="水道事業",IF([9]回答表!AA43="○","○",""),"")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IF([9]回答表!F17="水道事業",IF([9]回答表!X43="○",[9]回答表!J172,IF([9]回答表!AA43="○",[9]回答表!J219,"")),"")</f>
        <v/>
      </c>
      <c r="V94" s="119"/>
      <c r="W94" s="119"/>
      <c r="X94" s="119"/>
      <c r="Y94" s="119"/>
      <c r="Z94" s="119"/>
      <c r="AA94" s="119"/>
      <c r="AB94" s="120"/>
      <c r="AC94" s="118" t="str">
        <f>IF([9]回答表!F17="水道事業",IF([9]回答表!X43="○",[9]回答表!J176,IF([9]回答表!AA43="○",[9]回答表!J223,"")),"")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IF([9]回答表!F17="水道事業",IF([9]回答表!AD43="○","○",""),"")</f>
        <v/>
      </c>
      <c r="O99" s="98"/>
      <c r="P99" s="98"/>
      <c r="Q99" s="99"/>
      <c r="R99" s="39"/>
      <c r="S99" s="39"/>
      <c r="T99" s="39"/>
      <c r="U99" s="106" t="str">
        <f>IF([9]回答表!F17="水道事業",IF([9]回答表!AD43="○",[9]回答表!B249,""),"")</f>
        <v/>
      </c>
      <c r="V99" s="107"/>
      <c r="W99" s="107"/>
      <c r="X99" s="107"/>
      <c r="Y99" s="107"/>
      <c r="Z99" s="107"/>
      <c r="AA99" s="107"/>
      <c r="AB99" s="107"/>
      <c r="AC99" s="107"/>
      <c r="AD99" s="107"/>
      <c r="AE99" s="107"/>
      <c r="AF99" s="107"/>
      <c r="AG99" s="107"/>
      <c r="AH99" s="107"/>
      <c r="AI99" s="107"/>
      <c r="AJ99" s="108"/>
      <c r="AK99" s="56"/>
      <c r="AL99" s="56"/>
      <c r="AM99" s="106" t="str">
        <f>IF([9]回答表!F17="水道事業",IF([9]回答表!AD43="○",[9]回答表!B255,""),"")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IF([9]回答表!F17="簡易水道事業",IF([9]回答表!X43="○","○",""),"")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IF([9]回答表!F17="簡易水道事業",IF([9]回答表!X43="○",[9]回答表!B154,IF([9]回答表!AA43="○",[9]回答表!B201,"")),"")</f>
        <v/>
      </c>
      <c r="AN111" s="107"/>
      <c r="AO111" s="107"/>
      <c r="AP111" s="107"/>
      <c r="AQ111" s="107"/>
      <c r="AR111" s="107"/>
      <c r="AS111" s="107"/>
      <c r="AT111" s="107"/>
      <c r="AU111" s="107"/>
      <c r="AV111" s="107"/>
      <c r="AW111" s="107"/>
      <c r="AX111" s="107"/>
      <c r="AY111" s="107"/>
      <c r="AZ111" s="107"/>
      <c r="BA111" s="107"/>
      <c r="BB111" s="108"/>
      <c r="BC111" s="40"/>
      <c r="BD111" s="35"/>
      <c r="BE111" s="115" t="str">
        <f>IF([9]回答表!F17="簡易水道事業",IF([9]回答表!X43="○",[9]回答表!B190,IF([9]回答表!AA43="○",[9]回答表!B238,"")),"")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IF([9]回答表!F17="簡易水道事業",IF([9]回答表!X43="○",[9]回答表!Y181,IF([9]回答表!AA43="○",[9]回答表!Y229,"")),"")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IF([9]回答表!F17="簡易水道事業",IF([9]回答表!X43="○",[9]回答表!E190,IF([9]回答表!AA43="○",[9]回答表!E238,"")),"")</f>
        <v/>
      </c>
      <c r="BF114" s="83"/>
      <c r="BG114" s="83"/>
      <c r="BH114" s="83"/>
      <c r="BI114" s="82" t="str">
        <f>IF([9]回答表!F17="簡易水道事業",IF([9]回答表!X43="○",[9]回答表!E191,IF([9]回答表!AA43="○",[9]回答表!E239,"")),"")</f>
        <v/>
      </c>
      <c r="BJ114" s="83"/>
      <c r="BK114" s="83"/>
      <c r="BL114" s="83"/>
      <c r="BM114" s="82" t="str">
        <f>IF([9]回答表!F17="簡易水道事業",IF([9]回答表!X43="○",[9]回答表!E192,IF([9]回答表!AA43="○",[9]回答表!E240,"")),"")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IF([9]回答表!F17="簡易水道事業",IF([9]回答表!AA43="○","○",""),"")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IF([9]回答表!F17="簡易水道事業",IF([9]回答表!X43="○",[9]回答表!Y182,IF([9]回答表!AA43="○",[9]回答表!Y230,"")),"")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IF([9]回答表!F17="簡易水道事業",IF([9]回答表!AD43="○","○",""),"")</f>
        <v/>
      </c>
      <c r="O123" s="98"/>
      <c r="P123" s="98"/>
      <c r="Q123" s="99"/>
      <c r="R123" s="39"/>
      <c r="S123" s="39"/>
      <c r="T123" s="39"/>
      <c r="U123" s="106" t="str">
        <f>IF([9]回答表!F17="簡易水道事業",IF([9]回答表!AD43="○",[9]回答表!B249,""),"")</f>
        <v/>
      </c>
      <c r="V123" s="107"/>
      <c r="W123" s="107"/>
      <c r="X123" s="107"/>
      <c r="Y123" s="107"/>
      <c r="Z123" s="107"/>
      <c r="AA123" s="107"/>
      <c r="AB123" s="107"/>
      <c r="AC123" s="107"/>
      <c r="AD123" s="107"/>
      <c r="AE123" s="107"/>
      <c r="AF123" s="107"/>
      <c r="AG123" s="107"/>
      <c r="AH123" s="107"/>
      <c r="AI123" s="107"/>
      <c r="AJ123" s="108"/>
      <c r="AK123" s="56"/>
      <c r="AL123" s="56"/>
      <c r="AM123" s="106" t="str">
        <f>IF([9]回答表!F17="簡易水道事業",IF([9]回答表!AD43="○",[9]回答表!B255,""),"")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IF([9]回答表!F17="下水道事業",IF([9]回答表!X43="○","○",""),"")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IF([9]回答表!F17="下水道事業",IF([9]回答表!X43="○",[9]回答表!B154,IF([9]回答表!AA43="○",[9]回答表!B201,"")),"")</f>
        <v/>
      </c>
      <c r="AN135" s="107"/>
      <c r="AO135" s="107"/>
      <c r="AP135" s="107"/>
      <c r="AQ135" s="107"/>
      <c r="AR135" s="107"/>
      <c r="AS135" s="107"/>
      <c r="AT135" s="107"/>
      <c r="AU135" s="107"/>
      <c r="AV135" s="107"/>
      <c r="AW135" s="107"/>
      <c r="AX135" s="107"/>
      <c r="AY135" s="107"/>
      <c r="AZ135" s="107"/>
      <c r="BA135" s="107"/>
      <c r="BB135" s="108"/>
      <c r="BC135" s="40"/>
      <c r="BD135" s="35"/>
      <c r="BE135" s="115" t="str">
        <f>IF([9]回答表!F17="下水道事業",IF([9]回答表!X43="○",[9]回答表!B190,IF([9]回答表!AA43="○",[9]回答表!B238,"")),"")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IF([9]回答表!F17="下水道事業",IF([9]回答表!X43="○",[9]回答表!Y184,IF([9]回答表!AA43="○",[9]回答表!Y232,"")),"")</f>
        <v/>
      </c>
      <c r="V137" s="119"/>
      <c r="W137" s="119"/>
      <c r="X137" s="119"/>
      <c r="Y137" s="119"/>
      <c r="Z137" s="119"/>
      <c r="AA137" s="119"/>
      <c r="AB137" s="120"/>
      <c r="AC137" s="118" t="str">
        <f>IF([9]回答表!F17="下水道事業",IF([9]回答表!X43="○",[9]回答表!Y185,IF([9]回答表!AA43="○",[9]回答表!Y233,"")),"")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IF([9]回答表!F17="下水道事業",IF([9]回答表!X43="○",[9]回答表!E190,IF([9]回答表!AA43="○",[9]回答表!E238,"")),"")</f>
        <v/>
      </c>
      <c r="BF138" s="83"/>
      <c r="BG138" s="83"/>
      <c r="BH138" s="83"/>
      <c r="BI138" s="82" t="str">
        <f>IF([9]回答表!F17="下水道事業",IF([9]回答表!X43="○",[9]回答表!E191,IF([9]回答表!AA43="○",[9]回答表!E239,"")),"")</f>
        <v/>
      </c>
      <c r="BJ138" s="83"/>
      <c r="BK138" s="83"/>
      <c r="BL138" s="83"/>
      <c r="BM138" s="82" t="str">
        <f>IF([9]回答表!F17="下水道事業",IF([9]回答表!X43="○",[9]回答表!E192,IF([9]回答表!AA43="○",[9]回答表!E240,"")),"")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IF([9]回答表!F17="下水道事業",IF([9]回答表!AA43="○","○",""),"")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IF([9]回答表!F17="下水道事業",IF([9]回答表!X43="○",[9]回答表!Y186,IF([9]回答表!AA43="○",[9]回答表!Y234,"")),"")</f>
        <v/>
      </c>
      <c r="V142" s="119"/>
      <c r="W142" s="119"/>
      <c r="X142" s="119"/>
      <c r="Y142" s="119"/>
      <c r="Z142" s="119"/>
      <c r="AA142" s="119"/>
      <c r="AB142" s="120"/>
      <c r="AC142" s="118" t="str">
        <f>IF([9]回答表!F17="下水道事業",IF([9]回答表!X43="○",[9]回答表!Y187,IF([9]回答表!AA43="○",[9]回答表!Y235,"")),"")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IF([9]回答表!F17="下水道事業",IF([9]回答表!AD43="○","○",""),"")</f>
        <v/>
      </c>
      <c r="O147" s="98"/>
      <c r="P147" s="98"/>
      <c r="Q147" s="99"/>
      <c r="R147" s="39"/>
      <c r="S147" s="39"/>
      <c r="T147" s="39"/>
      <c r="U147" s="106" t="str">
        <f>IF([9]回答表!F17="下水道事業",IF([9]回答表!AD43="○",[9]回答表!B249,""),"")</f>
        <v/>
      </c>
      <c r="V147" s="107"/>
      <c r="W147" s="107"/>
      <c r="X147" s="107"/>
      <c r="Y147" s="107"/>
      <c r="Z147" s="107"/>
      <c r="AA147" s="107"/>
      <c r="AB147" s="107"/>
      <c r="AC147" s="107"/>
      <c r="AD147" s="107"/>
      <c r="AE147" s="107"/>
      <c r="AF147" s="107"/>
      <c r="AG147" s="107"/>
      <c r="AH147" s="107"/>
      <c r="AI147" s="107"/>
      <c r="AJ147" s="108"/>
      <c r="AK147" s="56"/>
      <c r="AL147" s="56"/>
      <c r="AM147" s="106" t="str">
        <f>IF([9]回答表!F17="下水道事業",IF([9]回答表!AD43="○",[9]回答表!B255,""),"")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IF([9]回答表!BD17="○",IF([9]回答表!X43="○","○",""),"")</f>
        <v/>
      </c>
      <c r="O159" s="98"/>
      <c r="P159" s="98"/>
      <c r="Q159" s="99"/>
      <c r="R159" s="39"/>
      <c r="S159" s="39"/>
      <c r="T159" s="39"/>
      <c r="U159" s="106" t="str">
        <f>IF([9]回答表!BD17="○",IF([9]回答表!X43="○",[9]回答表!B154,IF([9]回答表!AA43="○",[9]回答表!B201,"")),"")</f>
        <v/>
      </c>
      <c r="V159" s="107"/>
      <c r="W159" s="107"/>
      <c r="X159" s="107"/>
      <c r="Y159" s="107"/>
      <c r="Z159" s="107"/>
      <c r="AA159" s="107"/>
      <c r="AB159" s="107"/>
      <c r="AC159" s="107"/>
      <c r="AD159" s="107"/>
      <c r="AE159" s="107"/>
      <c r="AF159" s="107"/>
      <c r="AG159" s="107"/>
      <c r="AH159" s="107"/>
      <c r="AI159" s="107"/>
      <c r="AJ159" s="108"/>
      <c r="AK159" s="50"/>
      <c r="AL159" s="50"/>
      <c r="AM159" s="115" t="str">
        <f>IF([9]回答表!BD17="○",IF([9]回答表!X43="○",[9]回答表!B190,IF([9]回答表!AA43="○",[9]回答表!B238,"")),"")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IF([9]回答表!BD17="○",IF([9]回答表!X43="○",[9]回答表!E190,IF([9]回答表!AA43="○",[9]回答表!E238,"")),"")</f>
        <v/>
      </c>
      <c r="AN162" s="83"/>
      <c r="AO162" s="83"/>
      <c r="AP162" s="83"/>
      <c r="AQ162" s="82" t="str">
        <f>IF([9]回答表!BD17="○",IF([9]回答表!X43="○",[9]回答表!E191,IF([9]回答表!AA43="○",[9]回答表!E239,"")),"")</f>
        <v/>
      </c>
      <c r="AR162" s="83"/>
      <c r="AS162" s="83"/>
      <c r="AT162" s="83"/>
      <c r="AU162" s="82" t="str">
        <f>IF([9]回答表!BD17="○",IF([9]回答表!X43="○",[9]回答表!E192,IF([9]回答表!AA43="○",[9]回答表!E240,"")),"")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IF([9]回答表!BD17="○",IF([9]回答表!AA43="○","○",""),"")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IF([9]回答表!BD17="○",IF([9]回答表!AD43="○","○",""),"")</f>
        <v/>
      </c>
      <c r="O171" s="98"/>
      <c r="P171" s="98"/>
      <c r="Q171" s="99"/>
      <c r="R171" s="39"/>
      <c r="S171" s="39"/>
      <c r="T171" s="39"/>
      <c r="U171" s="106" t="str">
        <f>IF([9]回答表!BD17="○",IF([9]回答表!AD43="○",[9]回答表!B249,""),"")</f>
        <v/>
      </c>
      <c r="V171" s="107"/>
      <c r="W171" s="107"/>
      <c r="X171" s="107"/>
      <c r="Y171" s="107"/>
      <c r="Z171" s="107"/>
      <c r="AA171" s="107"/>
      <c r="AB171" s="107"/>
      <c r="AC171" s="107"/>
      <c r="AD171" s="107"/>
      <c r="AE171" s="107"/>
      <c r="AF171" s="107"/>
      <c r="AG171" s="107"/>
      <c r="AH171" s="107"/>
      <c r="AI171" s="107"/>
      <c r="AJ171" s="108"/>
      <c r="AK171" s="56"/>
      <c r="AL171" s="56"/>
      <c r="AM171" s="106" t="str">
        <f>IF([9]回答表!BD17="○",IF([9]回答表!AD43="○",[9]回答表!B255,""),"")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IF([9]回答表!X44="○","○","")</f>
        <v/>
      </c>
      <c r="O183" s="98"/>
      <c r="P183" s="98"/>
      <c r="Q183" s="99"/>
      <c r="R183" s="39"/>
      <c r="S183" s="39"/>
      <c r="T183" s="39"/>
      <c r="U183" s="106" t="str">
        <f>IF([9]回答表!X44="○",[9]回答表!B266,IF([9]回答表!AA44="○",[9]回答表!B283,""))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IF([9]回答表!X44="○",[9]回答表!U272,IF([9]回答表!AA44="○",[9]回答表!U289,""))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IF([9]回答表!X44="○",[9]回答表!G272,IF([9]回答表!AA44="○",[9]回答表!G289,""))</f>
        <v/>
      </c>
      <c r="AN186" s="119"/>
      <c r="AO186" s="119"/>
      <c r="AP186" s="119"/>
      <c r="AQ186" s="119"/>
      <c r="AR186" s="119"/>
      <c r="AS186" s="119"/>
      <c r="AT186" s="120"/>
      <c r="AU186" s="118" t="str">
        <f>IF([9]回答表!X44="○",[9]回答表!G273,IF([9]回答表!AA44="○",[9]回答表!G290,""))</f>
        <v/>
      </c>
      <c r="AV186" s="119"/>
      <c r="AW186" s="119"/>
      <c r="AX186" s="119"/>
      <c r="AY186" s="119"/>
      <c r="AZ186" s="119"/>
      <c r="BA186" s="119"/>
      <c r="BB186" s="120"/>
      <c r="BC186" s="40"/>
      <c r="BD186" s="35"/>
      <c r="BE186" s="82" t="str">
        <f>IF([9]回答表!X44="○",[9]回答表!X272,IF([9]回答表!AA44="○",[9]回答表!X289,""))</f>
        <v/>
      </c>
      <c r="BF186" s="83"/>
      <c r="BG186" s="83"/>
      <c r="BH186" s="83"/>
      <c r="BI186" s="82" t="str">
        <f>IF([9]回答表!X44="○",[9]回答表!X273,IF([9]回答表!AA44="○",[9]回答表!X290,""))</f>
        <v/>
      </c>
      <c r="BJ186" s="83"/>
      <c r="BK186" s="83"/>
      <c r="BL186" s="86"/>
      <c r="BM186" s="82" t="str">
        <f>IF([9]回答表!X44="○",[9]回答表!X274,IF([9]回答表!AA44="○",[9]回答表!X291,""))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IF([9]回答表!AA44="○","○","")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IF([9]回答表!AD44="○","○","")</f>
        <v/>
      </c>
      <c r="O195" s="98"/>
      <c r="P195" s="98"/>
      <c r="Q195" s="99"/>
      <c r="R195" s="39"/>
      <c r="S195" s="39"/>
      <c r="T195" s="39"/>
      <c r="U195" s="106" t="str">
        <f>IF([9]回答表!AD44="○",[9]回答表!B296,"")</f>
        <v/>
      </c>
      <c r="V195" s="107"/>
      <c r="W195" s="107"/>
      <c r="X195" s="107"/>
      <c r="Y195" s="107"/>
      <c r="Z195" s="107"/>
      <c r="AA195" s="107"/>
      <c r="AB195" s="107"/>
      <c r="AC195" s="107"/>
      <c r="AD195" s="107"/>
      <c r="AE195" s="107"/>
      <c r="AF195" s="107"/>
      <c r="AG195" s="107"/>
      <c r="AH195" s="107"/>
      <c r="AI195" s="107"/>
      <c r="AJ195" s="108"/>
      <c r="AK195" s="61"/>
      <c r="AL195" s="61"/>
      <c r="AM195" s="106" t="str">
        <f>IF([9]回答表!AD44="○",[9]回答表!B302,"")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IF([9]回答表!X45="○","○","")</f>
        <v/>
      </c>
      <c r="O207" s="98"/>
      <c r="P207" s="98"/>
      <c r="Q207" s="99"/>
      <c r="R207" s="39"/>
      <c r="S207" s="39"/>
      <c r="T207" s="39"/>
      <c r="U207" s="106" t="str">
        <f>IF([9]回答表!X45="○",[9]回答表!B314,IF([9]回答表!AA45="○",[9]回答表!B337,""))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IF([9]回答表!X45="○",[9]回答表!B320,"")</f>
        <v/>
      </c>
      <c r="AO207" s="164"/>
      <c r="AP207" s="164"/>
      <c r="AQ207" s="164"/>
      <c r="AR207" s="164"/>
      <c r="AS207" s="164"/>
      <c r="AT207" s="164"/>
      <c r="AU207" s="164"/>
      <c r="AV207" s="164"/>
      <c r="AW207" s="164"/>
      <c r="AX207" s="164"/>
      <c r="AY207" s="164"/>
      <c r="AZ207" s="164"/>
      <c r="BA207" s="164"/>
      <c r="BB207" s="165"/>
      <c r="BC207" s="40"/>
      <c r="BD207" s="35"/>
      <c r="BE207" s="115" t="str">
        <f>IF([9]回答表!X45="○",[9]回答表!B326,IF([9]回答表!AA45="○",[9]回答表!B343,""))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IF([9]回答表!X45="○",[9]回答表!E326,IF([9]回答表!AA45="○",[9]回答表!E343,""))</f>
        <v/>
      </c>
      <c r="BF210" s="83"/>
      <c r="BG210" s="83"/>
      <c r="BH210" s="83"/>
      <c r="BI210" s="82" t="str">
        <f>IF([9]回答表!X45="○",[9]回答表!E327,IF([9]回答表!AA45="○",[9]回答表!E344,""))</f>
        <v/>
      </c>
      <c r="BJ210" s="83"/>
      <c r="BK210" s="83"/>
      <c r="BL210" s="86"/>
      <c r="BM210" s="82" t="str">
        <f>IF([9]回答表!X45="○",[9]回答表!E328,IF([9]回答表!AA45="○",[9]回答表!E345,""))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IF([9]回答表!AA45="○","○","")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IF([9]回答表!AD45="○","○","")</f>
        <v/>
      </c>
      <c r="O219" s="98"/>
      <c r="P219" s="98"/>
      <c r="Q219" s="99"/>
      <c r="R219" s="39"/>
      <c r="S219" s="39"/>
      <c r="T219" s="39"/>
      <c r="U219" s="106" t="str">
        <f>IF([9]回答表!AD45="○",[9]回答表!B350,"")</f>
        <v/>
      </c>
      <c r="V219" s="107"/>
      <c r="W219" s="107"/>
      <c r="X219" s="107"/>
      <c r="Y219" s="107"/>
      <c r="Z219" s="107"/>
      <c r="AA219" s="107"/>
      <c r="AB219" s="107"/>
      <c r="AC219" s="107"/>
      <c r="AD219" s="107"/>
      <c r="AE219" s="107"/>
      <c r="AF219" s="107"/>
      <c r="AG219" s="107"/>
      <c r="AH219" s="107"/>
      <c r="AI219" s="107"/>
      <c r="AJ219" s="108"/>
      <c r="AK219" s="61"/>
      <c r="AL219" s="61"/>
      <c r="AM219" s="106" t="str">
        <f>IF([9]回答表!AD45="○",[9]回答表!B356,"")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IF([9]回答表!X46="○","○","")</f>
        <v/>
      </c>
      <c r="O231" s="98"/>
      <c r="P231" s="98"/>
      <c r="Q231" s="99"/>
      <c r="R231" s="39"/>
      <c r="S231" s="39"/>
      <c r="T231" s="39"/>
      <c r="U231" s="106" t="str">
        <f>IF([9]回答表!X46="○",[9]回答表!B368,IF([9]回答表!AA46="○",[9]回答表!B382,""))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IF([9]回答表!X46="○",[9]回答表!BC375,IF([9]回答表!AA46="○",[9]回答表!BC389,""))</f>
        <v/>
      </c>
      <c r="AR231" s="150"/>
      <c r="AS231" s="150"/>
      <c r="AT231" s="150"/>
      <c r="AU231" s="155" t="s">
        <v>63</v>
      </c>
      <c r="AV231" s="156"/>
      <c r="AW231" s="156"/>
      <c r="AX231" s="157"/>
      <c r="AY231" s="150" t="str">
        <f>IF([9]回答表!X46="○",[9]回答表!BC380,IF([9]回答表!AA46="○",[9]回答表!BC394,""))</f>
        <v/>
      </c>
      <c r="AZ231" s="150"/>
      <c r="BA231" s="150"/>
      <c r="BB231" s="150"/>
      <c r="BC231" s="40"/>
      <c r="BD231" s="35"/>
      <c r="BE231" s="115" t="str">
        <f>IF([9]回答表!X46="○",[9]回答表!S374,IF([9]回答表!AA46="○",[9]回答表!S388,""))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IF([9]回答表!X46="○",[9]回答表!BC376,IF([9]回答表!AA46="○",[9]回答表!BC390,""))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IF([9]回答表!X46="○",[9]回答表!V374,IF([9]回答表!AA46="○",[9]回答表!V388,""))</f>
        <v/>
      </c>
      <c r="BF234" s="83"/>
      <c r="BG234" s="83"/>
      <c r="BH234" s="83"/>
      <c r="BI234" s="82" t="str">
        <f>IF([9]回答表!X46="○",[9]回答表!V375,IF([9]回答表!AA46="○",[9]回答表!V389,""))</f>
        <v/>
      </c>
      <c r="BJ234" s="83"/>
      <c r="BK234" s="83"/>
      <c r="BL234" s="86"/>
      <c r="BM234" s="82" t="str">
        <f>IF([9]回答表!X46="○",[9]回答表!V376,IF([9]回答表!AA46="○",[9]回答表!V390,""))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IF([9]回答表!X46="○",[9]回答表!BC377,IF([9]回答表!AA46="○",[9]回答表!BC391,""))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IF([9]回答表!X46="○",[9]回答表!BC381,IF([9]回答表!AA46="○",[9]回答表!BC395,""))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IF([9]回答表!AA46="○","○","")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IF([9]回答表!X46="○",[9]回答表!BC378,IF([9]回答表!AA46="○",[9]回答表!BC392,""))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IF([9]回答表!X46="○",[9]回答表!BC379,IF([9]回答表!AA46="○",[9]回答表!BC393,""))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IF([9]回答表!AD46="○","○","")</f>
        <v/>
      </c>
      <c r="O243" s="98"/>
      <c r="P243" s="98"/>
      <c r="Q243" s="99"/>
      <c r="R243" s="39"/>
      <c r="S243" s="39"/>
      <c r="T243" s="39"/>
      <c r="U243" s="106" t="str">
        <f>IF([9]回答表!AD46="○",[9]回答表!B396,"")</f>
        <v/>
      </c>
      <c r="V243" s="107"/>
      <c r="W243" s="107"/>
      <c r="X243" s="107"/>
      <c r="Y243" s="107"/>
      <c r="Z243" s="107"/>
      <c r="AA243" s="107"/>
      <c r="AB243" s="107"/>
      <c r="AC243" s="107"/>
      <c r="AD243" s="107"/>
      <c r="AE243" s="107"/>
      <c r="AF243" s="107"/>
      <c r="AG243" s="107"/>
      <c r="AH243" s="107"/>
      <c r="AI243" s="107"/>
      <c r="AJ243" s="108"/>
      <c r="AK243" s="56"/>
      <c r="AL243" s="56"/>
      <c r="AM243" s="106" t="str">
        <f>IF([9]回答表!AD46="○",[9]回答表!B402,"")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IF([9]回答表!X47="○","○","")</f>
        <v/>
      </c>
      <c r="O254" s="98"/>
      <c r="P254" s="98"/>
      <c r="Q254" s="99"/>
      <c r="R254" s="39"/>
      <c r="S254" s="39"/>
      <c r="T254" s="39"/>
      <c r="U254" s="106" t="str">
        <f>IF([9]回答表!X47="○",[9]回答表!B414,IF([9]回答表!AA47="○",[9]回答表!B431,""))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IF([9]回答表!X47="○",[9]回答表!B424,IF([9]回答表!AA47="○",[9]回答表!B441,""))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IF([9]回答表!X47="○",[9]回答表!G420,IF([9]回答表!AA47="○",[9]回答表!G437,""))</f>
        <v/>
      </c>
      <c r="AN256" s="119"/>
      <c r="AO256" s="119"/>
      <c r="AP256" s="119"/>
      <c r="AQ256" s="119"/>
      <c r="AR256" s="119"/>
      <c r="AS256" s="119"/>
      <c r="AT256" s="120"/>
      <c r="AU256" s="118" t="str">
        <f>IF([9]回答表!X47="○",[9]回答表!G421,IF([9]回答表!AA47="○",[9]回答表!G438,""))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IF([9]回答表!X47="○",[9]回答表!E424,IF([9]回答表!AA47="○",[9]回答表!E441,""))</f>
        <v/>
      </c>
      <c r="BF257" s="83"/>
      <c r="BG257" s="83"/>
      <c r="BH257" s="83"/>
      <c r="BI257" s="82" t="str">
        <f>IF([9]回答表!X47="○",[9]回答表!E425,IF([9]回答表!AA47="○",[9]回答表!E442,""))</f>
        <v/>
      </c>
      <c r="BJ257" s="83"/>
      <c r="BK257" s="83"/>
      <c r="BL257" s="86"/>
      <c r="BM257" s="82" t="str">
        <f>IF([9]回答表!X47="○",[9]回答表!E426,IF([9]回答表!AA47="○",[9]回答表!E443,""))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IF([9]回答表!AA47="○","○","")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IF([9]回答表!AD47="○","○","")</f>
        <v/>
      </c>
      <c r="O266" s="98"/>
      <c r="P266" s="98"/>
      <c r="Q266" s="99"/>
      <c r="R266" s="39"/>
      <c r="S266" s="39"/>
      <c r="T266" s="39"/>
      <c r="U266" s="106" t="str">
        <f>IF([9]回答表!AD47="○",[9]回答表!B448,"")</f>
        <v/>
      </c>
      <c r="V266" s="107"/>
      <c r="W266" s="107"/>
      <c r="X266" s="107"/>
      <c r="Y266" s="107"/>
      <c r="Z266" s="107"/>
      <c r="AA266" s="107"/>
      <c r="AB266" s="107"/>
      <c r="AC266" s="107"/>
      <c r="AD266" s="107"/>
      <c r="AE266" s="107"/>
      <c r="AF266" s="107"/>
      <c r="AG266" s="107"/>
      <c r="AH266" s="107"/>
      <c r="AI266" s="107"/>
      <c r="AJ266" s="108"/>
      <c r="AK266" s="50"/>
      <c r="AL266" s="50"/>
      <c r="AM266" s="106" t="str">
        <f>IF([9]回答表!AD47="○",[9]回答表!B454,"")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IF([9]回答表!R48="○",[9]回答表!B467,"")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95DB7-68A8-437F-847A-69BF68FF0D01}">
  <sheetPr>
    <pageSetUpPr fitToPage="1"/>
  </sheetPr>
  <dimension ref="A1:CE298"/>
  <sheetViews>
    <sheetView showZeros="0" zoomScale="55" zoomScaleNormal="55" workbookViewId="0">
      <selection activeCell="BQ31" sqref="BQ31"/>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IF(COUNTIF([7]回答表!K15,"*")&gt;0,[7]回答表!K15,"")</f>
        <v>仙北市</v>
      </c>
      <c r="D11" s="255"/>
      <c r="E11" s="255"/>
      <c r="F11" s="255"/>
      <c r="G11" s="255"/>
      <c r="H11" s="255"/>
      <c r="I11" s="255"/>
      <c r="J11" s="255"/>
      <c r="K11" s="255"/>
      <c r="L11" s="255"/>
      <c r="M11" s="255"/>
      <c r="N11" s="255"/>
      <c r="O11" s="255"/>
      <c r="P11" s="255"/>
      <c r="Q11" s="255"/>
      <c r="R11" s="255"/>
      <c r="S11" s="255"/>
      <c r="T11" s="255"/>
      <c r="U11" s="262" t="str">
        <f>IF(COUNTIF([7]回答表!F17,"*")&gt;0,[7]回答表!F17,"")</f>
        <v>介護サービス事業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IF(COUNTIF([7]回答表!W17,"*")&gt;0,[7]回答表!W17,"")</f>
        <v>老人デイサービスセンター</v>
      </c>
      <c r="AP11" s="257"/>
      <c r="AQ11" s="257"/>
      <c r="AR11" s="257"/>
      <c r="AS11" s="257"/>
      <c r="AT11" s="257"/>
      <c r="AU11" s="257"/>
      <c r="AV11" s="257"/>
      <c r="AW11" s="257"/>
      <c r="AX11" s="257"/>
      <c r="AY11" s="257"/>
      <c r="AZ11" s="257"/>
      <c r="BA11" s="257"/>
      <c r="BB11" s="257"/>
      <c r="BC11" s="257"/>
      <c r="BD11" s="257"/>
      <c r="BE11" s="258"/>
      <c r="BF11" s="261" t="str">
        <f>IF(COUNTIF([7]回答表!F19,"*")&gt;0,[7]回答表!F19,"")</f>
        <v>介護保険特別会計</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IF([7]回答表!R41="○","○","")</f>
        <v/>
      </c>
      <c r="E24" s="122"/>
      <c r="F24" s="122"/>
      <c r="G24" s="122"/>
      <c r="H24" s="122"/>
      <c r="I24" s="122"/>
      <c r="J24" s="123"/>
      <c r="K24" s="121" t="str">
        <f>IF([7]回答表!R42="○","○","")</f>
        <v/>
      </c>
      <c r="L24" s="122"/>
      <c r="M24" s="122"/>
      <c r="N24" s="122"/>
      <c r="O24" s="122"/>
      <c r="P24" s="122"/>
      <c r="Q24" s="123"/>
      <c r="R24" s="121" t="str">
        <f>IF([7]回答表!R43="○","○","")</f>
        <v/>
      </c>
      <c r="S24" s="122"/>
      <c r="T24" s="122"/>
      <c r="U24" s="122"/>
      <c r="V24" s="122"/>
      <c r="W24" s="122"/>
      <c r="X24" s="123"/>
      <c r="Y24" s="121" t="str">
        <f>IF([7]回答表!R44="○","○","")</f>
        <v>○</v>
      </c>
      <c r="Z24" s="122"/>
      <c r="AA24" s="122"/>
      <c r="AB24" s="122"/>
      <c r="AC24" s="122"/>
      <c r="AD24" s="122"/>
      <c r="AE24" s="123"/>
      <c r="AF24" s="121" t="str">
        <f>IF([7]回答表!R45="○","○","")</f>
        <v/>
      </c>
      <c r="AG24" s="122"/>
      <c r="AH24" s="122"/>
      <c r="AI24" s="122"/>
      <c r="AJ24" s="122"/>
      <c r="AK24" s="122"/>
      <c r="AL24" s="123"/>
      <c r="AM24" s="121" t="str">
        <f>IF([7]回答表!R46="○","○","")</f>
        <v/>
      </c>
      <c r="AN24" s="122"/>
      <c r="AO24" s="122"/>
      <c r="AP24" s="122"/>
      <c r="AQ24" s="122"/>
      <c r="AR24" s="122"/>
      <c r="AS24" s="123"/>
      <c r="AT24" s="121" t="str">
        <f>IF([7]回答表!R47="○","○","")</f>
        <v/>
      </c>
      <c r="AU24" s="122"/>
      <c r="AV24" s="122"/>
      <c r="AW24" s="122"/>
      <c r="AX24" s="122"/>
      <c r="AY24" s="122"/>
      <c r="AZ24" s="123"/>
      <c r="BA24" s="19"/>
      <c r="BB24" s="118" t="str">
        <f>IF([7]回答表!R48="○","○","")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IF([7]回答表!X41="○","○","")</f>
        <v/>
      </c>
      <c r="O36" s="98"/>
      <c r="P36" s="98"/>
      <c r="Q36" s="99"/>
      <c r="R36" s="39"/>
      <c r="S36" s="39"/>
      <c r="T36" s="39"/>
      <c r="U36" s="106" t="str">
        <f>IF([7]回答表!X41="○",[7]回答表!B56,IF([7]回答表!AA41="○",[7]回答表!B76,""))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IF([7]回答表!X41="○",[7]回答表!S62,IF([7]回答表!AA41="○",[7]回答表!S82,""))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IF([7]回答表!X41="○",[7]回答表!G62,IF([7]回答表!AA41="○",[7]回答表!G82,""))</f>
        <v/>
      </c>
      <c r="AN38" s="119"/>
      <c r="AO38" s="119"/>
      <c r="AP38" s="119"/>
      <c r="AQ38" s="119"/>
      <c r="AR38" s="119"/>
      <c r="AS38" s="119"/>
      <c r="AT38" s="120"/>
      <c r="AU38" s="118" t="str">
        <f>IF([7]回答表!X41="○",[7]回答表!G63,IF([7]回答表!AA41="○",[7]回答表!G83,""))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IF([7]回答表!X41="○",[7]回答表!V62,IF([7]回答表!AA41="○",[7]回答表!V82,""))</f>
        <v/>
      </c>
      <c r="BF39" s="208"/>
      <c r="BG39" s="208"/>
      <c r="BH39" s="209"/>
      <c r="BI39" s="82" t="str">
        <f>IF([7]回答表!X41="○",[7]回答表!V63,IF([7]回答表!AA41="○",[7]回答表!V83,""))</f>
        <v/>
      </c>
      <c r="BJ39" s="208"/>
      <c r="BK39" s="208"/>
      <c r="BL39" s="209"/>
      <c r="BM39" s="82" t="str">
        <f>IF([7]回答表!X41="○",[7]回答表!V64,IF([7]回答表!AA41="○",[7]回答表!V84,""))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IF([7]回答表!X41="○",[7]回答表!O68,IF([7]回答表!AA41="○",[7]回答表!O88,""))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IF([7]回答表!X41="○",[7]回答表!O69,IF([7]回答表!AA41="○",[7]回答表!O89,""))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IF([7]回答表!AA41="○","○","")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IF([7]回答表!X41="○",[7]回答表!O70,IF([7]回答表!AA41="○",[7]回答表!O90,""))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IF([7]回答表!X41="○",[7]回答表!O71,IF([7]回答表!AA41="○",[7]回答表!O91,""))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IF([7]回答表!X41="○",[7]回答表!AG68,IF([7]回答表!AA41="○",[7]回答表!AG88,""))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IF([7]回答表!X41="○",[7]回答表!AG69,IF([7]回答表!AA41="○",[7]回答表!AG89,""))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IF([7]回答表!X41="○",[7]回答表!AG70,IF([7]回答表!AA41="○",[7]回答表!AG90,""))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IF([7]回答表!AD41="○","○","")</f>
        <v/>
      </c>
      <c r="O52" s="98"/>
      <c r="P52" s="98"/>
      <c r="Q52" s="99"/>
      <c r="R52" s="39"/>
      <c r="S52" s="39"/>
      <c r="T52" s="39"/>
      <c r="U52" s="106" t="str">
        <f>IF([7]回答表!AD41="○",[7]回答表!B96,"")</f>
        <v/>
      </c>
      <c r="V52" s="107"/>
      <c r="W52" s="107"/>
      <c r="X52" s="107"/>
      <c r="Y52" s="107"/>
      <c r="Z52" s="107"/>
      <c r="AA52" s="107"/>
      <c r="AB52" s="107"/>
      <c r="AC52" s="107"/>
      <c r="AD52" s="107"/>
      <c r="AE52" s="107"/>
      <c r="AF52" s="107"/>
      <c r="AG52" s="107"/>
      <c r="AH52" s="107"/>
      <c r="AI52" s="107"/>
      <c r="AJ52" s="108"/>
      <c r="AK52" s="56"/>
      <c r="AL52" s="56"/>
      <c r="AM52" s="106" t="str">
        <f>IF([7]回答表!AD41="○",[7]回答表!B101,"")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IF([7]回答表!X42="○","○","")</f>
        <v/>
      </c>
      <c r="O63" s="98"/>
      <c r="P63" s="98"/>
      <c r="Q63" s="99"/>
      <c r="R63" s="39"/>
      <c r="S63" s="39"/>
      <c r="T63" s="39"/>
      <c r="U63" s="106" t="str">
        <f>IF([7]回答表!X42="○",[7]回答表!B111,IF([7]回答表!AA42="○",[7]回答表!B124,""))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IF([7]回答表!X42="○",[7]回答表!S117,IF([7]回答表!AA42="○",[7]回答表!S130,""))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IF([7]回答表!X42="○",[7]回答表!J117,IF([7]回答表!AA42="○",[7]回答表!J130,""))</f>
        <v/>
      </c>
      <c r="AN66" s="119"/>
      <c r="AO66" s="119"/>
      <c r="AP66" s="119"/>
      <c r="AQ66" s="119"/>
      <c r="AR66" s="119"/>
      <c r="AS66" s="119"/>
      <c r="AT66" s="120"/>
      <c r="AU66" s="118" t="str">
        <f>IF([7]回答表!X42="○",[7]回答表!J118,IF([7]回答表!AA42="○",[7]回答表!J131,""))</f>
        <v/>
      </c>
      <c r="AV66" s="119"/>
      <c r="AW66" s="119"/>
      <c r="AX66" s="119"/>
      <c r="AY66" s="119"/>
      <c r="AZ66" s="119"/>
      <c r="BA66" s="119"/>
      <c r="BB66" s="120"/>
      <c r="BC66" s="40"/>
      <c r="BD66" s="35"/>
      <c r="BE66" s="82" t="str">
        <f>IF([7]回答表!X42="○",[7]回答表!V117,IF([7]回答表!AA42="○",[7]回答表!V130,""))</f>
        <v/>
      </c>
      <c r="BF66" s="83"/>
      <c r="BG66" s="83"/>
      <c r="BH66" s="83"/>
      <c r="BI66" s="82" t="str">
        <f>IF([7]回答表!X42="○",[7]回答表!V118,IF([7]回答表!AA42="○",[7]回答表!V131,""))</f>
        <v/>
      </c>
      <c r="BJ66" s="83"/>
      <c r="BK66" s="83"/>
      <c r="BL66" s="83"/>
      <c r="BM66" s="82" t="str">
        <f>IF([7]回答表!X42="○",[7]回答表!V119,IF([7]回答表!AA42="○",[7]回答表!V132,""))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IF([7]回答表!AA42="○","○","")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IF([7]回答表!AD42="○","○","")</f>
        <v/>
      </c>
      <c r="O75" s="98"/>
      <c r="P75" s="98"/>
      <c r="Q75" s="99"/>
      <c r="R75" s="39"/>
      <c r="S75" s="39"/>
      <c r="T75" s="39"/>
      <c r="U75" s="106" t="str">
        <f>IF([7]回答表!AD42="○",[7]回答表!B137,"")</f>
        <v/>
      </c>
      <c r="V75" s="107"/>
      <c r="W75" s="107"/>
      <c r="X75" s="107"/>
      <c r="Y75" s="107"/>
      <c r="Z75" s="107"/>
      <c r="AA75" s="107"/>
      <c r="AB75" s="107"/>
      <c r="AC75" s="107"/>
      <c r="AD75" s="107"/>
      <c r="AE75" s="107"/>
      <c r="AF75" s="107"/>
      <c r="AG75" s="107"/>
      <c r="AH75" s="107"/>
      <c r="AI75" s="107"/>
      <c r="AJ75" s="108"/>
      <c r="AK75" s="56"/>
      <c r="AL75" s="56"/>
      <c r="AM75" s="106" t="str">
        <f>IF([7]回答表!AD42="○",[7]回答表!B143,"")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IF([7]回答表!F17="水道事業",IF([7]回答表!X43="○","○",""),"")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IF([7]回答表!F17="水道事業",IF([7]回答表!X43="○",[7]回答表!B154,IF([7]回答表!AA43="○",[7]回答表!B201,"")),"")</f>
        <v/>
      </c>
      <c r="AN87" s="107"/>
      <c r="AO87" s="107"/>
      <c r="AP87" s="107"/>
      <c r="AQ87" s="107"/>
      <c r="AR87" s="107"/>
      <c r="AS87" s="107"/>
      <c r="AT87" s="107"/>
      <c r="AU87" s="107"/>
      <c r="AV87" s="107"/>
      <c r="AW87" s="107"/>
      <c r="AX87" s="107"/>
      <c r="AY87" s="107"/>
      <c r="AZ87" s="107"/>
      <c r="BA87" s="107"/>
      <c r="BB87" s="108"/>
      <c r="BC87" s="40"/>
      <c r="BD87" s="35"/>
      <c r="BE87" s="115" t="str">
        <f>IF([7]回答表!F17="水道事業",IF([7]回答表!X43="○",[7]回答表!B190,IF([7]回答表!AA43="○",[7]回答表!B238,"")),"")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IF([7]回答表!F17="水道事業",IF([7]回答表!X43="○",[7]回答表!J162,IF([7]回答表!AA43="○",[7]回答表!J209,"")),"")</f>
        <v/>
      </c>
      <c r="V89" s="119"/>
      <c r="W89" s="119"/>
      <c r="X89" s="119"/>
      <c r="Y89" s="119"/>
      <c r="Z89" s="119"/>
      <c r="AA89" s="119"/>
      <c r="AB89" s="120"/>
      <c r="AC89" s="118" t="str">
        <f>IF([7]回答表!F17="水道事業",IF([7]回答表!X43="○",[7]回答表!J169,IF([7]回答表!AA43="○",[7]回答表!J216,"")),"")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IF([7]回答表!F17="水道事業",IF([7]回答表!X43="○",[7]回答表!E190,IF([7]回答表!AA43="○",[7]回答表!E238,"")),"")</f>
        <v/>
      </c>
      <c r="BF90" s="83"/>
      <c r="BG90" s="83"/>
      <c r="BH90" s="83"/>
      <c r="BI90" s="82" t="str">
        <f>IF([7]回答表!F17="水道事業",IF([7]回答表!X43="○",[7]回答表!E191,IF([7]回答表!AA43="○",[7]回答表!E239,"")),"")</f>
        <v/>
      </c>
      <c r="BJ90" s="83"/>
      <c r="BK90" s="83"/>
      <c r="BL90" s="83"/>
      <c r="BM90" s="82" t="str">
        <f>IF([7]回答表!F17="水道事業",IF([7]回答表!X43="○",[7]回答表!E192,IF([7]回答表!AA43="○",[7]回答表!E240,"")),"")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IF([7]回答表!F17="水道事業",IF([7]回答表!AA43="○","○",""),"")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IF([7]回答表!F17="水道事業",IF([7]回答表!X43="○",[7]回答表!J172,IF([7]回答表!AA43="○",[7]回答表!J219,"")),"")</f>
        <v/>
      </c>
      <c r="V94" s="119"/>
      <c r="W94" s="119"/>
      <c r="X94" s="119"/>
      <c r="Y94" s="119"/>
      <c r="Z94" s="119"/>
      <c r="AA94" s="119"/>
      <c r="AB94" s="120"/>
      <c r="AC94" s="118" t="str">
        <f>IF([7]回答表!F17="水道事業",IF([7]回答表!X43="○",[7]回答表!J176,IF([7]回答表!AA43="○",[7]回答表!J223,"")),"")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IF([7]回答表!F17="水道事業",IF([7]回答表!AD43="○","○",""),"")</f>
        <v/>
      </c>
      <c r="O99" s="98"/>
      <c r="P99" s="98"/>
      <c r="Q99" s="99"/>
      <c r="R99" s="39"/>
      <c r="S99" s="39"/>
      <c r="T99" s="39"/>
      <c r="U99" s="106" t="str">
        <f>IF([7]回答表!F17="水道事業",IF([7]回答表!AD43="○",[7]回答表!B249,""),"")</f>
        <v/>
      </c>
      <c r="V99" s="107"/>
      <c r="W99" s="107"/>
      <c r="X99" s="107"/>
      <c r="Y99" s="107"/>
      <c r="Z99" s="107"/>
      <c r="AA99" s="107"/>
      <c r="AB99" s="107"/>
      <c r="AC99" s="107"/>
      <c r="AD99" s="107"/>
      <c r="AE99" s="107"/>
      <c r="AF99" s="107"/>
      <c r="AG99" s="107"/>
      <c r="AH99" s="107"/>
      <c r="AI99" s="107"/>
      <c r="AJ99" s="108"/>
      <c r="AK99" s="56"/>
      <c r="AL99" s="56"/>
      <c r="AM99" s="106" t="str">
        <f>IF([7]回答表!F17="水道事業",IF([7]回答表!AD43="○",[7]回答表!B255,""),"")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IF([7]回答表!F17="簡易水道事業",IF([7]回答表!X43="○","○",""),"")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IF([7]回答表!F17="簡易水道事業",IF([7]回答表!X43="○",[7]回答表!B154,IF([7]回答表!AA43="○",[7]回答表!B201,"")),"")</f>
        <v/>
      </c>
      <c r="AN111" s="107"/>
      <c r="AO111" s="107"/>
      <c r="AP111" s="107"/>
      <c r="AQ111" s="107"/>
      <c r="AR111" s="107"/>
      <c r="AS111" s="107"/>
      <c r="AT111" s="107"/>
      <c r="AU111" s="107"/>
      <c r="AV111" s="107"/>
      <c r="AW111" s="107"/>
      <c r="AX111" s="107"/>
      <c r="AY111" s="107"/>
      <c r="AZ111" s="107"/>
      <c r="BA111" s="107"/>
      <c r="BB111" s="108"/>
      <c r="BC111" s="40"/>
      <c r="BD111" s="35"/>
      <c r="BE111" s="115" t="str">
        <f>IF([7]回答表!F17="簡易水道事業",IF([7]回答表!X43="○",[7]回答表!B190,IF([7]回答表!AA43="○",[7]回答表!B238,"")),"")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IF([7]回答表!F17="簡易水道事業",IF([7]回答表!X43="○",[7]回答表!Y181,IF([7]回答表!AA43="○",[7]回答表!Y229,"")),"")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IF([7]回答表!F17="簡易水道事業",IF([7]回答表!X43="○",[7]回答表!E190,IF([7]回答表!AA43="○",[7]回答表!E238,"")),"")</f>
        <v/>
      </c>
      <c r="BF114" s="83"/>
      <c r="BG114" s="83"/>
      <c r="BH114" s="83"/>
      <c r="BI114" s="82" t="str">
        <f>IF([7]回答表!F17="簡易水道事業",IF([7]回答表!X43="○",[7]回答表!E191,IF([7]回答表!AA43="○",[7]回答表!E239,"")),"")</f>
        <v/>
      </c>
      <c r="BJ114" s="83"/>
      <c r="BK114" s="83"/>
      <c r="BL114" s="83"/>
      <c r="BM114" s="82" t="str">
        <f>IF([7]回答表!F17="簡易水道事業",IF([7]回答表!X43="○",[7]回答表!E192,IF([7]回答表!AA43="○",[7]回答表!E240,"")),"")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IF([7]回答表!F17="簡易水道事業",IF([7]回答表!AA43="○","○",""),"")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IF([7]回答表!F17="簡易水道事業",IF([7]回答表!X43="○",[7]回答表!Y182,IF([7]回答表!AA43="○",[7]回答表!Y230,"")),"")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IF([7]回答表!F17="簡易水道事業",IF([7]回答表!AD43="○","○",""),"")</f>
        <v/>
      </c>
      <c r="O123" s="98"/>
      <c r="P123" s="98"/>
      <c r="Q123" s="99"/>
      <c r="R123" s="39"/>
      <c r="S123" s="39"/>
      <c r="T123" s="39"/>
      <c r="U123" s="106" t="str">
        <f>IF([7]回答表!F17="簡易水道事業",IF([7]回答表!AD43="○",[7]回答表!B249,""),"")</f>
        <v/>
      </c>
      <c r="V123" s="107"/>
      <c r="W123" s="107"/>
      <c r="X123" s="107"/>
      <c r="Y123" s="107"/>
      <c r="Z123" s="107"/>
      <c r="AA123" s="107"/>
      <c r="AB123" s="107"/>
      <c r="AC123" s="107"/>
      <c r="AD123" s="107"/>
      <c r="AE123" s="107"/>
      <c r="AF123" s="107"/>
      <c r="AG123" s="107"/>
      <c r="AH123" s="107"/>
      <c r="AI123" s="107"/>
      <c r="AJ123" s="108"/>
      <c r="AK123" s="56"/>
      <c r="AL123" s="56"/>
      <c r="AM123" s="106" t="str">
        <f>IF([7]回答表!F17="簡易水道事業",IF([7]回答表!AD43="○",[7]回答表!B255,""),"")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IF([7]回答表!F17="下水道事業",IF([7]回答表!X43="○","○",""),"")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IF([7]回答表!F17="下水道事業",IF([7]回答表!X43="○",[7]回答表!B154,IF([7]回答表!AA43="○",[7]回答表!B201,"")),"")</f>
        <v/>
      </c>
      <c r="AN135" s="107"/>
      <c r="AO135" s="107"/>
      <c r="AP135" s="107"/>
      <c r="AQ135" s="107"/>
      <c r="AR135" s="107"/>
      <c r="AS135" s="107"/>
      <c r="AT135" s="107"/>
      <c r="AU135" s="107"/>
      <c r="AV135" s="107"/>
      <c r="AW135" s="107"/>
      <c r="AX135" s="107"/>
      <c r="AY135" s="107"/>
      <c r="AZ135" s="107"/>
      <c r="BA135" s="107"/>
      <c r="BB135" s="108"/>
      <c r="BC135" s="40"/>
      <c r="BD135" s="35"/>
      <c r="BE135" s="115" t="str">
        <f>IF([7]回答表!F17="下水道事業",IF([7]回答表!X43="○",[7]回答表!B190,IF([7]回答表!AA43="○",[7]回答表!B238,"")),"")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IF([7]回答表!F17="下水道事業",IF([7]回答表!X43="○",[7]回答表!Y184,IF([7]回答表!AA43="○",[7]回答表!Y232,"")),"")</f>
        <v/>
      </c>
      <c r="V137" s="119"/>
      <c r="W137" s="119"/>
      <c r="X137" s="119"/>
      <c r="Y137" s="119"/>
      <c r="Z137" s="119"/>
      <c r="AA137" s="119"/>
      <c r="AB137" s="120"/>
      <c r="AC137" s="118" t="str">
        <f>IF([7]回答表!F17="下水道事業",IF([7]回答表!X43="○",[7]回答表!Y185,IF([7]回答表!AA43="○",[7]回答表!Y233,"")),"")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IF([7]回答表!F17="下水道事業",IF([7]回答表!X43="○",[7]回答表!E190,IF([7]回答表!AA43="○",[7]回答表!E238,"")),"")</f>
        <v/>
      </c>
      <c r="BF138" s="83"/>
      <c r="BG138" s="83"/>
      <c r="BH138" s="83"/>
      <c r="BI138" s="82" t="str">
        <f>IF([7]回答表!F17="下水道事業",IF([7]回答表!X43="○",[7]回答表!E191,IF([7]回答表!AA43="○",[7]回答表!E239,"")),"")</f>
        <v/>
      </c>
      <c r="BJ138" s="83"/>
      <c r="BK138" s="83"/>
      <c r="BL138" s="83"/>
      <c r="BM138" s="82" t="str">
        <f>IF([7]回答表!F17="下水道事業",IF([7]回答表!X43="○",[7]回答表!E192,IF([7]回答表!AA43="○",[7]回答表!E240,"")),"")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IF([7]回答表!F17="下水道事業",IF([7]回答表!AA43="○","○",""),"")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IF([7]回答表!F17="下水道事業",IF([7]回答表!X43="○",[7]回答表!Y186,IF([7]回答表!AA43="○",[7]回答表!Y234,"")),"")</f>
        <v/>
      </c>
      <c r="V142" s="119"/>
      <c r="W142" s="119"/>
      <c r="X142" s="119"/>
      <c r="Y142" s="119"/>
      <c r="Z142" s="119"/>
      <c r="AA142" s="119"/>
      <c r="AB142" s="120"/>
      <c r="AC142" s="118" t="str">
        <f>IF([7]回答表!F17="下水道事業",IF([7]回答表!X43="○",[7]回答表!Y187,IF([7]回答表!AA43="○",[7]回答表!Y235,"")),"")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IF([7]回答表!F17="下水道事業",IF([7]回答表!AD43="○","○",""),"")</f>
        <v/>
      </c>
      <c r="O147" s="98"/>
      <c r="P147" s="98"/>
      <c r="Q147" s="99"/>
      <c r="R147" s="39"/>
      <c r="S147" s="39"/>
      <c r="T147" s="39"/>
      <c r="U147" s="106" t="str">
        <f>IF([7]回答表!F17="下水道事業",IF([7]回答表!AD43="○",[7]回答表!B249,""),"")</f>
        <v/>
      </c>
      <c r="V147" s="107"/>
      <c r="W147" s="107"/>
      <c r="X147" s="107"/>
      <c r="Y147" s="107"/>
      <c r="Z147" s="107"/>
      <c r="AA147" s="107"/>
      <c r="AB147" s="107"/>
      <c r="AC147" s="107"/>
      <c r="AD147" s="107"/>
      <c r="AE147" s="107"/>
      <c r="AF147" s="107"/>
      <c r="AG147" s="107"/>
      <c r="AH147" s="107"/>
      <c r="AI147" s="107"/>
      <c r="AJ147" s="108"/>
      <c r="AK147" s="56"/>
      <c r="AL147" s="56"/>
      <c r="AM147" s="106" t="str">
        <f>IF([7]回答表!F17="下水道事業",IF([7]回答表!AD43="○",[7]回答表!B255,""),"")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IF([7]回答表!BD17="○",IF([7]回答表!X43="○","○",""),"")</f>
        <v/>
      </c>
      <c r="O159" s="98"/>
      <c r="P159" s="98"/>
      <c r="Q159" s="99"/>
      <c r="R159" s="39"/>
      <c r="S159" s="39"/>
      <c r="T159" s="39"/>
      <c r="U159" s="106" t="str">
        <f>IF([7]回答表!BD17="○",IF([7]回答表!X43="○",[7]回答表!B154,IF([7]回答表!AA43="○",[7]回答表!B201,"")),"")</f>
        <v/>
      </c>
      <c r="V159" s="107"/>
      <c r="W159" s="107"/>
      <c r="X159" s="107"/>
      <c r="Y159" s="107"/>
      <c r="Z159" s="107"/>
      <c r="AA159" s="107"/>
      <c r="AB159" s="107"/>
      <c r="AC159" s="107"/>
      <c r="AD159" s="107"/>
      <c r="AE159" s="107"/>
      <c r="AF159" s="107"/>
      <c r="AG159" s="107"/>
      <c r="AH159" s="107"/>
      <c r="AI159" s="107"/>
      <c r="AJ159" s="108"/>
      <c r="AK159" s="50"/>
      <c r="AL159" s="50"/>
      <c r="AM159" s="115" t="str">
        <f>IF([7]回答表!BD17="○",IF([7]回答表!X43="○",[7]回答表!B190,IF([7]回答表!AA43="○",[7]回答表!B238,"")),"")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IF([7]回答表!BD17="○",IF([7]回答表!X43="○",[7]回答表!E190,IF([7]回答表!AA43="○",[7]回答表!E238,"")),"")</f>
        <v/>
      </c>
      <c r="AN162" s="83"/>
      <c r="AO162" s="83"/>
      <c r="AP162" s="83"/>
      <c r="AQ162" s="82" t="str">
        <f>IF([7]回答表!BD17="○",IF([7]回答表!X43="○",[7]回答表!E191,IF([7]回答表!AA43="○",[7]回答表!E239,"")),"")</f>
        <v/>
      </c>
      <c r="AR162" s="83"/>
      <c r="AS162" s="83"/>
      <c r="AT162" s="83"/>
      <c r="AU162" s="82" t="str">
        <f>IF([7]回答表!BD17="○",IF([7]回答表!X43="○",[7]回答表!E192,IF([7]回答表!AA43="○",[7]回答表!E240,"")),"")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IF([7]回答表!BD17="○",IF([7]回答表!AA43="○","○",""),"")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IF([7]回答表!BD17="○",IF([7]回答表!AD43="○","○",""),"")</f>
        <v/>
      </c>
      <c r="O171" s="98"/>
      <c r="P171" s="98"/>
      <c r="Q171" s="99"/>
      <c r="R171" s="39"/>
      <c r="S171" s="39"/>
      <c r="T171" s="39"/>
      <c r="U171" s="106" t="str">
        <f>IF([7]回答表!BD17="○",IF([7]回答表!AD43="○",[7]回答表!B249,""),"")</f>
        <v/>
      </c>
      <c r="V171" s="107"/>
      <c r="W171" s="107"/>
      <c r="X171" s="107"/>
      <c r="Y171" s="107"/>
      <c r="Z171" s="107"/>
      <c r="AA171" s="107"/>
      <c r="AB171" s="107"/>
      <c r="AC171" s="107"/>
      <c r="AD171" s="107"/>
      <c r="AE171" s="107"/>
      <c r="AF171" s="107"/>
      <c r="AG171" s="107"/>
      <c r="AH171" s="107"/>
      <c r="AI171" s="107"/>
      <c r="AJ171" s="108"/>
      <c r="AK171" s="56"/>
      <c r="AL171" s="56"/>
      <c r="AM171" s="106" t="str">
        <f>IF([7]回答表!BD17="○",IF([7]回答表!AD43="○",[7]回答表!B255,""),"")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IF([7]回答表!X44="○","○","")</f>
        <v>○</v>
      </c>
      <c r="O183" s="98"/>
      <c r="P183" s="98"/>
      <c r="Q183" s="99"/>
      <c r="R183" s="39"/>
      <c r="S183" s="39"/>
      <c r="T183" s="39"/>
      <c r="U183" s="278" t="str">
        <f>IF([7]回答表!X44="○",[7]回答表!B266,IF([7]回答表!AA44="○",[7]回答表!B283,""))</f>
        <v xml:space="preserve">  仙北市田沢湖デイサービスセンターの運営を指定管理者制度とし、社会福祉法人と管理運営に関する協定書を締結。（公募による選定）
   市から委託料を支払い実施していたが、指定管理制度に移行したことで、事業者が介護報酬と利用者負担収入で運営できることから、指定管理料０円で取り組んでいる。</v>
      </c>
      <c r="V183" s="279"/>
      <c r="W183" s="279"/>
      <c r="X183" s="279"/>
      <c r="Y183" s="279"/>
      <c r="Z183" s="279"/>
      <c r="AA183" s="279"/>
      <c r="AB183" s="279"/>
      <c r="AC183" s="279"/>
      <c r="AD183" s="279"/>
      <c r="AE183" s="279"/>
      <c r="AF183" s="279"/>
      <c r="AG183" s="279"/>
      <c r="AH183" s="279"/>
      <c r="AI183" s="279"/>
      <c r="AJ183" s="280"/>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IF([7]回答表!X44="○",[7]回答表!U272,IF([7]回答表!AA44="○",[7]回答表!U289,""))</f>
        <v>平成</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281"/>
      <c r="V184" s="282"/>
      <c r="W184" s="282"/>
      <c r="X184" s="282"/>
      <c r="Y184" s="282"/>
      <c r="Z184" s="282"/>
      <c r="AA184" s="282"/>
      <c r="AB184" s="282"/>
      <c r="AC184" s="282"/>
      <c r="AD184" s="282"/>
      <c r="AE184" s="282"/>
      <c r="AF184" s="282"/>
      <c r="AG184" s="282"/>
      <c r="AH184" s="282"/>
      <c r="AI184" s="282"/>
      <c r="AJ184" s="283"/>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281"/>
      <c r="V185" s="282"/>
      <c r="W185" s="282"/>
      <c r="X185" s="282"/>
      <c r="Y185" s="282"/>
      <c r="Z185" s="282"/>
      <c r="AA185" s="282"/>
      <c r="AB185" s="282"/>
      <c r="AC185" s="282"/>
      <c r="AD185" s="282"/>
      <c r="AE185" s="282"/>
      <c r="AF185" s="282"/>
      <c r="AG185" s="282"/>
      <c r="AH185" s="282"/>
      <c r="AI185" s="282"/>
      <c r="AJ185" s="283"/>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281"/>
      <c r="V186" s="282"/>
      <c r="W186" s="282"/>
      <c r="X186" s="282"/>
      <c r="Y186" s="282"/>
      <c r="Z186" s="282"/>
      <c r="AA186" s="282"/>
      <c r="AB186" s="282"/>
      <c r="AC186" s="282"/>
      <c r="AD186" s="282"/>
      <c r="AE186" s="282"/>
      <c r="AF186" s="282"/>
      <c r="AG186" s="282"/>
      <c r="AH186" s="282"/>
      <c r="AI186" s="282"/>
      <c r="AJ186" s="283"/>
      <c r="AK186" s="50"/>
      <c r="AL186" s="50"/>
      <c r="AM186" s="118">
        <f>IF([7]回答表!X44="○",[7]回答表!G272,IF([7]回答表!AA44="○",[7]回答表!G289,""))</f>
        <v>0</v>
      </c>
      <c r="AN186" s="119"/>
      <c r="AO186" s="119"/>
      <c r="AP186" s="119"/>
      <c r="AQ186" s="119"/>
      <c r="AR186" s="119"/>
      <c r="AS186" s="119"/>
      <c r="AT186" s="120"/>
      <c r="AU186" s="118" t="str">
        <f>IF([7]回答表!X44="○",[7]回答表!G273,IF([7]回答表!AA44="○",[7]回答表!G290,""))</f>
        <v>○</v>
      </c>
      <c r="AV186" s="119"/>
      <c r="AW186" s="119"/>
      <c r="AX186" s="119"/>
      <c r="AY186" s="119"/>
      <c r="AZ186" s="119"/>
      <c r="BA186" s="119"/>
      <c r="BB186" s="120"/>
      <c r="BC186" s="40"/>
      <c r="BD186" s="35"/>
      <c r="BE186" s="82">
        <f>IF([7]回答表!X44="○",[7]回答表!X272,IF([7]回答表!AA44="○",[7]回答表!X289,""))</f>
        <v>22</v>
      </c>
      <c r="BF186" s="83"/>
      <c r="BG186" s="83"/>
      <c r="BH186" s="83"/>
      <c r="BI186" s="82">
        <f>IF([7]回答表!X44="○",[7]回答表!X273,IF([7]回答表!AA44="○",[7]回答表!X290,""))</f>
        <v>7</v>
      </c>
      <c r="BJ186" s="83"/>
      <c r="BK186" s="83"/>
      <c r="BL186" s="86"/>
      <c r="BM186" s="82">
        <f>IF([7]回答表!X44="○",[7]回答表!X274,IF([7]回答表!AA44="○",[7]回答表!X291,""))</f>
        <v>1</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281"/>
      <c r="V187" s="282"/>
      <c r="W187" s="282"/>
      <c r="X187" s="282"/>
      <c r="Y187" s="282"/>
      <c r="Z187" s="282"/>
      <c r="AA187" s="282"/>
      <c r="AB187" s="282"/>
      <c r="AC187" s="282"/>
      <c r="AD187" s="282"/>
      <c r="AE187" s="282"/>
      <c r="AF187" s="282"/>
      <c r="AG187" s="282"/>
      <c r="AH187" s="282"/>
      <c r="AI187" s="282"/>
      <c r="AJ187" s="283"/>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281"/>
      <c r="V188" s="282"/>
      <c r="W188" s="282"/>
      <c r="X188" s="282"/>
      <c r="Y188" s="282"/>
      <c r="Z188" s="282"/>
      <c r="AA188" s="282"/>
      <c r="AB188" s="282"/>
      <c r="AC188" s="282"/>
      <c r="AD188" s="282"/>
      <c r="AE188" s="282"/>
      <c r="AF188" s="282"/>
      <c r="AG188" s="282"/>
      <c r="AH188" s="282"/>
      <c r="AI188" s="282"/>
      <c r="AJ188" s="283"/>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IF([7]回答表!AA44="○","○","")</f>
        <v/>
      </c>
      <c r="O189" s="98"/>
      <c r="P189" s="98"/>
      <c r="Q189" s="99"/>
      <c r="R189" s="39"/>
      <c r="S189" s="39"/>
      <c r="T189" s="39"/>
      <c r="U189" s="281"/>
      <c r="V189" s="282"/>
      <c r="W189" s="282"/>
      <c r="X189" s="282"/>
      <c r="Y189" s="282"/>
      <c r="Z189" s="282"/>
      <c r="AA189" s="282"/>
      <c r="AB189" s="282"/>
      <c r="AC189" s="282"/>
      <c r="AD189" s="282"/>
      <c r="AE189" s="282"/>
      <c r="AF189" s="282"/>
      <c r="AG189" s="282"/>
      <c r="AH189" s="282"/>
      <c r="AI189" s="282"/>
      <c r="AJ189" s="283"/>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281"/>
      <c r="V190" s="282"/>
      <c r="W190" s="282"/>
      <c r="X190" s="282"/>
      <c r="Y190" s="282"/>
      <c r="Z190" s="282"/>
      <c r="AA190" s="282"/>
      <c r="AB190" s="282"/>
      <c r="AC190" s="282"/>
      <c r="AD190" s="282"/>
      <c r="AE190" s="282"/>
      <c r="AF190" s="282"/>
      <c r="AG190" s="282"/>
      <c r="AH190" s="282"/>
      <c r="AI190" s="282"/>
      <c r="AJ190" s="283"/>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281"/>
      <c r="V191" s="282"/>
      <c r="W191" s="282"/>
      <c r="X191" s="282"/>
      <c r="Y191" s="282"/>
      <c r="Z191" s="282"/>
      <c r="AA191" s="282"/>
      <c r="AB191" s="282"/>
      <c r="AC191" s="282"/>
      <c r="AD191" s="282"/>
      <c r="AE191" s="282"/>
      <c r="AF191" s="282"/>
      <c r="AG191" s="282"/>
      <c r="AH191" s="282"/>
      <c r="AI191" s="282"/>
      <c r="AJ191" s="283"/>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284"/>
      <c r="V192" s="285"/>
      <c r="W192" s="285"/>
      <c r="X192" s="285"/>
      <c r="Y192" s="285"/>
      <c r="Z192" s="285"/>
      <c r="AA192" s="285"/>
      <c r="AB192" s="285"/>
      <c r="AC192" s="285"/>
      <c r="AD192" s="285"/>
      <c r="AE192" s="285"/>
      <c r="AF192" s="285"/>
      <c r="AG192" s="285"/>
      <c r="AH192" s="285"/>
      <c r="AI192" s="285"/>
      <c r="AJ192" s="286"/>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IF([7]回答表!AD44="○","○","")</f>
        <v/>
      </c>
      <c r="O195" s="98"/>
      <c r="P195" s="98"/>
      <c r="Q195" s="99"/>
      <c r="R195" s="39"/>
      <c r="S195" s="39"/>
      <c r="T195" s="39"/>
      <c r="U195" s="106" t="str">
        <f>IF([7]回答表!AD44="○",[7]回答表!B296,"")</f>
        <v/>
      </c>
      <c r="V195" s="107"/>
      <c r="W195" s="107"/>
      <c r="X195" s="107"/>
      <c r="Y195" s="107"/>
      <c r="Z195" s="107"/>
      <c r="AA195" s="107"/>
      <c r="AB195" s="107"/>
      <c r="AC195" s="107"/>
      <c r="AD195" s="107"/>
      <c r="AE195" s="107"/>
      <c r="AF195" s="107"/>
      <c r="AG195" s="107"/>
      <c r="AH195" s="107"/>
      <c r="AI195" s="107"/>
      <c r="AJ195" s="108"/>
      <c r="AK195" s="61"/>
      <c r="AL195" s="61"/>
      <c r="AM195" s="106" t="str">
        <f>IF([7]回答表!AD44="○",[7]回答表!B302,"")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IF([7]回答表!X45="○","○","")</f>
        <v/>
      </c>
      <c r="O207" s="98"/>
      <c r="P207" s="98"/>
      <c r="Q207" s="99"/>
      <c r="R207" s="39"/>
      <c r="S207" s="39"/>
      <c r="T207" s="39"/>
      <c r="U207" s="106" t="str">
        <f>IF([7]回答表!X45="○",[7]回答表!B314,IF([7]回答表!AA45="○",[7]回答表!B337,""))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IF([7]回答表!X45="○",[7]回答表!B320,"")</f>
        <v/>
      </c>
      <c r="AO207" s="164"/>
      <c r="AP207" s="164"/>
      <c r="AQ207" s="164"/>
      <c r="AR207" s="164"/>
      <c r="AS207" s="164"/>
      <c r="AT207" s="164"/>
      <c r="AU207" s="164"/>
      <c r="AV207" s="164"/>
      <c r="AW207" s="164"/>
      <c r="AX207" s="164"/>
      <c r="AY207" s="164"/>
      <c r="AZ207" s="164"/>
      <c r="BA207" s="164"/>
      <c r="BB207" s="165"/>
      <c r="BC207" s="40"/>
      <c r="BD207" s="35"/>
      <c r="BE207" s="115" t="str">
        <f>IF([7]回答表!X45="○",[7]回答表!B326,IF([7]回答表!AA45="○",[7]回答表!B343,""))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IF([7]回答表!X45="○",[7]回答表!E326,IF([7]回答表!AA45="○",[7]回答表!E343,""))</f>
        <v/>
      </c>
      <c r="BF210" s="83"/>
      <c r="BG210" s="83"/>
      <c r="BH210" s="83"/>
      <c r="BI210" s="82" t="str">
        <f>IF([7]回答表!X45="○",[7]回答表!E327,IF([7]回答表!AA45="○",[7]回答表!E344,""))</f>
        <v/>
      </c>
      <c r="BJ210" s="83"/>
      <c r="BK210" s="83"/>
      <c r="BL210" s="86"/>
      <c r="BM210" s="82" t="str">
        <f>IF([7]回答表!X45="○",[7]回答表!E328,IF([7]回答表!AA45="○",[7]回答表!E345,""))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IF([7]回答表!AA45="○","○","")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IF([7]回答表!AD45="○","○","")</f>
        <v/>
      </c>
      <c r="O219" s="98"/>
      <c r="P219" s="98"/>
      <c r="Q219" s="99"/>
      <c r="R219" s="39"/>
      <c r="S219" s="39"/>
      <c r="T219" s="39"/>
      <c r="U219" s="106" t="str">
        <f>IF([7]回答表!AD45="○",[7]回答表!B350,"")</f>
        <v/>
      </c>
      <c r="V219" s="107"/>
      <c r="W219" s="107"/>
      <c r="X219" s="107"/>
      <c r="Y219" s="107"/>
      <c r="Z219" s="107"/>
      <c r="AA219" s="107"/>
      <c r="AB219" s="107"/>
      <c r="AC219" s="107"/>
      <c r="AD219" s="107"/>
      <c r="AE219" s="107"/>
      <c r="AF219" s="107"/>
      <c r="AG219" s="107"/>
      <c r="AH219" s="107"/>
      <c r="AI219" s="107"/>
      <c r="AJ219" s="108"/>
      <c r="AK219" s="61"/>
      <c r="AL219" s="61"/>
      <c r="AM219" s="106" t="str">
        <f>IF([7]回答表!AD45="○",[7]回答表!B356,"")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IF([7]回答表!X46="○","○","")</f>
        <v/>
      </c>
      <c r="O231" s="98"/>
      <c r="P231" s="98"/>
      <c r="Q231" s="99"/>
      <c r="R231" s="39"/>
      <c r="S231" s="39"/>
      <c r="T231" s="39"/>
      <c r="U231" s="106" t="str">
        <f>IF([7]回答表!X46="○",[7]回答表!B368,IF([7]回答表!AA46="○",[7]回答表!B382,""))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IF([7]回答表!X46="○",[7]回答表!BC375,IF([7]回答表!AA46="○",[7]回答表!BC389,""))</f>
        <v/>
      </c>
      <c r="AR231" s="150"/>
      <c r="AS231" s="150"/>
      <c r="AT231" s="150"/>
      <c r="AU231" s="155" t="s">
        <v>63</v>
      </c>
      <c r="AV231" s="156"/>
      <c r="AW231" s="156"/>
      <c r="AX231" s="157"/>
      <c r="AY231" s="150" t="str">
        <f>IF([7]回答表!X46="○",[7]回答表!BC380,IF([7]回答表!AA46="○",[7]回答表!BC394,""))</f>
        <v/>
      </c>
      <c r="AZ231" s="150"/>
      <c r="BA231" s="150"/>
      <c r="BB231" s="150"/>
      <c r="BC231" s="40"/>
      <c r="BD231" s="35"/>
      <c r="BE231" s="115" t="str">
        <f>IF([7]回答表!X46="○",[7]回答表!S374,IF([7]回答表!AA46="○",[7]回答表!S388,""))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IF([7]回答表!X46="○",[7]回答表!BC376,IF([7]回答表!AA46="○",[7]回答表!BC390,""))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IF([7]回答表!X46="○",[7]回答表!V374,IF([7]回答表!AA46="○",[7]回答表!V388,""))</f>
        <v/>
      </c>
      <c r="BF234" s="83"/>
      <c r="BG234" s="83"/>
      <c r="BH234" s="83"/>
      <c r="BI234" s="82" t="str">
        <f>IF([7]回答表!X46="○",[7]回答表!V375,IF([7]回答表!AA46="○",[7]回答表!V389,""))</f>
        <v/>
      </c>
      <c r="BJ234" s="83"/>
      <c r="BK234" s="83"/>
      <c r="BL234" s="86"/>
      <c r="BM234" s="82" t="str">
        <f>IF([7]回答表!X46="○",[7]回答表!V376,IF([7]回答表!AA46="○",[7]回答表!V390,""))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IF([7]回答表!X46="○",[7]回答表!BC377,IF([7]回答表!AA46="○",[7]回答表!BC391,""))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IF([7]回答表!X46="○",[7]回答表!BC381,IF([7]回答表!AA46="○",[7]回答表!BC395,""))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IF([7]回答表!AA46="○","○","")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IF([7]回答表!X46="○",[7]回答表!BC378,IF([7]回答表!AA46="○",[7]回答表!BC392,""))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IF([7]回答表!X46="○",[7]回答表!BC379,IF([7]回答表!AA46="○",[7]回答表!BC393,""))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IF([7]回答表!AD46="○","○","")</f>
        <v/>
      </c>
      <c r="O243" s="98"/>
      <c r="P243" s="98"/>
      <c r="Q243" s="99"/>
      <c r="R243" s="39"/>
      <c r="S243" s="39"/>
      <c r="T243" s="39"/>
      <c r="U243" s="106" t="str">
        <f>IF([7]回答表!AD46="○",[7]回答表!B396,"")</f>
        <v/>
      </c>
      <c r="V243" s="107"/>
      <c r="W243" s="107"/>
      <c r="X243" s="107"/>
      <c r="Y243" s="107"/>
      <c r="Z243" s="107"/>
      <c r="AA243" s="107"/>
      <c r="AB243" s="107"/>
      <c r="AC243" s="107"/>
      <c r="AD243" s="107"/>
      <c r="AE243" s="107"/>
      <c r="AF243" s="107"/>
      <c r="AG243" s="107"/>
      <c r="AH243" s="107"/>
      <c r="AI243" s="107"/>
      <c r="AJ243" s="108"/>
      <c r="AK243" s="56"/>
      <c r="AL243" s="56"/>
      <c r="AM243" s="106" t="str">
        <f>IF([7]回答表!AD46="○",[7]回答表!B402,"")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IF([7]回答表!X47="○","○","")</f>
        <v/>
      </c>
      <c r="O254" s="98"/>
      <c r="P254" s="98"/>
      <c r="Q254" s="99"/>
      <c r="R254" s="39"/>
      <c r="S254" s="39"/>
      <c r="T254" s="39"/>
      <c r="U254" s="106" t="str">
        <f>IF([7]回答表!X47="○",[7]回答表!B414,IF([7]回答表!AA47="○",[7]回答表!B431,""))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IF([7]回答表!X47="○",[7]回答表!B424,IF([7]回答表!AA47="○",[7]回答表!B441,""))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IF([7]回答表!X47="○",[7]回答表!G420,IF([7]回答表!AA47="○",[7]回答表!G437,""))</f>
        <v/>
      </c>
      <c r="AN256" s="119"/>
      <c r="AO256" s="119"/>
      <c r="AP256" s="119"/>
      <c r="AQ256" s="119"/>
      <c r="AR256" s="119"/>
      <c r="AS256" s="119"/>
      <c r="AT256" s="120"/>
      <c r="AU256" s="118" t="str">
        <f>IF([7]回答表!X47="○",[7]回答表!G421,IF([7]回答表!AA47="○",[7]回答表!G438,""))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IF([7]回答表!X47="○",[7]回答表!E424,IF([7]回答表!AA47="○",[7]回答表!E441,""))</f>
        <v/>
      </c>
      <c r="BF257" s="83"/>
      <c r="BG257" s="83"/>
      <c r="BH257" s="83"/>
      <c r="BI257" s="82" t="str">
        <f>IF([7]回答表!X47="○",[7]回答表!E425,IF([7]回答表!AA47="○",[7]回答表!E442,""))</f>
        <v/>
      </c>
      <c r="BJ257" s="83"/>
      <c r="BK257" s="83"/>
      <c r="BL257" s="86"/>
      <c r="BM257" s="82" t="str">
        <f>IF([7]回答表!X47="○",[7]回答表!E426,IF([7]回答表!AA47="○",[7]回答表!E443,""))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IF([7]回答表!AA47="○","○","")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IF([7]回答表!AD47="○","○","")</f>
        <v/>
      </c>
      <c r="O266" s="98"/>
      <c r="P266" s="98"/>
      <c r="Q266" s="99"/>
      <c r="R266" s="39"/>
      <c r="S266" s="39"/>
      <c r="T266" s="39"/>
      <c r="U266" s="106" t="str">
        <f>IF([7]回答表!AD47="○",[7]回答表!B448,"")</f>
        <v/>
      </c>
      <c r="V266" s="107"/>
      <c r="W266" s="107"/>
      <c r="X266" s="107"/>
      <c r="Y266" s="107"/>
      <c r="Z266" s="107"/>
      <c r="AA266" s="107"/>
      <c r="AB266" s="107"/>
      <c r="AC266" s="107"/>
      <c r="AD266" s="107"/>
      <c r="AE266" s="107"/>
      <c r="AF266" s="107"/>
      <c r="AG266" s="107"/>
      <c r="AH266" s="107"/>
      <c r="AI266" s="107"/>
      <c r="AJ266" s="108"/>
      <c r="AK266" s="50"/>
      <c r="AL266" s="50"/>
      <c r="AM266" s="106" t="str">
        <f>IF([7]回答表!AD47="○",[7]回答表!B454,"")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IF([7]回答表!R48="○",[7]回答表!B467,"")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B0C31-50E5-4DB7-A162-3422EEE1E2AE}">
  <sheetPr>
    <pageSetUpPr fitToPage="1"/>
  </sheetPr>
  <dimension ref="A1:CE298"/>
  <sheetViews>
    <sheetView showZeros="0" zoomScale="55" zoomScaleNormal="55" workbookViewId="0">
      <selection activeCell="U52" sqref="U52:AJ55"/>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IF(COUNTIF([11]回答表!K15,"*")&gt;0,[11]回答表!K15,"")</f>
        <v>仙北市</v>
      </c>
      <c r="D11" s="255"/>
      <c r="E11" s="255"/>
      <c r="F11" s="255"/>
      <c r="G11" s="255"/>
      <c r="H11" s="255"/>
      <c r="I11" s="255"/>
      <c r="J11" s="255"/>
      <c r="K11" s="255"/>
      <c r="L11" s="255"/>
      <c r="M11" s="255"/>
      <c r="N11" s="255"/>
      <c r="O11" s="255"/>
      <c r="P11" s="255"/>
      <c r="Q11" s="255"/>
      <c r="R11" s="255"/>
      <c r="S11" s="255"/>
      <c r="T11" s="255"/>
      <c r="U11" s="262" t="str">
        <f>IF(COUNTIF([11]回答表!F17,"*")&gt;0,[11]回答表!F17,"")</f>
        <v>簡易水道事業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IF(COUNTIF([11]回答表!W17,"*")&gt;0,[11]回答表!W17,"")</f>
        <v>―</v>
      </c>
      <c r="AP11" s="257"/>
      <c r="AQ11" s="257"/>
      <c r="AR11" s="257"/>
      <c r="AS11" s="257"/>
      <c r="AT11" s="257"/>
      <c r="AU11" s="257"/>
      <c r="AV11" s="257"/>
      <c r="AW11" s="257"/>
      <c r="AX11" s="257"/>
      <c r="AY11" s="257"/>
      <c r="AZ11" s="257"/>
      <c r="BA11" s="257"/>
      <c r="BB11" s="257"/>
      <c r="BC11" s="257"/>
      <c r="BD11" s="257"/>
      <c r="BE11" s="258"/>
      <c r="BF11" s="261" t="str">
        <f>IF(COUNTIF([11]回答表!F19,"*")&gt;0,[11]回答表!F19,"")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IF([11]回答表!R41="○","○","")</f>
        <v>○</v>
      </c>
      <c r="E24" s="122"/>
      <c r="F24" s="122"/>
      <c r="G24" s="122"/>
      <c r="H24" s="122"/>
      <c r="I24" s="122"/>
      <c r="J24" s="123"/>
      <c r="K24" s="121" t="str">
        <f>IF([11]回答表!R42="○","○","")</f>
        <v/>
      </c>
      <c r="L24" s="122"/>
      <c r="M24" s="122"/>
      <c r="N24" s="122"/>
      <c r="O24" s="122"/>
      <c r="P24" s="122"/>
      <c r="Q24" s="123"/>
      <c r="R24" s="121" t="str">
        <f>IF([11]回答表!R43="○","○","")</f>
        <v/>
      </c>
      <c r="S24" s="122"/>
      <c r="T24" s="122"/>
      <c r="U24" s="122"/>
      <c r="V24" s="122"/>
      <c r="W24" s="122"/>
      <c r="X24" s="123"/>
      <c r="Y24" s="121" t="str">
        <f>IF([11]回答表!R44="○","○","")</f>
        <v/>
      </c>
      <c r="Z24" s="122"/>
      <c r="AA24" s="122"/>
      <c r="AB24" s="122"/>
      <c r="AC24" s="122"/>
      <c r="AD24" s="122"/>
      <c r="AE24" s="123"/>
      <c r="AF24" s="121" t="str">
        <f>IF([11]回答表!R45="○","○","")</f>
        <v/>
      </c>
      <c r="AG24" s="122"/>
      <c r="AH24" s="122"/>
      <c r="AI24" s="122"/>
      <c r="AJ24" s="122"/>
      <c r="AK24" s="122"/>
      <c r="AL24" s="123"/>
      <c r="AM24" s="121" t="str">
        <f>IF([11]回答表!R46="○","○","")</f>
        <v/>
      </c>
      <c r="AN24" s="122"/>
      <c r="AO24" s="122"/>
      <c r="AP24" s="122"/>
      <c r="AQ24" s="122"/>
      <c r="AR24" s="122"/>
      <c r="AS24" s="123"/>
      <c r="AT24" s="121" t="str">
        <f>IF([11]回答表!R47="○","○","")</f>
        <v/>
      </c>
      <c r="AU24" s="122"/>
      <c r="AV24" s="122"/>
      <c r="AW24" s="122"/>
      <c r="AX24" s="122"/>
      <c r="AY24" s="122"/>
      <c r="AZ24" s="123"/>
      <c r="BA24" s="19"/>
      <c r="BB24" s="118" t="str">
        <f>IF([11]回答表!R48="○","○","")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IF([11]回答表!X41="○","○","")</f>
        <v>○</v>
      </c>
      <c r="O36" s="98"/>
      <c r="P36" s="98"/>
      <c r="Q36" s="99"/>
      <c r="R36" s="39"/>
      <c r="S36" s="39"/>
      <c r="T36" s="39"/>
      <c r="U36" s="269" t="str">
        <f>IF([11]回答表!X41="○",[11]回答表!B56,IF([11]回答表!AA41="○",[11]回答表!B76,""))</f>
        <v>本市水道事業へと統合した。その効果として、建設改良費・維持管理費・人件費・施設数・職員数・料金等については、従前のままであまり変化はなく特段記載する事項はなかったが、法適用により公営企業会計となることで以前よりも見える化が図られた。</v>
      </c>
      <c r="V36" s="270"/>
      <c r="W36" s="270"/>
      <c r="X36" s="270"/>
      <c r="Y36" s="270"/>
      <c r="Z36" s="270"/>
      <c r="AA36" s="270"/>
      <c r="AB36" s="270"/>
      <c r="AC36" s="270"/>
      <c r="AD36" s="270"/>
      <c r="AE36" s="270"/>
      <c r="AF36" s="270"/>
      <c r="AG36" s="270"/>
      <c r="AH36" s="270"/>
      <c r="AI36" s="270"/>
      <c r="AJ36" s="271"/>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IF([11]回答表!X41="○",[11]回答表!S62,IF([11]回答表!AA41="○",[11]回答表!S82,""))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272"/>
      <c r="V37" s="273"/>
      <c r="W37" s="273"/>
      <c r="X37" s="273"/>
      <c r="Y37" s="273"/>
      <c r="Z37" s="273"/>
      <c r="AA37" s="273"/>
      <c r="AB37" s="273"/>
      <c r="AC37" s="273"/>
      <c r="AD37" s="273"/>
      <c r="AE37" s="273"/>
      <c r="AF37" s="273"/>
      <c r="AG37" s="273"/>
      <c r="AH37" s="273"/>
      <c r="AI37" s="273"/>
      <c r="AJ37" s="274"/>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272"/>
      <c r="V38" s="273"/>
      <c r="W38" s="273"/>
      <c r="X38" s="273"/>
      <c r="Y38" s="273"/>
      <c r="Z38" s="273"/>
      <c r="AA38" s="273"/>
      <c r="AB38" s="273"/>
      <c r="AC38" s="273"/>
      <c r="AD38" s="273"/>
      <c r="AE38" s="273"/>
      <c r="AF38" s="273"/>
      <c r="AG38" s="273"/>
      <c r="AH38" s="273"/>
      <c r="AI38" s="273"/>
      <c r="AJ38" s="274"/>
      <c r="AK38" s="50"/>
      <c r="AL38" s="50"/>
      <c r="AM38" s="118" t="str">
        <f>IF([11]回答表!X41="○",[11]回答表!G62,IF([11]回答表!AA41="○",[11]回答表!G82,""))</f>
        <v>○</v>
      </c>
      <c r="AN38" s="119"/>
      <c r="AO38" s="119"/>
      <c r="AP38" s="119"/>
      <c r="AQ38" s="119"/>
      <c r="AR38" s="119"/>
      <c r="AS38" s="119"/>
      <c r="AT38" s="120"/>
      <c r="AU38" s="118">
        <f>IF([11]回答表!X41="○",[11]回答表!G63,IF([11]回答表!AA41="○",[11]回答表!G83,""))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272"/>
      <c r="V39" s="273"/>
      <c r="W39" s="273"/>
      <c r="X39" s="273"/>
      <c r="Y39" s="273"/>
      <c r="Z39" s="273"/>
      <c r="AA39" s="273"/>
      <c r="AB39" s="273"/>
      <c r="AC39" s="273"/>
      <c r="AD39" s="273"/>
      <c r="AE39" s="273"/>
      <c r="AF39" s="273"/>
      <c r="AG39" s="273"/>
      <c r="AH39" s="273"/>
      <c r="AI39" s="273"/>
      <c r="AJ39" s="274"/>
      <c r="AK39" s="50"/>
      <c r="AL39" s="50"/>
      <c r="AM39" s="121"/>
      <c r="AN39" s="122"/>
      <c r="AO39" s="122"/>
      <c r="AP39" s="122"/>
      <c r="AQ39" s="122"/>
      <c r="AR39" s="122"/>
      <c r="AS39" s="122"/>
      <c r="AT39" s="123"/>
      <c r="AU39" s="121"/>
      <c r="AV39" s="122"/>
      <c r="AW39" s="122"/>
      <c r="AX39" s="122"/>
      <c r="AY39" s="122"/>
      <c r="AZ39" s="122"/>
      <c r="BA39" s="122"/>
      <c r="BB39" s="123"/>
      <c r="BC39" s="40"/>
      <c r="BD39" s="35"/>
      <c r="BE39" s="82">
        <f>IF([11]回答表!X41="○",[11]回答表!V62,IF([11]回答表!AA41="○",[11]回答表!V82,""))</f>
        <v>29</v>
      </c>
      <c r="BF39" s="208"/>
      <c r="BG39" s="208"/>
      <c r="BH39" s="209"/>
      <c r="BI39" s="82">
        <f>IF([11]回答表!X41="○",[11]回答表!V63,IF([11]回答表!AA41="○",[11]回答表!V83,""))</f>
        <v>3</v>
      </c>
      <c r="BJ39" s="208"/>
      <c r="BK39" s="208"/>
      <c r="BL39" s="209"/>
      <c r="BM39" s="82">
        <f>IF([11]回答表!X41="○",[11]回答表!V64,IF([11]回答表!AA41="○",[11]回答表!V84,""))</f>
        <v>31</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272"/>
      <c r="V40" s="273"/>
      <c r="W40" s="273"/>
      <c r="X40" s="273"/>
      <c r="Y40" s="273"/>
      <c r="Z40" s="273"/>
      <c r="AA40" s="273"/>
      <c r="AB40" s="273"/>
      <c r="AC40" s="273"/>
      <c r="AD40" s="273"/>
      <c r="AE40" s="273"/>
      <c r="AF40" s="273"/>
      <c r="AG40" s="273"/>
      <c r="AH40" s="273"/>
      <c r="AI40" s="273"/>
      <c r="AJ40" s="274"/>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272"/>
      <c r="V41" s="273"/>
      <c r="W41" s="273"/>
      <c r="X41" s="273"/>
      <c r="Y41" s="273"/>
      <c r="Z41" s="273"/>
      <c r="AA41" s="273"/>
      <c r="AB41" s="273"/>
      <c r="AC41" s="273"/>
      <c r="AD41" s="273"/>
      <c r="AE41" s="273"/>
      <c r="AF41" s="273"/>
      <c r="AG41" s="273"/>
      <c r="AH41" s="273"/>
      <c r="AI41" s="273"/>
      <c r="AJ41" s="274"/>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272"/>
      <c r="V42" s="273"/>
      <c r="W42" s="273"/>
      <c r="X42" s="273"/>
      <c r="Y42" s="273"/>
      <c r="Z42" s="273"/>
      <c r="AA42" s="273"/>
      <c r="AB42" s="273"/>
      <c r="AC42" s="273"/>
      <c r="AD42" s="273"/>
      <c r="AE42" s="273"/>
      <c r="AF42" s="273"/>
      <c r="AG42" s="273"/>
      <c r="AH42" s="273"/>
      <c r="AI42" s="273"/>
      <c r="AJ42" s="274"/>
      <c r="AK42" s="50"/>
      <c r="AL42" s="50"/>
      <c r="AM42" s="206">
        <f>IF([11]回答表!X41="○",[11]回答表!O68,IF([11]回答表!AA41="○",[11]回答表!O88,""))</f>
        <v>0</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272"/>
      <c r="V43" s="273"/>
      <c r="W43" s="273"/>
      <c r="X43" s="273"/>
      <c r="Y43" s="273"/>
      <c r="Z43" s="273"/>
      <c r="AA43" s="273"/>
      <c r="AB43" s="273"/>
      <c r="AC43" s="273"/>
      <c r="AD43" s="273"/>
      <c r="AE43" s="273"/>
      <c r="AF43" s="273"/>
      <c r="AG43" s="273"/>
      <c r="AH43" s="273"/>
      <c r="AI43" s="273"/>
      <c r="AJ43" s="274"/>
      <c r="AK43" s="50"/>
      <c r="AL43" s="50"/>
      <c r="AM43" s="206">
        <f>IF([11]回答表!X41="○",[11]回答表!O69,IF([11]回答表!AA41="○",[11]回答表!O89,""))</f>
        <v>0</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IF([11]回答表!AA41="○","○","")</f>
        <v/>
      </c>
      <c r="O44" s="98"/>
      <c r="P44" s="98"/>
      <c r="Q44" s="99"/>
      <c r="R44" s="39"/>
      <c r="S44" s="39"/>
      <c r="T44" s="39"/>
      <c r="U44" s="272"/>
      <c r="V44" s="273"/>
      <c r="W44" s="273"/>
      <c r="X44" s="273"/>
      <c r="Y44" s="273"/>
      <c r="Z44" s="273"/>
      <c r="AA44" s="273"/>
      <c r="AB44" s="273"/>
      <c r="AC44" s="273"/>
      <c r="AD44" s="273"/>
      <c r="AE44" s="273"/>
      <c r="AF44" s="273"/>
      <c r="AG44" s="273"/>
      <c r="AH44" s="273"/>
      <c r="AI44" s="273"/>
      <c r="AJ44" s="274"/>
      <c r="AK44" s="50"/>
      <c r="AL44" s="50"/>
      <c r="AM44" s="206">
        <f>IF([11]回答表!X41="○",[11]回答表!O70,IF([11]回答表!AA41="○",[11]回答表!O90,""))</f>
        <v>0</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272"/>
      <c r="V45" s="273"/>
      <c r="W45" s="273"/>
      <c r="X45" s="273"/>
      <c r="Y45" s="273"/>
      <c r="Z45" s="273"/>
      <c r="AA45" s="273"/>
      <c r="AB45" s="273"/>
      <c r="AC45" s="273"/>
      <c r="AD45" s="273"/>
      <c r="AE45" s="273"/>
      <c r="AF45" s="273"/>
      <c r="AG45" s="273"/>
      <c r="AH45" s="273"/>
      <c r="AI45" s="273"/>
      <c r="AJ45" s="274"/>
      <c r="AK45" s="50"/>
      <c r="AL45" s="50"/>
      <c r="AM45" s="206">
        <f>IF([11]回答表!X41="○",[11]回答表!O71,IF([11]回答表!AA41="○",[11]回答表!O91,""))</f>
        <v>0</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272"/>
      <c r="V46" s="273"/>
      <c r="W46" s="273"/>
      <c r="X46" s="273"/>
      <c r="Y46" s="273"/>
      <c r="Z46" s="273"/>
      <c r="AA46" s="273"/>
      <c r="AB46" s="273"/>
      <c r="AC46" s="273"/>
      <c r="AD46" s="273"/>
      <c r="AE46" s="273"/>
      <c r="AF46" s="273"/>
      <c r="AG46" s="273"/>
      <c r="AH46" s="273"/>
      <c r="AI46" s="273"/>
      <c r="AJ46" s="274"/>
      <c r="AK46" s="50"/>
      <c r="AL46" s="50"/>
      <c r="AM46" s="206">
        <f>IF([11]回答表!X41="○",[11]回答表!AG68,IF([11]回答表!AA41="○",[11]回答表!AG88,""))</f>
        <v>0</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275"/>
      <c r="V47" s="276"/>
      <c r="W47" s="276"/>
      <c r="X47" s="276"/>
      <c r="Y47" s="276"/>
      <c r="Z47" s="276"/>
      <c r="AA47" s="276"/>
      <c r="AB47" s="276"/>
      <c r="AC47" s="276"/>
      <c r="AD47" s="276"/>
      <c r="AE47" s="276"/>
      <c r="AF47" s="276"/>
      <c r="AG47" s="276"/>
      <c r="AH47" s="276"/>
      <c r="AI47" s="276"/>
      <c r="AJ47" s="277"/>
      <c r="AK47" s="50"/>
      <c r="AL47" s="50"/>
      <c r="AM47" s="206">
        <f>IF([11]回答表!X41="○",[11]回答表!AG69,IF([11]回答表!AA41="○",[11]回答表!AG89,""))</f>
        <v>0</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IF([11]回答表!X41="○",[11]回答表!AG70,IF([11]回答表!AA41="○",[11]回答表!AG90,""))</f>
        <v>○</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IF([11]回答表!AD41="○","○","")</f>
        <v/>
      </c>
      <c r="O52" s="98"/>
      <c r="P52" s="98"/>
      <c r="Q52" s="99"/>
      <c r="R52" s="39"/>
      <c r="S52" s="39"/>
      <c r="T52" s="39"/>
      <c r="U52" s="106" t="str">
        <f>IF([11]回答表!AD41="○",[11]回答表!B96,"")</f>
        <v/>
      </c>
      <c r="V52" s="107"/>
      <c r="W52" s="107"/>
      <c r="X52" s="107"/>
      <c r="Y52" s="107"/>
      <c r="Z52" s="107"/>
      <c r="AA52" s="107"/>
      <c r="AB52" s="107"/>
      <c r="AC52" s="107"/>
      <c r="AD52" s="107"/>
      <c r="AE52" s="107"/>
      <c r="AF52" s="107"/>
      <c r="AG52" s="107"/>
      <c r="AH52" s="107"/>
      <c r="AI52" s="107"/>
      <c r="AJ52" s="108"/>
      <c r="AK52" s="56"/>
      <c r="AL52" s="56"/>
      <c r="AM52" s="106" t="str">
        <f>IF([11]回答表!AD41="○",[11]回答表!B101,"")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IF([11]回答表!X42="○","○","")</f>
        <v/>
      </c>
      <c r="O63" s="98"/>
      <c r="P63" s="98"/>
      <c r="Q63" s="99"/>
      <c r="R63" s="39"/>
      <c r="S63" s="39"/>
      <c r="T63" s="39"/>
      <c r="U63" s="106" t="str">
        <f>IF([11]回答表!X42="○",[11]回答表!B111,IF([11]回答表!AA42="○",[11]回答表!B124,""))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IF([11]回答表!X42="○",[11]回答表!S117,IF([11]回答表!AA42="○",[11]回答表!S130,""))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IF([11]回答表!X42="○",[11]回答表!J117,IF([11]回答表!AA42="○",[11]回答表!J130,""))</f>
        <v/>
      </c>
      <c r="AN66" s="119"/>
      <c r="AO66" s="119"/>
      <c r="AP66" s="119"/>
      <c r="AQ66" s="119"/>
      <c r="AR66" s="119"/>
      <c r="AS66" s="119"/>
      <c r="AT66" s="120"/>
      <c r="AU66" s="118" t="str">
        <f>IF([11]回答表!X42="○",[11]回答表!J118,IF([11]回答表!AA42="○",[11]回答表!J131,""))</f>
        <v/>
      </c>
      <c r="AV66" s="119"/>
      <c r="AW66" s="119"/>
      <c r="AX66" s="119"/>
      <c r="AY66" s="119"/>
      <c r="AZ66" s="119"/>
      <c r="BA66" s="119"/>
      <c r="BB66" s="120"/>
      <c r="BC66" s="40"/>
      <c r="BD66" s="35"/>
      <c r="BE66" s="82" t="str">
        <f>IF([11]回答表!X42="○",[11]回答表!V117,IF([11]回答表!AA42="○",[11]回答表!V130,""))</f>
        <v/>
      </c>
      <c r="BF66" s="83"/>
      <c r="BG66" s="83"/>
      <c r="BH66" s="83"/>
      <c r="BI66" s="82" t="str">
        <f>IF([11]回答表!X42="○",[11]回答表!V118,IF([11]回答表!AA42="○",[11]回答表!V131,""))</f>
        <v/>
      </c>
      <c r="BJ66" s="83"/>
      <c r="BK66" s="83"/>
      <c r="BL66" s="83"/>
      <c r="BM66" s="82" t="str">
        <f>IF([11]回答表!X42="○",[11]回答表!V119,IF([11]回答表!AA42="○",[11]回答表!V132,""))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IF([11]回答表!AD42="○","○","")</f>
        <v/>
      </c>
      <c r="O75" s="98"/>
      <c r="P75" s="98"/>
      <c r="Q75" s="99"/>
      <c r="R75" s="39"/>
      <c r="S75" s="39"/>
      <c r="T75" s="39"/>
      <c r="U75" s="106" t="str">
        <f>IF([11]回答表!AD42="○",[11]回答表!B137,"")</f>
        <v/>
      </c>
      <c r="V75" s="107"/>
      <c r="W75" s="107"/>
      <c r="X75" s="107"/>
      <c r="Y75" s="107"/>
      <c r="Z75" s="107"/>
      <c r="AA75" s="107"/>
      <c r="AB75" s="107"/>
      <c r="AC75" s="107"/>
      <c r="AD75" s="107"/>
      <c r="AE75" s="107"/>
      <c r="AF75" s="107"/>
      <c r="AG75" s="107"/>
      <c r="AH75" s="107"/>
      <c r="AI75" s="107"/>
      <c r="AJ75" s="108"/>
      <c r="AK75" s="56"/>
      <c r="AL75" s="56"/>
      <c r="AM75" s="106" t="str">
        <f>IF([11]回答表!AD42="○",[11]回答表!B143,"")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IF([11]回答表!F17="水道事業",IF([11]回答表!X43="○","○",""),"")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IF([11]回答表!F17="水道事業",IF([11]回答表!X43="○",[11]回答表!B154,IF([11]回答表!AA43="○",[11]回答表!B201,"")),"")</f>
        <v/>
      </c>
      <c r="AN87" s="107"/>
      <c r="AO87" s="107"/>
      <c r="AP87" s="107"/>
      <c r="AQ87" s="107"/>
      <c r="AR87" s="107"/>
      <c r="AS87" s="107"/>
      <c r="AT87" s="107"/>
      <c r="AU87" s="107"/>
      <c r="AV87" s="107"/>
      <c r="AW87" s="107"/>
      <c r="AX87" s="107"/>
      <c r="AY87" s="107"/>
      <c r="AZ87" s="107"/>
      <c r="BA87" s="107"/>
      <c r="BB87" s="108"/>
      <c r="BC87" s="40"/>
      <c r="BD87" s="35"/>
      <c r="BE87" s="115" t="str">
        <f>IF([11]回答表!F17="水道事業",IF([11]回答表!X43="○",[11]回答表!B190,IF([11]回答表!AA43="○",[11]回答表!B238,"")),"")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IF([11]回答表!F17="水道事業",IF([11]回答表!X43="○",[11]回答表!J162,IF([11]回答表!AA43="○",[11]回答表!J209,"")),"")</f>
        <v/>
      </c>
      <c r="V89" s="119"/>
      <c r="W89" s="119"/>
      <c r="X89" s="119"/>
      <c r="Y89" s="119"/>
      <c r="Z89" s="119"/>
      <c r="AA89" s="119"/>
      <c r="AB89" s="120"/>
      <c r="AC89" s="118" t="str">
        <f>IF([11]回答表!F17="水道事業",IF([11]回答表!X43="○",[11]回答表!J169,IF([11]回答表!AA43="○",[11]回答表!J216,"")),"")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IF([11]回答表!F17="水道事業",IF([11]回答表!X43="○",[11]回答表!E190,IF([11]回答表!AA43="○",[11]回答表!E238,"")),"")</f>
        <v/>
      </c>
      <c r="BF90" s="83"/>
      <c r="BG90" s="83"/>
      <c r="BH90" s="83"/>
      <c r="BI90" s="82" t="str">
        <f>IF([11]回答表!F17="水道事業",IF([11]回答表!X43="○",[11]回答表!E191,IF([11]回答表!AA43="○",[11]回答表!E239,"")),"")</f>
        <v/>
      </c>
      <c r="BJ90" s="83"/>
      <c r="BK90" s="83"/>
      <c r="BL90" s="83"/>
      <c r="BM90" s="82" t="str">
        <f>IF([11]回答表!F17="水道事業",IF([11]回答表!X43="○",[11]回答表!E192,IF([11]回答表!AA43="○",[11]回答表!E240,"")),"")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IF([11]回答表!F17="水道事業",IF([11]回答表!AA43="○","○",""),"")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IF([11]回答表!F17="水道事業",IF([11]回答表!X43="○",[11]回答表!J172,IF([11]回答表!AA43="○",[11]回答表!J219,"")),"")</f>
        <v/>
      </c>
      <c r="V94" s="119"/>
      <c r="W94" s="119"/>
      <c r="X94" s="119"/>
      <c r="Y94" s="119"/>
      <c r="Z94" s="119"/>
      <c r="AA94" s="119"/>
      <c r="AB94" s="120"/>
      <c r="AC94" s="118" t="str">
        <f>IF([11]回答表!F17="水道事業",IF([11]回答表!X43="○",[11]回答表!J176,IF([11]回答表!AA43="○",[11]回答表!J223,"")),"")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IF([11]回答表!F17="水道事業",IF([11]回答表!AD43="○","○",""),"")</f>
        <v/>
      </c>
      <c r="O99" s="98"/>
      <c r="P99" s="98"/>
      <c r="Q99" s="99"/>
      <c r="R99" s="39"/>
      <c r="S99" s="39"/>
      <c r="T99" s="39"/>
      <c r="U99" s="106" t="str">
        <f>IF([11]回答表!F17="水道事業",IF([11]回答表!AD43="○",[11]回答表!B249,""),"")</f>
        <v/>
      </c>
      <c r="V99" s="107"/>
      <c r="W99" s="107"/>
      <c r="X99" s="107"/>
      <c r="Y99" s="107"/>
      <c r="Z99" s="107"/>
      <c r="AA99" s="107"/>
      <c r="AB99" s="107"/>
      <c r="AC99" s="107"/>
      <c r="AD99" s="107"/>
      <c r="AE99" s="107"/>
      <c r="AF99" s="107"/>
      <c r="AG99" s="107"/>
      <c r="AH99" s="107"/>
      <c r="AI99" s="107"/>
      <c r="AJ99" s="108"/>
      <c r="AK99" s="56"/>
      <c r="AL99" s="56"/>
      <c r="AM99" s="106" t="str">
        <f>IF([11]回答表!F17="水道事業",IF([11]回答表!AD43="○",[11]回答表!B255,""),"")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IF([11]回答表!F17="簡易水道事業",IF([11]回答表!X43="○","○",""),"")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IF([11]回答表!F17="簡易水道事業",IF([11]回答表!X43="○",[11]回答表!B154,IF([11]回答表!AA43="○",[11]回答表!B201,"")),"")</f>
        <v/>
      </c>
      <c r="AN111" s="107"/>
      <c r="AO111" s="107"/>
      <c r="AP111" s="107"/>
      <c r="AQ111" s="107"/>
      <c r="AR111" s="107"/>
      <c r="AS111" s="107"/>
      <c r="AT111" s="107"/>
      <c r="AU111" s="107"/>
      <c r="AV111" s="107"/>
      <c r="AW111" s="107"/>
      <c r="AX111" s="107"/>
      <c r="AY111" s="107"/>
      <c r="AZ111" s="107"/>
      <c r="BA111" s="107"/>
      <c r="BB111" s="108"/>
      <c r="BC111" s="40"/>
      <c r="BD111" s="35"/>
      <c r="BE111" s="115" t="str">
        <f>IF([11]回答表!F17="簡易水道事業",IF([11]回答表!X43="○",[11]回答表!B190,IF([11]回答表!AA43="○",[11]回答表!B238,"")),"")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IF([11]回答表!F17="簡易水道事業",IF([11]回答表!X43="○",[11]回答表!Y181,IF([11]回答表!AA43="○",[11]回答表!Y229,"")),"")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IF([11]回答表!F17="簡易水道事業",IF([11]回答表!X43="○",[11]回答表!E190,IF([11]回答表!AA43="○",[11]回答表!E238,"")),"")</f>
        <v/>
      </c>
      <c r="BF114" s="83"/>
      <c r="BG114" s="83"/>
      <c r="BH114" s="83"/>
      <c r="BI114" s="82" t="str">
        <f>IF([11]回答表!F17="簡易水道事業",IF([11]回答表!X43="○",[11]回答表!E191,IF([11]回答表!AA43="○",[11]回答表!E239,"")),"")</f>
        <v/>
      </c>
      <c r="BJ114" s="83"/>
      <c r="BK114" s="83"/>
      <c r="BL114" s="83"/>
      <c r="BM114" s="82" t="str">
        <f>IF([11]回答表!F17="簡易水道事業",IF([11]回答表!X43="○",[11]回答表!E192,IF([11]回答表!AA43="○",[11]回答表!E240,"")),"")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IF([11]回答表!F17="簡易水道事業",IF([11]回答表!AA43="○","○",""),"")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IF([11]回答表!F17="簡易水道事業",IF([11]回答表!X43="○",[11]回答表!Y182,IF([11]回答表!AA43="○",[11]回答表!Y230,"")),"")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IF([11]回答表!F17="簡易水道事業",IF([11]回答表!AD43="○","○",""),"")</f>
        <v/>
      </c>
      <c r="O123" s="98"/>
      <c r="P123" s="98"/>
      <c r="Q123" s="99"/>
      <c r="R123" s="39"/>
      <c r="S123" s="39"/>
      <c r="T123" s="39"/>
      <c r="U123" s="106" t="str">
        <f>IF([11]回答表!F17="簡易水道事業",IF([11]回答表!AD43="○",[11]回答表!B249,""),"")</f>
        <v/>
      </c>
      <c r="V123" s="107"/>
      <c r="W123" s="107"/>
      <c r="X123" s="107"/>
      <c r="Y123" s="107"/>
      <c r="Z123" s="107"/>
      <c r="AA123" s="107"/>
      <c r="AB123" s="107"/>
      <c r="AC123" s="107"/>
      <c r="AD123" s="107"/>
      <c r="AE123" s="107"/>
      <c r="AF123" s="107"/>
      <c r="AG123" s="107"/>
      <c r="AH123" s="107"/>
      <c r="AI123" s="107"/>
      <c r="AJ123" s="108"/>
      <c r="AK123" s="56"/>
      <c r="AL123" s="56"/>
      <c r="AM123" s="106" t="str">
        <f>IF([11]回答表!F17="簡易水道事業",IF([11]回答表!AD43="○",[11]回答表!B255,""),"")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IF([11]回答表!F17="下水道事業",IF([11]回答表!X43="○","○",""),"")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IF([11]回答表!F17="下水道事業",IF([11]回答表!X43="○",[11]回答表!B154,IF([11]回答表!AA43="○",[11]回答表!B201,"")),"")</f>
        <v/>
      </c>
      <c r="AN135" s="107"/>
      <c r="AO135" s="107"/>
      <c r="AP135" s="107"/>
      <c r="AQ135" s="107"/>
      <c r="AR135" s="107"/>
      <c r="AS135" s="107"/>
      <c r="AT135" s="107"/>
      <c r="AU135" s="107"/>
      <c r="AV135" s="107"/>
      <c r="AW135" s="107"/>
      <c r="AX135" s="107"/>
      <c r="AY135" s="107"/>
      <c r="AZ135" s="107"/>
      <c r="BA135" s="107"/>
      <c r="BB135" s="108"/>
      <c r="BC135" s="40"/>
      <c r="BD135" s="35"/>
      <c r="BE135" s="115" t="str">
        <f>IF([11]回答表!F17="下水道事業",IF([11]回答表!X43="○",[11]回答表!B190,IF([11]回答表!AA43="○",[11]回答表!B238,"")),"")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IF([11]回答表!F17="下水道事業",IF([11]回答表!X43="○",[11]回答表!Y184,IF([11]回答表!AA43="○",[11]回答表!Y232,"")),"")</f>
        <v/>
      </c>
      <c r="V137" s="119"/>
      <c r="W137" s="119"/>
      <c r="X137" s="119"/>
      <c r="Y137" s="119"/>
      <c r="Z137" s="119"/>
      <c r="AA137" s="119"/>
      <c r="AB137" s="120"/>
      <c r="AC137" s="118" t="str">
        <f>IF([11]回答表!F17="下水道事業",IF([11]回答表!X43="○",[11]回答表!Y185,IF([11]回答表!AA43="○",[11]回答表!Y233,"")),"")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IF([11]回答表!F17="下水道事業",IF([11]回答表!X43="○",[11]回答表!E190,IF([11]回答表!AA43="○",[11]回答表!E238,"")),"")</f>
        <v/>
      </c>
      <c r="BF138" s="83"/>
      <c r="BG138" s="83"/>
      <c r="BH138" s="83"/>
      <c r="BI138" s="82" t="str">
        <f>IF([11]回答表!F17="下水道事業",IF([11]回答表!X43="○",[11]回答表!E191,IF([11]回答表!AA43="○",[11]回答表!E239,"")),"")</f>
        <v/>
      </c>
      <c r="BJ138" s="83"/>
      <c r="BK138" s="83"/>
      <c r="BL138" s="83"/>
      <c r="BM138" s="82" t="str">
        <f>IF([11]回答表!F17="下水道事業",IF([11]回答表!X43="○",[11]回答表!E192,IF([11]回答表!AA43="○",[11]回答表!E240,"")),"")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IF([11]回答表!F17="下水道事業",IF([11]回答表!AA43="○","○",""),"")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IF([11]回答表!F17="下水道事業",IF([11]回答表!X43="○",[11]回答表!Y186,IF([11]回答表!AA43="○",[11]回答表!Y234,"")),"")</f>
        <v/>
      </c>
      <c r="V142" s="119"/>
      <c r="W142" s="119"/>
      <c r="X142" s="119"/>
      <c r="Y142" s="119"/>
      <c r="Z142" s="119"/>
      <c r="AA142" s="119"/>
      <c r="AB142" s="120"/>
      <c r="AC142" s="118" t="str">
        <f>IF([11]回答表!F17="下水道事業",IF([11]回答表!X43="○",[11]回答表!Y187,IF([11]回答表!AA43="○",[11]回答表!Y235,"")),"")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IF([11]回答表!F17="下水道事業",IF([11]回答表!AD43="○","○",""),"")</f>
        <v/>
      </c>
      <c r="O147" s="98"/>
      <c r="P147" s="98"/>
      <c r="Q147" s="99"/>
      <c r="R147" s="39"/>
      <c r="S147" s="39"/>
      <c r="T147" s="39"/>
      <c r="U147" s="106" t="str">
        <f>IF([11]回答表!F17="下水道事業",IF([11]回答表!AD43="○",[11]回答表!B249,""),"")</f>
        <v/>
      </c>
      <c r="V147" s="107"/>
      <c r="W147" s="107"/>
      <c r="X147" s="107"/>
      <c r="Y147" s="107"/>
      <c r="Z147" s="107"/>
      <c r="AA147" s="107"/>
      <c r="AB147" s="107"/>
      <c r="AC147" s="107"/>
      <c r="AD147" s="107"/>
      <c r="AE147" s="107"/>
      <c r="AF147" s="107"/>
      <c r="AG147" s="107"/>
      <c r="AH147" s="107"/>
      <c r="AI147" s="107"/>
      <c r="AJ147" s="108"/>
      <c r="AK147" s="56"/>
      <c r="AL147" s="56"/>
      <c r="AM147" s="106" t="str">
        <f>IF([11]回答表!F17="下水道事業",IF([11]回答表!AD43="○",[11]回答表!B255,""),"")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IF([11]回答表!BD17="○",IF([11]回答表!X43="○","○",""),"")</f>
        <v/>
      </c>
      <c r="O159" s="98"/>
      <c r="P159" s="98"/>
      <c r="Q159" s="99"/>
      <c r="R159" s="39"/>
      <c r="S159" s="39"/>
      <c r="T159" s="39"/>
      <c r="U159" s="106" t="str">
        <f>IF([11]回答表!BD17="○",IF([11]回答表!X43="○",[11]回答表!B154,IF([11]回答表!AA43="○",[11]回答表!B201,"")),"")</f>
        <v/>
      </c>
      <c r="V159" s="107"/>
      <c r="W159" s="107"/>
      <c r="X159" s="107"/>
      <c r="Y159" s="107"/>
      <c r="Z159" s="107"/>
      <c r="AA159" s="107"/>
      <c r="AB159" s="107"/>
      <c r="AC159" s="107"/>
      <c r="AD159" s="107"/>
      <c r="AE159" s="107"/>
      <c r="AF159" s="107"/>
      <c r="AG159" s="107"/>
      <c r="AH159" s="107"/>
      <c r="AI159" s="107"/>
      <c r="AJ159" s="108"/>
      <c r="AK159" s="50"/>
      <c r="AL159" s="50"/>
      <c r="AM159" s="115" t="str">
        <f>IF([11]回答表!BD17="○",IF([11]回答表!X43="○",[11]回答表!B190,IF([11]回答表!AA43="○",[11]回答表!B238,"")),"")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IF([11]回答表!BD17="○",IF([11]回答表!X43="○",[11]回答表!E190,IF([11]回答表!AA43="○",[11]回答表!E238,"")),"")</f>
        <v/>
      </c>
      <c r="AN162" s="83"/>
      <c r="AO162" s="83"/>
      <c r="AP162" s="83"/>
      <c r="AQ162" s="82" t="str">
        <f>IF([11]回答表!BD17="○",IF([11]回答表!X43="○",[11]回答表!E191,IF([11]回答表!AA43="○",[11]回答表!E239,"")),"")</f>
        <v/>
      </c>
      <c r="AR162" s="83"/>
      <c r="AS162" s="83"/>
      <c r="AT162" s="83"/>
      <c r="AU162" s="82" t="str">
        <f>IF([11]回答表!BD17="○",IF([11]回答表!X43="○",[11]回答表!E192,IF([11]回答表!AA43="○",[11]回答表!E240,"")),"")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IF([11]回答表!BD17="○",IF([11]回答表!AA43="○","○",""),"")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IF([11]回答表!BD17="○",IF([11]回答表!AD43="○","○",""),"")</f>
        <v/>
      </c>
      <c r="O171" s="98"/>
      <c r="P171" s="98"/>
      <c r="Q171" s="99"/>
      <c r="R171" s="39"/>
      <c r="S171" s="39"/>
      <c r="T171" s="39"/>
      <c r="U171" s="106" t="str">
        <f>IF([11]回答表!BD17="○",IF([11]回答表!AD43="○",[11]回答表!B249,""),"")</f>
        <v/>
      </c>
      <c r="V171" s="107"/>
      <c r="W171" s="107"/>
      <c r="X171" s="107"/>
      <c r="Y171" s="107"/>
      <c r="Z171" s="107"/>
      <c r="AA171" s="107"/>
      <c r="AB171" s="107"/>
      <c r="AC171" s="107"/>
      <c r="AD171" s="107"/>
      <c r="AE171" s="107"/>
      <c r="AF171" s="107"/>
      <c r="AG171" s="107"/>
      <c r="AH171" s="107"/>
      <c r="AI171" s="107"/>
      <c r="AJ171" s="108"/>
      <c r="AK171" s="56"/>
      <c r="AL171" s="56"/>
      <c r="AM171" s="106" t="str">
        <f>IF([11]回答表!BD17="○",IF([11]回答表!AD43="○",[11]回答表!B255,""),"")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IF([11]回答表!X44="○","○","")</f>
        <v/>
      </c>
      <c r="O183" s="98"/>
      <c r="P183" s="98"/>
      <c r="Q183" s="99"/>
      <c r="R183" s="39"/>
      <c r="S183" s="39"/>
      <c r="T183" s="39"/>
      <c r="U183" s="106" t="str">
        <f>IF([11]回答表!X44="○",[11]回答表!B266,IF([11]回答表!AA44="○",[11]回答表!B283,""))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IF([11]回答表!X44="○",[11]回答表!U272,IF([11]回答表!AA44="○",[11]回答表!U289,""))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IF([11]回答表!X44="○",[11]回答表!G272,IF([11]回答表!AA44="○",[11]回答表!G289,""))</f>
        <v/>
      </c>
      <c r="AN186" s="119"/>
      <c r="AO186" s="119"/>
      <c r="AP186" s="119"/>
      <c r="AQ186" s="119"/>
      <c r="AR186" s="119"/>
      <c r="AS186" s="119"/>
      <c r="AT186" s="120"/>
      <c r="AU186" s="118" t="str">
        <f>IF([11]回答表!X44="○",[11]回答表!G273,IF([11]回答表!AA44="○",[11]回答表!G290,""))</f>
        <v/>
      </c>
      <c r="AV186" s="119"/>
      <c r="AW186" s="119"/>
      <c r="AX186" s="119"/>
      <c r="AY186" s="119"/>
      <c r="AZ186" s="119"/>
      <c r="BA186" s="119"/>
      <c r="BB186" s="120"/>
      <c r="BC186" s="40"/>
      <c r="BD186" s="35"/>
      <c r="BE186" s="82" t="str">
        <f>IF([11]回答表!X44="○",[11]回答表!X272,IF([11]回答表!AA44="○",[11]回答表!X289,""))</f>
        <v/>
      </c>
      <c r="BF186" s="83"/>
      <c r="BG186" s="83"/>
      <c r="BH186" s="83"/>
      <c r="BI186" s="82" t="str">
        <f>IF([11]回答表!X44="○",[11]回答表!X273,IF([11]回答表!AA44="○",[11]回答表!X290,""))</f>
        <v/>
      </c>
      <c r="BJ186" s="83"/>
      <c r="BK186" s="83"/>
      <c r="BL186" s="86"/>
      <c r="BM186" s="82" t="str">
        <f>IF([11]回答表!X44="○",[11]回答表!X274,IF([11]回答表!AA44="○",[11]回答表!X291,""))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IF([11]回答表!AD44="○","○","")</f>
        <v/>
      </c>
      <c r="O195" s="98"/>
      <c r="P195" s="98"/>
      <c r="Q195" s="99"/>
      <c r="R195" s="39"/>
      <c r="S195" s="39"/>
      <c r="T195" s="39"/>
      <c r="U195" s="106" t="str">
        <f>IF([11]回答表!AD44="○",[11]回答表!B296,"")</f>
        <v/>
      </c>
      <c r="V195" s="107"/>
      <c r="W195" s="107"/>
      <c r="X195" s="107"/>
      <c r="Y195" s="107"/>
      <c r="Z195" s="107"/>
      <c r="AA195" s="107"/>
      <c r="AB195" s="107"/>
      <c r="AC195" s="107"/>
      <c r="AD195" s="107"/>
      <c r="AE195" s="107"/>
      <c r="AF195" s="107"/>
      <c r="AG195" s="107"/>
      <c r="AH195" s="107"/>
      <c r="AI195" s="107"/>
      <c r="AJ195" s="108"/>
      <c r="AK195" s="61"/>
      <c r="AL195" s="61"/>
      <c r="AM195" s="106" t="str">
        <f>IF([11]回答表!AD44="○",[11]回答表!B302,"")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IF([11]回答表!X45="○","○","")</f>
        <v/>
      </c>
      <c r="O207" s="98"/>
      <c r="P207" s="98"/>
      <c r="Q207" s="99"/>
      <c r="R207" s="39"/>
      <c r="S207" s="39"/>
      <c r="T207" s="39"/>
      <c r="U207" s="106" t="str">
        <f>IF([11]回答表!X45="○",[11]回答表!B314,IF([11]回答表!AA45="○",[11]回答表!B337,""))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IF([11]回答表!X45="○",[11]回答表!B320,"")</f>
        <v/>
      </c>
      <c r="AO207" s="164"/>
      <c r="AP207" s="164"/>
      <c r="AQ207" s="164"/>
      <c r="AR207" s="164"/>
      <c r="AS207" s="164"/>
      <c r="AT207" s="164"/>
      <c r="AU207" s="164"/>
      <c r="AV207" s="164"/>
      <c r="AW207" s="164"/>
      <c r="AX207" s="164"/>
      <c r="AY207" s="164"/>
      <c r="AZ207" s="164"/>
      <c r="BA207" s="164"/>
      <c r="BB207" s="165"/>
      <c r="BC207" s="40"/>
      <c r="BD207" s="35"/>
      <c r="BE207" s="115" t="str">
        <f>IF([11]回答表!X45="○",[11]回答表!B326,IF([11]回答表!AA45="○",[11]回答表!B343,""))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IF([11]回答表!X45="○",[11]回答表!E326,IF([11]回答表!AA45="○",[11]回答表!E343,""))</f>
        <v/>
      </c>
      <c r="BF210" s="83"/>
      <c r="BG210" s="83"/>
      <c r="BH210" s="83"/>
      <c r="BI210" s="82" t="str">
        <f>IF([11]回答表!X45="○",[11]回答表!E327,IF([11]回答表!AA45="○",[11]回答表!E344,""))</f>
        <v/>
      </c>
      <c r="BJ210" s="83"/>
      <c r="BK210" s="83"/>
      <c r="BL210" s="86"/>
      <c r="BM210" s="82" t="str">
        <f>IF([11]回答表!X45="○",[11]回答表!E328,IF([11]回答表!AA45="○",[11]回答表!E345,""))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IF([11]回答表!AD45="○","○","")</f>
        <v/>
      </c>
      <c r="O219" s="98"/>
      <c r="P219" s="98"/>
      <c r="Q219" s="99"/>
      <c r="R219" s="39"/>
      <c r="S219" s="39"/>
      <c r="T219" s="39"/>
      <c r="U219" s="106" t="str">
        <f>IF([11]回答表!AD45="○",[11]回答表!B350,"")</f>
        <v/>
      </c>
      <c r="V219" s="107"/>
      <c r="W219" s="107"/>
      <c r="X219" s="107"/>
      <c r="Y219" s="107"/>
      <c r="Z219" s="107"/>
      <c r="AA219" s="107"/>
      <c r="AB219" s="107"/>
      <c r="AC219" s="107"/>
      <c r="AD219" s="107"/>
      <c r="AE219" s="107"/>
      <c r="AF219" s="107"/>
      <c r="AG219" s="107"/>
      <c r="AH219" s="107"/>
      <c r="AI219" s="107"/>
      <c r="AJ219" s="108"/>
      <c r="AK219" s="61"/>
      <c r="AL219" s="61"/>
      <c r="AM219" s="106" t="str">
        <f>IF([11]回答表!AD45="○",[11]回答表!B356,"")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IF([11]回答表!X46="○","○","")</f>
        <v/>
      </c>
      <c r="O231" s="98"/>
      <c r="P231" s="98"/>
      <c r="Q231" s="99"/>
      <c r="R231" s="39"/>
      <c r="S231" s="39"/>
      <c r="T231" s="39"/>
      <c r="U231" s="106" t="str">
        <f>IF([11]回答表!X46="○",[11]回答表!B368,IF([11]回答表!AA46="○",[11]回答表!B382,""))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IF([11]回答表!X46="○",[11]回答表!BC375,IF([11]回答表!AA46="○",[11]回答表!BC389,""))</f>
        <v/>
      </c>
      <c r="AR231" s="150"/>
      <c r="AS231" s="150"/>
      <c r="AT231" s="150"/>
      <c r="AU231" s="155" t="s">
        <v>63</v>
      </c>
      <c r="AV231" s="156"/>
      <c r="AW231" s="156"/>
      <c r="AX231" s="157"/>
      <c r="AY231" s="150" t="str">
        <f>IF([11]回答表!X46="○",[11]回答表!BC380,IF([11]回答表!AA46="○",[11]回答表!BC394,""))</f>
        <v/>
      </c>
      <c r="AZ231" s="150"/>
      <c r="BA231" s="150"/>
      <c r="BB231" s="150"/>
      <c r="BC231" s="40"/>
      <c r="BD231" s="35"/>
      <c r="BE231" s="115" t="str">
        <f>IF([11]回答表!X46="○",[11]回答表!S374,IF([11]回答表!AA46="○",[11]回答表!S388,""))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IF([11]回答表!X46="○",[11]回答表!BC376,IF([11]回答表!AA46="○",[11]回答表!BC390,""))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IF([11]回答表!X46="○",[11]回答表!V374,IF([11]回答表!AA46="○",[11]回答表!V388,""))</f>
        <v/>
      </c>
      <c r="BF234" s="83"/>
      <c r="BG234" s="83"/>
      <c r="BH234" s="83"/>
      <c r="BI234" s="82" t="str">
        <f>IF([11]回答表!X46="○",[11]回答表!V375,IF([11]回答表!AA46="○",[11]回答表!V389,""))</f>
        <v/>
      </c>
      <c r="BJ234" s="83"/>
      <c r="BK234" s="83"/>
      <c r="BL234" s="86"/>
      <c r="BM234" s="82" t="str">
        <f>IF([11]回答表!X46="○",[11]回答表!V376,IF([11]回答表!AA46="○",[11]回答表!V390,""))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IF([11]回答表!X46="○",[11]回答表!BC377,IF([11]回答表!AA46="○",[11]回答表!BC391,""))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IF([11]回答表!X46="○",[11]回答表!BC381,IF([11]回答表!AA46="○",[11]回答表!BC395,""))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IF([11]回答表!X46="○",[11]回答表!BC378,IF([11]回答表!AA46="○",[11]回答表!BC392,""))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IF([11]回答表!X46="○",[11]回答表!BC379,IF([11]回答表!AA46="○",[11]回答表!BC393,""))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IF([11]回答表!AD46="○","○","")</f>
        <v/>
      </c>
      <c r="O243" s="98"/>
      <c r="P243" s="98"/>
      <c r="Q243" s="99"/>
      <c r="R243" s="39"/>
      <c r="S243" s="39"/>
      <c r="T243" s="39"/>
      <c r="U243" s="106" t="str">
        <f>IF([11]回答表!AD46="○",[11]回答表!B396,"")</f>
        <v/>
      </c>
      <c r="V243" s="107"/>
      <c r="W243" s="107"/>
      <c r="X243" s="107"/>
      <c r="Y243" s="107"/>
      <c r="Z243" s="107"/>
      <c r="AA243" s="107"/>
      <c r="AB243" s="107"/>
      <c r="AC243" s="107"/>
      <c r="AD243" s="107"/>
      <c r="AE243" s="107"/>
      <c r="AF243" s="107"/>
      <c r="AG243" s="107"/>
      <c r="AH243" s="107"/>
      <c r="AI243" s="107"/>
      <c r="AJ243" s="108"/>
      <c r="AK243" s="56"/>
      <c r="AL243" s="56"/>
      <c r="AM243" s="106" t="str">
        <f>IF([11]回答表!AD46="○",[11]回答表!B402,"")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IF([11]回答表!X47="○","○","")</f>
        <v/>
      </c>
      <c r="O254" s="98"/>
      <c r="P254" s="98"/>
      <c r="Q254" s="99"/>
      <c r="R254" s="39"/>
      <c r="S254" s="39"/>
      <c r="T254" s="39"/>
      <c r="U254" s="106" t="str">
        <f>IF([11]回答表!X47="○",[11]回答表!B414,IF([11]回答表!AA47="○",[11]回答表!B431,""))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IF([11]回答表!X47="○",[11]回答表!B424,IF([11]回答表!AA47="○",[11]回答表!B441,""))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IF([11]回答表!X47="○",[11]回答表!G420,IF([11]回答表!AA47="○",[11]回答表!G437,""))</f>
        <v/>
      </c>
      <c r="AN256" s="119"/>
      <c r="AO256" s="119"/>
      <c r="AP256" s="119"/>
      <c r="AQ256" s="119"/>
      <c r="AR256" s="119"/>
      <c r="AS256" s="119"/>
      <c r="AT256" s="120"/>
      <c r="AU256" s="118" t="str">
        <f>IF([11]回答表!X47="○",[11]回答表!G421,IF([11]回答表!AA47="○",[11]回答表!G438,""))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IF([11]回答表!X47="○",[11]回答表!E424,IF([11]回答表!AA47="○",[11]回答表!E441,""))</f>
        <v/>
      </c>
      <c r="BF257" s="83"/>
      <c r="BG257" s="83"/>
      <c r="BH257" s="83"/>
      <c r="BI257" s="82" t="str">
        <f>IF([11]回答表!X47="○",[11]回答表!E425,IF([11]回答表!AA47="○",[11]回答表!E442,""))</f>
        <v/>
      </c>
      <c r="BJ257" s="83"/>
      <c r="BK257" s="83"/>
      <c r="BL257" s="86"/>
      <c r="BM257" s="82" t="str">
        <f>IF([11]回答表!X47="○",[11]回答表!E426,IF([11]回答表!AA47="○",[11]回答表!E443,""))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IF([11]回答表!AD47="○","○","")</f>
        <v/>
      </c>
      <c r="O266" s="98"/>
      <c r="P266" s="98"/>
      <c r="Q266" s="99"/>
      <c r="R266" s="39"/>
      <c r="S266" s="39"/>
      <c r="T266" s="39"/>
      <c r="U266" s="106" t="str">
        <f>IF([11]回答表!AD47="○",[11]回答表!B448,"")</f>
        <v/>
      </c>
      <c r="V266" s="107"/>
      <c r="W266" s="107"/>
      <c r="X266" s="107"/>
      <c r="Y266" s="107"/>
      <c r="Z266" s="107"/>
      <c r="AA266" s="107"/>
      <c r="AB266" s="107"/>
      <c r="AC266" s="107"/>
      <c r="AD266" s="107"/>
      <c r="AE266" s="107"/>
      <c r="AF266" s="107"/>
      <c r="AG266" s="107"/>
      <c r="AH266" s="107"/>
      <c r="AI266" s="107"/>
      <c r="AJ266" s="108"/>
      <c r="AK266" s="50"/>
      <c r="AL266" s="50"/>
      <c r="AM266" s="106" t="str">
        <f>IF([11]回答表!AD47="○",[11]回答表!B454,"")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IF([11]回答表!R48="○",[11]回答表!B467,"")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DF63E-21E4-46C0-A6E4-5F76B5AA0167}">
  <sheetPr>
    <pageSetUpPr fitToPage="1"/>
  </sheetPr>
  <dimension ref="A1:CE298"/>
  <sheetViews>
    <sheetView showZeros="0"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IF(COUNTIF([14]回答表!K15,"*")&gt;0,[14]回答表!K15,"")</f>
        <v>仙北市</v>
      </c>
      <c r="D11" s="255"/>
      <c r="E11" s="255"/>
      <c r="F11" s="255"/>
      <c r="G11" s="255"/>
      <c r="H11" s="255"/>
      <c r="I11" s="255"/>
      <c r="J11" s="255"/>
      <c r="K11" s="255"/>
      <c r="L11" s="255"/>
      <c r="M11" s="255"/>
      <c r="N11" s="255"/>
      <c r="O11" s="255"/>
      <c r="P11" s="255"/>
      <c r="Q11" s="255"/>
      <c r="R11" s="255"/>
      <c r="S11" s="255"/>
      <c r="T11" s="255"/>
      <c r="U11" s="262" t="str">
        <f>IF(COUNTIF([14]回答表!F17,"*")&gt;0,[14]回答表!F17,"")</f>
        <v>病院事業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IF(COUNTIF([14]回答表!W17,"*")&gt;0,[14]回答表!W17,"")</f>
        <v>―</v>
      </c>
      <c r="AP11" s="257"/>
      <c r="AQ11" s="257"/>
      <c r="AR11" s="257"/>
      <c r="AS11" s="257"/>
      <c r="AT11" s="257"/>
      <c r="AU11" s="257"/>
      <c r="AV11" s="257"/>
      <c r="AW11" s="257"/>
      <c r="AX11" s="257"/>
      <c r="AY11" s="257"/>
      <c r="AZ11" s="257"/>
      <c r="BA11" s="257"/>
      <c r="BB11" s="257"/>
      <c r="BC11" s="257"/>
      <c r="BD11" s="257"/>
      <c r="BE11" s="258"/>
      <c r="BF11" s="261" t="str">
        <f>IF(COUNTIF([14]回答表!F19,"*")&gt;0,[14]回答表!F19,"")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IF([14]回答表!R41="○","○","")</f>
        <v/>
      </c>
      <c r="E24" s="122"/>
      <c r="F24" s="122"/>
      <c r="G24" s="122"/>
      <c r="H24" s="122"/>
      <c r="I24" s="122"/>
      <c r="J24" s="123"/>
      <c r="K24" s="121" t="str">
        <f>IF([14]回答表!R42="○","○","")</f>
        <v/>
      </c>
      <c r="L24" s="122"/>
      <c r="M24" s="122"/>
      <c r="N24" s="122"/>
      <c r="O24" s="122"/>
      <c r="P24" s="122"/>
      <c r="Q24" s="123"/>
      <c r="R24" s="121" t="str">
        <f>IF([14]回答表!R43="○","○","")</f>
        <v/>
      </c>
      <c r="S24" s="122"/>
      <c r="T24" s="122"/>
      <c r="U24" s="122"/>
      <c r="V24" s="122"/>
      <c r="W24" s="122"/>
      <c r="X24" s="123"/>
      <c r="Y24" s="121" t="str">
        <f>IF([14]回答表!R44="○","○","")</f>
        <v/>
      </c>
      <c r="Z24" s="122"/>
      <c r="AA24" s="122"/>
      <c r="AB24" s="122"/>
      <c r="AC24" s="122"/>
      <c r="AD24" s="122"/>
      <c r="AE24" s="123"/>
      <c r="AF24" s="121" t="str">
        <f>IF([14]回答表!R45="○","○","")</f>
        <v/>
      </c>
      <c r="AG24" s="122"/>
      <c r="AH24" s="122"/>
      <c r="AI24" s="122"/>
      <c r="AJ24" s="122"/>
      <c r="AK24" s="122"/>
      <c r="AL24" s="123"/>
      <c r="AM24" s="121" t="str">
        <f>IF([14]回答表!R46="○","○","")</f>
        <v/>
      </c>
      <c r="AN24" s="122"/>
      <c r="AO24" s="122"/>
      <c r="AP24" s="122"/>
      <c r="AQ24" s="122"/>
      <c r="AR24" s="122"/>
      <c r="AS24" s="123"/>
      <c r="AT24" s="121" t="str">
        <f>IF([14]回答表!R47="○","○","")</f>
        <v/>
      </c>
      <c r="AU24" s="122"/>
      <c r="AV24" s="122"/>
      <c r="AW24" s="122"/>
      <c r="AX24" s="122"/>
      <c r="AY24" s="122"/>
      <c r="AZ24" s="123"/>
      <c r="BA24" s="19"/>
      <c r="BB24" s="118" t="str">
        <f>IF([14]回答表!R48="○","○","")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IF([14]回答表!X41="○","○","")</f>
        <v/>
      </c>
      <c r="O36" s="98"/>
      <c r="P36" s="98"/>
      <c r="Q36" s="99"/>
      <c r="R36" s="39"/>
      <c r="S36" s="39"/>
      <c r="T36" s="39"/>
      <c r="U36" s="106" t="str">
        <f>IF([14]回答表!X41="○",[14]回答表!B56,IF([14]回答表!AA41="○",[14]回答表!B76,""))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IF([14]回答表!X41="○",[14]回答表!S62,IF([14]回答表!AA41="○",[14]回答表!S82,""))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IF([14]回答表!X41="○",[14]回答表!G62,IF([14]回答表!AA41="○",[14]回答表!G82,""))</f>
        <v/>
      </c>
      <c r="AN38" s="119"/>
      <c r="AO38" s="119"/>
      <c r="AP38" s="119"/>
      <c r="AQ38" s="119"/>
      <c r="AR38" s="119"/>
      <c r="AS38" s="119"/>
      <c r="AT38" s="120"/>
      <c r="AU38" s="118" t="str">
        <f>IF([14]回答表!X41="○",[14]回答表!G63,IF([14]回答表!AA41="○",[14]回答表!G83,""))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IF([14]回答表!X41="○",[14]回答表!V62,IF([14]回答表!AA41="○",[14]回答表!V82,""))</f>
        <v/>
      </c>
      <c r="BF39" s="208"/>
      <c r="BG39" s="208"/>
      <c r="BH39" s="209"/>
      <c r="BI39" s="82" t="str">
        <f>IF([14]回答表!X41="○",[14]回答表!V63,IF([14]回答表!AA41="○",[14]回答表!V83,""))</f>
        <v/>
      </c>
      <c r="BJ39" s="208"/>
      <c r="BK39" s="208"/>
      <c r="BL39" s="209"/>
      <c r="BM39" s="82" t="str">
        <f>IF([14]回答表!X41="○",[14]回答表!V64,IF([14]回答表!AA41="○",[14]回答表!V84,""))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IF([14]回答表!X41="○",[14]回答表!O68,IF([14]回答表!AA41="○",[14]回答表!O88,""))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IF([14]回答表!X41="○",[14]回答表!O69,IF([14]回答表!AA41="○",[14]回答表!O89,""))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IF([14]回答表!X41="○",[14]回答表!O70,IF([14]回答表!AA41="○",[14]回答表!O90,""))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IF([14]回答表!X41="○",[14]回答表!O71,IF([14]回答表!AA41="○",[14]回答表!O91,""))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IF([14]回答表!X41="○",[14]回答表!AG68,IF([14]回答表!AA41="○",[14]回答表!AG88,""))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IF([14]回答表!X41="○",[14]回答表!AG69,IF([14]回答表!AA41="○",[14]回答表!AG89,""))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IF([14]回答表!X41="○",[14]回答表!AG70,IF([14]回答表!AA41="○",[14]回答表!AG90,""))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IF([14]回答表!AD41="○","○","")</f>
        <v/>
      </c>
      <c r="O52" s="98"/>
      <c r="P52" s="98"/>
      <c r="Q52" s="99"/>
      <c r="R52" s="39"/>
      <c r="S52" s="39"/>
      <c r="T52" s="39"/>
      <c r="U52" s="106" t="str">
        <f>IF([14]回答表!AD41="○",[14]回答表!B96,"")</f>
        <v/>
      </c>
      <c r="V52" s="107"/>
      <c r="W52" s="107"/>
      <c r="X52" s="107"/>
      <c r="Y52" s="107"/>
      <c r="Z52" s="107"/>
      <c r="AA52" s="107"/>
      <c r="AB52" s="107"/>
      <c r="AC52" s="107"/>
      <c r="AD52" s="107"/>
      <c r="AE52" s="107"/>
      <c r="AF52" s="107"/>
      <c r="AG52" s="107"/>
      <c r="AH52" s="107"/>
      <c r="AI52" s="107"/>
      <c r="AJ52" s="108"/>
      <c r="AK52" s="56"/>
      <c r="AL52" s="56"/>
      <c r="AM52" s="106" t="str">
        <f>IF([14]回答表!AD41="○",[14]回答表!B101,"")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IF([14]回答表!X42="○","○","")</f>
        <v/>
      </c>
      <c r="O63" s="98"/>
      <c r="P63" s="98"/>
      <c r="Q63" s="99"/>
      <c r="R63" s="39"/>
      <c r="S63" s="39"/>
      <c r="T63" s="39"/>
      <c r="U63" s="106" t="str">
        <f>IF([14]回答表!X42="○",[14]回答表!B111,IF([14]回答表!AA42="○",[14]回答表!B124,""))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IF([14]回答表!X42="○",[14]回答表!S117,IF([14]回答表!AA42="○",[14]回答表!S130,""))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IF([14]回答表!X42="○",[14]回答表!J117,IF([14]回答表!AA42="○",[14]回答表!J130,""))</f>
        <v/>
      </c>
      <c r="AN66" s="119"/>
      <c r="AO66" s="119"/>
      <c r="AP66" s="119"/>
      <c r="AQ66" s="119"/>
      <c r="AR66" s="119"/>
      <c r="AS66" s="119"/>
      <c r="AT66" s="120"/>
      <c r="AU66" s="118" t="str">
        <f>IF([14]回答表!X42="○",[14]回答表!J118,IF([14]回答表!AA42="○",[14]回答表!J131,""))</f>
        <v/>
      </c>
      <c r="AV66" s="119"/>
      <c r="AW66" s="119"/>
      <c r="AX66" s="119"/>
      <c r="AY66" s="119"/>
      <c r="AZ66" s="119"/>
      <c r="BA66" s="119"/>
      <c r="BB66" s="120"/>
      <c r="BC66" s="40"/>
      <c r="BD66" s="35"/>
      <c r="BE66" s="82" t="str">
        <f>IF([14]回答表!X42="○",[14]回答表!V117,IF([14]回答表!AA42="○",[14]回答表!V130,""))</f>
        <v/>
      </c>
      <c r="BF66" s="83"/>
      <c r="BG66" s="83"/>
      <c r="BH66" s="83"/>
      <c r="BI66" s="82" t="str">
        <f>IF([14]回答表!X42="○",[14]回答表!V118,IF([14]回答表!AA42="○",[14]回答表!V131,""))</f>
        <v/>
      </c>
      <c r="BJ66" s="83"/>
      <c r="BK66" s="83"/>
      <c r="BL66" s="83"/>
      <c r="BM66" s="82" t="str">
        <f>IF([14]回答表!X42="○",[14]回答表!V119,IF([14]回答表!AA42="○",[14]回答表!V132,""))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IF([14]回答表!AD42="○","○","")</f>
        <v/>
      </c>
      <c r="O75" s="98"/>
      <c r="P75" s="98"/>
      <c r="Q75" s="99"/>
      <c r="R75" s="39"/>
      <c r="S75" s="39"/>
      <c r="T75" s="39"/>
      <c r="U75" s="106" t="str">
        <f>IF([14]回答表!AD42="○",[14]回答表!B137,"")</f>
        <v/>
      </c>
      <c r="V75" s="107"/>
      <c r="W75" s="107"/>
      <c r="X75" s="107"/>
      <c r="Y75" s="107"/>
      <c r="Z75" s="107"/>
      <c r="AA75" s="107"/>
      <c r="AB75" s="107"/>
      <c r="AC75" s="107"/>
      <c r="AD75" s="107"/>
      <c r="AE75" s="107"/>
      <c r="AF75" s="107"/>
      <c r="AG75" s="107"/>
      <c r="AH75" s="107"/>
      <c r="AI75" s="107"/>
      <c r="AJ75" s="108"/>
      <c r="AK75" s="56"/>
      <c r="AL75" s="56"/>
      <c r="AM75" s="106" t="str">
        <f>IF([14]回答表!AD42="○",[14]回答表!B143,"")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IF([14]回答表!F17="水道事業",IF([14]回答表!X43="○","○",""),"")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IF([14]回答表!F17="水道事業",IF([14]回答表!X43="○",[14]回答表!B154,IF([14]回答表!AA43="○",[14]回答表!B201,"")),"")</f>
        <v/>
      </c>
      <c r="AN87" s="107"/>
      <c r="AO87" s="107"/>
      <c r="AP87" s="107"/>
      <c r="AQ87" s="107"/>
      <c r="AR87" s="107"/>
      <c r="AS87" s="107"/>
      <c r="AT87" s="107"/>
      <c r="AU87" s="107"/>
      <c r="AV87" s="107"/>
      <c r="AW87" s="107"/>
      <c r="AX87" s="107"/>
      <c r="AY87" s="107"/>
      <c r="AZ87" s="107"/>
      <c r="BA87" s="107"/>
      <c r="BB87" s="108"/>
      <c r="BC87" s="40"/>
      <c r="BD87" s="35"/>
      <c r="BE87" s="115" t="str">
        <f>IF([14]回答表!F17="水道事業",IF([14]回答表!X43="○",[14]回答表!B190,IF([14]回答表!AA43="○",[14]回答表!B238,"")),"")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IF([14]回答表!F17="水道事業",IF([14]回答表!X43="○",[14]回答表!J162,IF([14]回答表!AA43="○",[14]回答表!J209,"")),"")</f>
        <v/>
      </c>
      <c r="V89" s="119"/>
      <c r="W89" s="119"/>
      <c r="X89" s="119"/>
      <c r="Y89" s="119"/>
      <c r="Z89" s="119"/>
      <c r="AA89" s="119"/>
      <c r="AB89" s="120"/>
      <c r="AC89" s="118" t="str">
        <f>IF([14]回答表!F17="水道事業",IF([14]回答表!X43="○",[14]回答表!J169,IF([14]回答表!AA43="○",[14]回答表!J216,"")),"")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IF([14]回答表!F17="水道事業",IF([14]回答表!X43="○",[14]回答表!E190,IF([14]回答表!AA43="○",[14]回答表!E238,"")),"")</f>
        <v/>
      </c>
      <c r="BF90" s="83"/>
      <c r="BG90" s="83"/>
      <c r="BH90" s="83"/>
      <c r="BI90" s="82" t="str">
        <f>IF([14]回答表!F17="水道事業",IF([14]回答表!X43="○",[14]回答表!E191,IF([14]回答表!AA43="○",[14]回答表!E239,"")),"")</f>
        <v/>
      </c>
      <c r="BJ90" s="83"/>
      <c r="BK90" s="83"/>
      <c r="BL90" s="83"/>
      <c r="BM90" s="82" t="str">
        <f>IF([14]回答表!F17="水道事業",IF([14]回答表!X43="○",[14]回答表!E192,IF([14]回答表!AA43="○",[14]回答表!E240,"")),"")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IF([14]回答表!F17="水道事業",IF([14]回答表!AA43="○","○",""),"")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IF([14]回答表!F17="水道事業",IF([14]回答表!X43="○",[14]回答表!J172,IF([14]回答表!AA43="○",[14]回答表!J219,"")),"")</f>
        <v/>
      </c>
      <c r="V94" s="119"/>
      <c r="W94" s="119"/>
      <c r="X94" s="119"/>
      <c r="Y94" s="119"/>
      <c r="Z94" s="119"/>
      <c r="AA94" s="119"/>
      <c r="AB94" s="120"/>
      <c r="AC94" s="118" t="str">
        <f>IF([14]回答表!F17="水道事業",IF([14]回答表!X43="○",[14]回答表!J176,IF([14]回答表!AA43="○",[14]回答表!J223,"")),"")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IF([14]回答表!F17="水道事業",IF([14]回答表!AD43="○","○",""),"")</f>
        <v/>
      </c>
      <c r="O99" s="98"/>
      <c r="P99" s="98"/>
      <c r="Q99" s="99"/>
      <c r="R99" s="39"/>
      <c r="S99" s="39"/>
      <c r="T99" s="39"/>
      <c r="U99" s="106" t="str">
        <f>IF([14]回答表!F17="水道事業",IF([14]回答表!AD43="○",[14]回答表!B249,""),"")</f>
        <v/>
      </c>
      <c r="V99" s="107"/>
      <c r="W99" s="107"/>
      <c r="X99" s="107"/>
      <c r="Y99" s="107"/>
      <c r="Z99" s="107"/>
      <c r="AA99" s="107"/>
      <c r="AB99" s="107"/>
      <c r="AC99" s="107"/>
      <c r="AD99" s="107"/>
      <c r="AE99" s="107"/>
      <c r="AF99" s="107"/>
      <c r="AG99" s="107"/>
      <c r="AH99" s="107"/>
      <c r="AI99" s="107"/>
      <c r="AJ99" s="108"/>
      <c r="AK99" s="56"/>
      <c r="AL99" s="56"/>
      <c r="AM99" s="106" t="str">
        <f>IF([14]回答表!F17="水道事業",IF([14]回答表!AD43="○",[14]回答表!B255,""),"")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IF([14]回答表!F17="簡易水道事業",IF([14]回答表!X43="○","○",""),"")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IF([14]回答表!F17="簡易水道事業",IF([14]回答表!X43="○",[14]回答表!B154,IF([14]回答表!AA43="○",[14]回答表!B201,"")),"")</f>
        <v/>
      </c>
      <c r="AN111" s="107"/>
      <c r="AO111" s="107"/>
      <c r="AP111" s="107"/>
      <c r="AQ111" s="107"/>
      <c r="AR111" s="107"/>
      <c r="AS111" s="107"/>
      <c r="AT111" s="107"/>
      <c r="AU111" s="107"/>
      <c r="AV111" s="107"/>
      <c r="AW111" s="107"/>
      <c r="AX111" s="107"/>
      <c r="AY111" s="107"/>
      <c r="AZ111" s="107"/>
      <c r="BA111" s="107"/>
      <c r="BB111" s="108"/>
      <c r="BC111" s="40"/>
      <c r="BD111" s="35"/>
      <c r="BE111" s="115" t="str">
        <f>IF([14]回答表!F17="簡易水道事業",IF([14]回答表!X43="○",[14]回答表!B190,IF([14]回答表!AA43="○",[14]回答表!B238,"")),"")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IF([14]回答表!F17="簡易水道事業",IF([14]回答表!X43="○",[14]回答表!Y181,IF([14]回答表!AA43="○",[14]回答表!Y229,"")),"")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IF([14]回答表!F17="簡易水道事業",IF([14]回答表!X43="○",[14]回答表!E190,IF([14]回答表!AA43="○",[14]回答表!E238,"")),"")</f>
        <v/>
      </c>
      <c r="BF114" s="83"/>
      <c r="BG114" s="83"/>
      <c r="BH114" s="83"/>
      <c r="BI114" s="82" t="str">
        <f>IF([14]回答表!F17="簡易水道事業",IF([14]回答表!X43="○",[14]回答表!E191,IF([14]回答表!AA43="○",[14]回答表!E239,"")),"")</f>
        <v/>
      </c>
      <c r="BJ114" s="83"/>
      <c r="BK114" s="83"/>
      <c r="BL114" s="83"/>
      <c r="BM114" s="82" t="str">
        <f>IF([14]回答表!F17="簡易水道事業",IF([14]回答表!X43="○",[14]回答表!E192,IF([14]回答表!AA43="○",[14]回答表!E240,"")),"")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IF([14]回答表!F17="簡易水道事業",IF([14]回答表!AA43="○","○",""),"")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IF([14]回答表!F17="簡易水道事業",IF([14]回答表!X43="○",[14]回答表!Y182,IF([14]回答表!AA43="○",[14]回答表!Y230,"")),"")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IF([14]回答表!F17="簡易水道事業",IF([14]回答表!AD43="○","○",""),"")</f>
        <v/>
      </c>
      <c r="O123" s="98"/>
      <c r="P123" s="98"/>
      <c r="Q123" s="99"/>
      <c r="R123" s="39"/>
      <c r="S123" s="39"/>
      <c r="T123" s="39"/>
      <c r="U123" s="106" t="str">
        <f>IF([14]回答表!F17="簡易水道事業",IF([14]回答表!AD43="○",[14]回答表!B249,""),"")</f>
        <v/>
      </c>
      <c r="V123" s="107"/>
      <c r="W123" s="107"/>
      <c r="X123" s="107"/>
      <c r="Y123" s="107"/>
      <c r="Z123" s="107"/>
      <c r="AA123" s="107"/>
      <c r="AB123" s="107"/>
      <c r="AC123" s="107"/>
      <c r="AD123" s="107"/>
      <c r="AE123" s="107"/>
      <c r="AF123" s="107"/>
      <c r="AG123" s="107"/>
      <c r="AH123" s="107"/>
      <c r="AI123" s="107"/>
      <c r="AJ123" s="108"/>
      <c r="AK123" s="56"/>
      <c r="AL123" s="56"/>
      <c r="AM123" s="106" t="str">
        <f>IF([14]回答表!F17="簡易水道事業",IF([14]回答表!AD43="○",[14]回答表!B255,""),"")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IF([14]回答表!F17="下水道事業",IF([14]回答表!X43="○","○",""),"")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IF([14]回答表!F17="下水道事業",IF([14]回答表!X43="○",[14]回答表!B154,IF([14]回答表!AA43="○",[14]回答表!B201,"")),"")</f>
        <v/>
      </c>
      <c r="AN135" s="107"/>
      <c r="AO135" s="107"/>
      <c r="AP135" s="107"/>
      <c r="AQ135" s="107"/>
      <c r="AR135" s="107"/>
      <c r="AS135" s="107"/>
      <c r="AT135" s="107"/>
      <c r="AU135" s="107"/>
      <c r="AV135" s="107"/>
      <c r="AW135" s="107"/>
      <c r="AX135" s="107"/>
      <c r="AY135" s="107"/>
      <c r="AZ135" s="107"/>
      <c r="BA135" s="107"/>
      <c r="BB135" s="108"/>
      <c r="BC135" s="40"/>
      <c r="BD135" s="35"/>
      <c r="BE135" s="115" t="str">
        <f>IF([14]回答表!F17="下水道事業",IF([14]回答表!X43="○",[14]回答表!B190,IF([14]回答表!AA43="○",[14]回答表!B238,"")),"")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IF([14]回答表!F17="下水道事業",IF([14]回答表!X43="○",[14]回答表!Y184,IF([14]回答表!AA43="○",[14]回答表!Y232,"")),"")</f>
        <v/>
      </c>
      <c r="V137" s="119"/>
      <c r="W137" s="119"/>
      <c r="X137" s="119"/>
      <c r="Y137" s="119"/>
      <c r="Z137" s="119"/>
      <c r="AA137" s="119"/>
      <c r="AB137" s="120"/>
      <c r="AC137" s="118" t="str">
        <f>IF([14]回答表!F17="下水道事業",IF([14]回答表!X43="○",[14]回答表!Y185,IF([14]回答表!AA43="○",[14]回答表!Y233,"")),"")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IF([14]回答表!F17="下水道事業",IF([14]回答表!X43="○",[14]回答表!E190,IF([14]回答表!AA43="○",[14]回答表!E238,"")),"")</f>
        <v/>
      </c>
      <c r="BF138" s="83"/>
      <c r="BG138" s="83"/>
      <c r="BH138" s="83"/>
      <c r="BI138" s="82" t="str">
        <f>IF([14]回答表!F17="下水道事業",IF([14]回答表!X43="○",[14]回答表!E191,IF([14]回答表!AA43="○",[14]回答表!E239,"")),"")</f>
        <v/>
      </c>
      <c r="BJ138" s="83"/>
      <c r="BK138" s="83"/>
      <c r="BL138" s="83"/>
      <c r="BM138" s="82" t="str">
        <f>IF([14]回答表!F17="下水道事業",IF([14]回答表!X43="○",[14]回答表!E192,IF([14]回答表!AA43="○",[14]回答表!E240,"")),"")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IF([14]回答表!F17="下水道事業",IF([14]回答表!AA43="○","○",""),"")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IF([14]回答表!F17="下水道事業",IF([14]回答表!X43="○",[14]回答表!Y186,IF([14]回答表!AA43="○",[14]回答表!Y234,"")),"")</f>
        <v/>
      </c>
      <c r="V142" s="119"/>
      <c r="W142" s="119"/>
      <c r="X142" s="119"/>
      <c r="Y142" s="119"/>
      <c r="Z142" s="119"/>
      <c r="AA142" s="119"/>
      <c r="AB142" s="120"/>
      <c r="AC142" s="118" t="str">
        <f>IF([14]回答表!F17="下水道事業",IF([14]回答表!X43="○",[14]回答表!Y187,IF([14]回答表!AA43="○",[14]回答表!Y235,"")),"")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IF([14]回答表!F17="下水道事業",IF([14]回答表!AD43="○","○",""),"")</f>
        <v/>
      </c>
      <c r="O147" s="98"/>
      <c r="P147" s="98"/>
      <c r="Q147" s="99"/>
      <c r="R147" s="39"/>
      <c r="S147" s="39"/>
      <c r="T147" s="39"/>
      <c r="U147" s="106" t="str">
        <f>IF([14]回答表!F17="下水道事業",IF([14]回答表!AD43="○",[14]回答表!B249,""),"")</f>
        <v/>
      </c>
      <c r="V147" s="107"/>
      <c r="W147" s="107"/>
      <c r="X147" s="107"/>
      <c r="Y147" s="107"/>
      <c r="Z147" s="107"/>
      <c r="AA147" s="107"/>
      <c r="AB147" s="107"/>
      <c r="AC147" s="107"/>
      <c r="AD147" s="107"/>
      <c r="AE147" s="107"/>
      <c r="AF147" s="107"/>
      <c r="AG147" s="107"/>
      <c r="AH147" s="107"/>
      <c r="AI147" s="107"/>
      <c r="AJ147" s="108"/>
      <c r="AK147" s="56"/>
      <c r="AL147" s="56"/>
      <c r="AM147" s="106" t="str">
        <f>IF([14]回答表!F17="下水道事業",IF([14]回答表!AD43="○",[14]回答表!B255,""),"")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IF([14]回答表!BD17="○",IF([14]回答表!X43="○","○",""),"")</f>
        <v/>
      </c>
      <c r="O159" s="98"/>
      <c r="P159" s="98"/>
      <c r="Q159" s="99"/>
      <c r="R159" s="39"/>
      <c r="S159" s="39"/>
      <c r="T159" s="39"/>
      <c r="U159" s="106" t="str">
        <f>IF([14]回答表!BD17="○",IF([14]回答表!X43="○",[14]回答表!B154,IF([14]回答表!AA43="○",[14]回答表!B201,"")),"")</f>
        <v/>
      </c>
      <c r="V159" s="107"/>
      <c r="W159" s="107"/>
      <c r="X159" s="107"/>
      <c r="Y159" s="107"/>
      <c r="Z159" s="107"/>
      <c r="AA159" s="107"/>
      <c r="AB159" s="107"/>
      <c r="AC159" s="107"/>
      <c r="AD159" s="107"/>
      <c r="AE159" s="107"/>
      <c r="AF159" s="107"/>
      <c r="AG159" s="107"/>
      <c r="AH159" s="107"/>
      <c r="AI159" s="107"/>
      <c r="AJ159" s="108"/>
      <c r="AK159" s="50"/>
      <c r="AL159" s="50"/>
      <c r="AM159" s="115" t="str">
        <f>IF([14]回答表!BD17="○",IF([14]回答表!X43="○",[14]回答表!B190,IF([14]回答表!AA43="○",[14]回答表!B238,"")),"")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IF([14]回答表!BD17="○",IF([14]回答表!X43="○",[14]回答表!E190,IF([14]回答表!AA43="○",[14]回答表!E238,"")),"")</f>
        <v/>
      </c>
      <c r="AN162" s="83"/>
      <c r="AO162" s="83"/>
      <c r="AP162" s="83"/>
      <c r="AQ162" s="82" t="str">
        <f>IF([14]回答表!BD17="○",IF([14]回答表!X43="○",[14]回答表!E191,IF([14]回答表!AA43="○",[14]回答表!E239,"")),"")</f>
        <v/>
      </c>
      <c r="AR162" s="83"/>
      <c r="AS162" s="83"/>
      <c r="AT162" s="83"/>
      <c r="AU162" s="82" t="str">
        <f>IF([14]回答表!BD17="○",IF([14]回答表!X43="○",[14]回答表!E192,IF([14]回答表!AA43="○",[14]回答表!E240,"")),"")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IF([14]回答表!BD17="○",IF([14]回答表!AA43="○","○",""),"")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IF([14]回答表!BD17="○",IF([14]回答表!AD43="○","○",""),"")</f>
        <v/>
      </c>
      <c r="O171" s="98"/>
      <c r="P171" s="98"/>
      <c r="Q171" s="99"/>
      <c r="R171" s="39"/>
      <c r="S171" s="39"/>
      <c r="T171" s="39"/>
      <c r="U171" s="106" t="str">
        <f>IF([14]回答表!BD17="○",IF([14]回答表!AD43="○",[14]回答表!B249,""),"")</f>
        <v/>
      </c>
      <c r="V171" s="107"/>
      <c r="W171" s="107"/>
      <c r="X171" s="107"/>
      <c r="Y171" s="107"/>
      <c r="Z171" s="107"/>
      <c r="AA171" s="107"/>
      <c r="AB171" s="107"/>
      <c r="AC171" s="107"/>
      <c r="AD171" s="107"/>
      <c r="AE171" s="107"/>
      <c r="AF171" s="107"/>
      <c r="AG171" s="107"/>
      <c r="AH171" s="107"/>
      <c r="AI171" s="107"/>
      <c r="AJ171" s="108"/>
      <c r="AK171" s="56"/>
      <c r="AL171" s="56"/>
      <c r="AM171" s="106" t="str">
        <f>IF([14]回答表!BD17="○",IF([14]回答表!AD43="○",[14]回答表!B255,""),"")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IF([14]回答表!X44="○","○","")</f>
        <v/>
      </c>
      <c r="O183" s="98"/>
      <c r="P183" s="98"/>
      <c r="Q183" s="99"/>
      <c r="R183" s="39"/>
      <c r="S183" s="39"/>
      <c r="T183" s="39"/>
      <c r="U183" s="106" t="str">
        <f>IF([14]回答表!X44="○",[14]回答表!B266,IF([14]回答表!AA44="○",[14]回答表!B283,""))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IF([14]回答表!X44="○",[14]回答表!U272,IF([14]回答表!AA44="○",[14]回答表!U289,""))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IF([14]回答表!X44="○",[14]回答表!G272,IF([14]回答表!AA44="○",[14]回答表!G289,""))</f>
        <v/>
      </c>
      <c r="AN186" s="119"/>
      <c r="AO186" s="119"/>
      <c r="AP186" s="119"/>
      <c r="AQ186" s="119"/>
      <c r="AR186" s="119"/>
      <c r="AS186" s="119"/>
      <c r="AT186" s="120"/>
      <c r="AU186" s="118" t="str">
        <f>IF([14]回答表!X44="○",[14]回答表!G273,IF([14]回答表!AA44="○",[14]回答表!G290,""))</f>
        <v/>
      </c>
      <c r="AV186" s="119"/>
      <c r="AW186" s="119"/>
      <c r="AX186" s="119"/>
      <c r="AY186" s="119"/>
      <c r="AZ186" s="119"/>
      <c r="BA186" s="119"/>
      <c r="BB186" s="120"/>
      <c r="BC186" s="40"/>
      <c r="BD186" s="35"/>
      <c r="BE186" s="82" t="str">
        <f>IF([14]回答表!X44="○",[14]回答表!X272,IF([14]回答表!AA44="○",[14]回答表!X289,""))</f>
        <v/>
      </c>
      <c r="BF186" s="83"/>
      <c r="BG186" s="83"/>
      <c r="BH186" s="83"/>
      <c r="BI186" s="82" t="str">
        <f>IF([14]回答表!X44="○",[14]回答表!X273,IF([14]回答表!AA44="○",[14]回答表!X290,""))</f>
        <v/>
      </c>
      <c r="BJ186" s="83"/>
      <c r="BK186" s="83"/>
      <c r="BL186" s="86"/>
      <c r="BM186" s="82" t="str">
        <f>IF([14]回答表!X44="○",[14]回答表!X274,IF([14]回答表!AA44="○",[14]回答表!X291,""))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IF([14]回答表!AD44="○","○","")</f>
        <v/>
      </c>
      <c r="O195" s="98"/>
      <c r="P195" s="98"/>
      <c r="Q195" s="99"/>
      <c r="R195" s="39"/>
      <c r="S195" s="39"/>
      <c r="T195" s="39"/>
      <c r="U195" s="106" t="str">
        <f>IF([14]回答表!AD44="○",[14]回答表!B296,"")</f>
        <v/>
      </c>
      <c r="V195" s="107"/>
      <c r="W195" s="107"/>
      <c r="X195" s="107"/>
      <c r="Y195" s="107"/>
      <c r="Z195" s="107"/>
      <c r="AA195" s="107"/>
      <c r="AB195" s="107"/>
      <c r="AC195" s="107"/>
      <c r="AD195" s="107"/>
      <c r="AE195" s="107"/>
      <c r="AF195" s="107"/>
      <c r="AG195" s="107"/>
      <c r="AH195" s="107"/>
      <c r="AI195" s="107"/>
      <c r="AJ195" s="108"/>
      <c r="AK195" s="61"/>
      <c r="AL195" s="61"/>
      <c r="AM195" s="106" t="str">
        <f>IF([14]回答表!AD44="○",[14]回答表!B302,"")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IF([14]回答表!X45="○","○","")</f>
        <v/>
      </c>
      <c r="O207" s="98"/>
      <c r="P207" s="98"/>
      <c r="Q207" s="99"/>
      <c r="R207" s="39"/>
      <c r="S207" s="39"/>
      <c r="T207" s="39"/>
      <c r="U207" s="106" t="str">
        <f>IF([14]回答表!X45="○",[14]回答表!B314,IF([14]回答表!AA45="○",[14]回答表!B337,""))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IF([14]回答表!X45="○",[14]回答表!B320,"")</f>
        <v/>
      </c>
      <c r="AO207" s="164"/>
      <c r="AP207" s="164"/>
      <c r="AQ207" s="164"/>
      <c r="AR207" s="164"/>
      <c r="AS207" s="164"/>
      <c r="AT207" s="164"/>
      <c r="AU207" s="164"/>
      <c r="AV207" s="164"/>
      <c r="AW207" s="164"/>
      <c r="AX207" s="164"/>
      <c r="AY207" s="164"/>
      <c r="AZ207" s="164"/>
      <c r="BA207" s="164"/>
      <c r="BB207" s="165"/>
      <c r="BC207" s="40"/>
      <c r="BD207" s="35"/>
      <c r="BE207" s="115" t="str">
        <f>IF([14]回答表!X45="○",[14]回答表!B326,IF([14]回答表!AA45="○",[14]回答表!B343,""))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IF([14]回答表!X45="○",[14]回答表!E326,IF([14]回答表!AA45="○",[14]回答表!E343,""))</f>
        <v/>
      </c>
      <c r="BF210" s="83"/>
      <c r="BG210" s="83"/>
      <c r="BH210" s="83"/>
      <c r="BI210" s="82" t="str">
        <f>IF([14]回答表!X45="○",[14]回答表!E327,IF([14]回答表!AA45="○",[14]回答表!E344,""))</f>
        <v/>
      </c>
      <c r="BJ210" s="83"/>
      <c r="BK210" s="83"/>
      <c r="BL210" s="86"/>
      <c r="BM210" s="82" t="str">
        <f>IF([14]回答表!X45="○",[14]回答表!E328,IF([14]回答表!AA45="○",[14]回答表!E345,""))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IF([14]回答表!AD45="○","○","")</f>
        <v/>
      </c>
      <c r="O219" s="98"/>
      <c r="P219" s="98"/>
      <c r="Q219" s="99"/>
      <c r="R219" s="39"/>
      <c r="S219" s="39"/>
      <c r="T219" s="39"/>
      <c r="U219" s="106" t="str">
        <f>IF([14]回答表!AD45="○",[14]回答表!B350,"")</f>
        <v/>
      </c>
      <c r="V219" s="107"/>
      <c r="W219" s="107"/>
      <c r="X219" s="107"/>
      <c r="Y219" s="107"/>
      <c r="Z219" s="107"/>
      <c r="AA219" s="107"/>
      <c r="AB219" s="107"/>
      <c r="AC219" s="107"/>
      <c r="AD219" s="107"/>
      <c r="AE219" s="107"/>
      <c r="AF219" s="107"/>
      <c r="AG219" s="107"/>
      <c r="AH219" s="107"/>
      <c r="AI219" s="107"/>
      <c r="AJ219" s="108"/>
      <c r="AK219" s="61"/>
      <c r="AL219" s="61"/>
      <c r="AM219" s="106" t="str">
        <f>IF([14]回答表!AD45="○",[14]回答表!B356,"")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IF([14]回答表!X46="○","○","")</f>
        <v/>
      </c>
      <c r="O231" s="98"/>
      <c r="P231" s="98"/>
      <c r="Q231" s="99"/>
      <c r="R231" s="39"/>
      <c r="S231" s="39"/>
      <c r="T231" s="39"/>
      <c r="U231" s="106" t="str">
        <f>IF([14]回答表!X46="○",[14]回答表!B368,IF([14]回答表!AA46="○",[14]回答表!B382,""))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IF([14]回答表!X46="○",[14]回答表!BC375,IF([14]回答表!AA46="○",[14]回答表!BC389,""))</f>
        <v/>
      </c>
      <c r="AR231" s="150"/>
      <c r="AS231" s="150"/>
      <c r="AT231" s="150"/>
      <c r="AU231" s="155" t="s">
        <v>63</v>
      </c>
      <c r="AV231" s="156"/>
      <c r="AW231" s="156"/>
      <c r="AX231" s="157"/>
      <c r="AY231" s="150" t="str">
        <f>IF([14]回答表!X46="○",[14]回答表!BC380,IF([14]回答表!AA46="○",[14]回答表!BC394,""))</f>
        <v/>
      </c>
      <c r="AZ231" s="150"/>
      <c r="BA231" s="150"/>
      <c r="BB231" s="150"/>
      <c r="BC231" s="40"/>
      <c r="BD231" s="35"/>
      <c r="BE231" s="115" t="str">
        <f>IF([14]回答表!X46="○",[14]回答表!S374,IF([14]回答表!AA46="○",[14]回答表!S388,""))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IF([14]回答表!X46="○",[14]回答表!BC376,IF([14]回答表!AA46="○",[14]回答表!BC390,""))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IF([14]回答表!X46="○",[14]回答表!V374,IF([14]回答表!AA46="○",[14]回答表!V388,""))</f>
        <v/>
      </c>
      <c r="BF234" s="83"/>
      <c r="BG234" s="83"/>
      <c r="BH234" s="83"/>
      <c r="BI234" s="82" t="str">
        <f>IF([14]回答表!X46="○",[14]回答表!V375,IF([14]回答表!AA46="○",[14]回答表!V389,""))</f>
        <v/>
      </c>
      <c r="BJ234" s="83"/>
      <c r="BK234" s="83"/>
      <c r="BL234" s="86"/>
      <c r="BM234" s="82" t="str">
        <f>IF([14]回答表!X46="○",[14]回答表!V376,IF([14]回答表!AA46="○",[14]回答表!V390,""))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IF([14]回答表!X46="○",[14]回答表!BC377,IF([14]回答表!AA46="○",[14]回答表!BC391,""))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IF([14]回答表!X46="○",[14]回答表!BC381,IF([14]回答表!AA46="○",[14]回答表!BC395,""))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IF([14]回答表!X46="○",[14]回答表!BC378,IF([14]回答表!AA46="○",[14]回答表!BC392,""))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IF([14]回答表!X46="○",[14]回答表!BC379,IF([14]回答表!AA46="○",[14]回答表!BC393,""))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IF([14]回答表!AD46="○","○","")</f>
        <v/>
      </c>
      <c r="O243" s="98"/>
      <c r="P243" s="98"/>
      <c r="Q243" s="99"/>
      <c r="R243" s="39"/>
      <c r="S243" s="39"/>
      <c r="T243" s="39"/>
      <c r="U243" s="106" t="str">
        <f>IF([14]回答表!AD46="○",[14]回答表!B396,"")</f>
        <v/>
      </c>
      <c r="V243" s="107"/>
      <c r="W243" s="107"/>
      <c r="X243" s="107"/>
      <c r="Y243" s="107"/>
      <c r="Z243" s="107"/>
      <c r="AA243" s="107"/>
      <c r="AB243" s="107"/>
      <c r="AC243" s="107"/>
      <c r="AD243" s="107"/>
      <c r="AE243" s="107"/>
      <c r="AF243" s="107"/>
      <c r="AG243" s="107"/>
      <c r="AH243" s="107"/>
      <c r="AI243" s="107"/>
      <c r="AJ243" s="108"/>
      <c r="AK243" s="56"/>
      <c r="AL243" s="56"/>
      <c r="AM243" s="106" t="str">
        <f>IF([14]回答表!AD46="○",[14]回答表!B402,"")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IF([14]回答表!X47="○","○","")</f>
        <v/>
      </c>
      <c r="O254" s="98"/>
      <c r="P254" s="98"/>
      <c r="Q254" s="99"/>
      <c r="R254" s="39"/>
      <c r="S254" s="39"/>
      <c r="T254" s="39"/>
      <c r="U254" s="106" t="str">
        <f>IF([14]回答表!X47="○",[14]回答表!B414,IF([14]回答表!AA47="○",[14]回答表!B431,""))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IF([14]回答表!X47="○",[14]回答表!B424,IF([14]回答表!AA47="○",[14]回答表!B441,""))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IF([14]回答表!X47="○",[14]回答表!G420,IF([14]回答表!AA47="○",[14]回答表!G437,""))</f>
        <v/>
      </c>
      <c r="AN256" s="119"/>
      <c r="AO256" s="119"/>
      <c r="AP256" s="119"/>
      <c r="AQ256" s="119"/>
      <c r="AR256" s="119"/>
      <c r="AS256" s="119"/>
      <c r="AT256" s="120"/>
      <c r="AU256" s="118" t="str">
        <f>IF([14]回答表!X47="○",[14]回答表!G421,IF([14]回答表!AA47="○",[14]回答表!G438,""))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IF([14]回答表!X47="○",[14]回答表!E424,IF([14]回答表!AA47="○",[14]回答表!E441,""))</f>
        <v/>
      </c>
      <c r="BF257" s="83"/>
      <c r="BG257" s="83"/>
      <c r="BH257" s="83"/>
      <c r="BI257" s="82" t="str">
        <f>IF([14]回答表!X47="○",[14]回答表!E425,IF([14]回答表!AA47="○",[14]回答表!E442,""))</f>
        <v/>
      </c>
      <c r="BJ257" s="83"/>
      <c r="BK257" s="83"/>
      <c r="BL257" s="86"/>
      <c r="BM257" s="82" t="str">
        <f>IF([14]回答表!X47="○",[14]回答表!E426,IF([14]回答表!AA47="○",[14]回答表!E443,""))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IF([14]回答表!AD47="○","○","")</f>
        <v/>
      </c>
      <c r="O266" s="98"/>
      <c r="P266" s="98"/>
      <c r="Q266" s="99"/>
      <c r="R266" s="39"/>
      <c r="S266" s="39"/>
      <c r="T266" s="39"/>
      <c r="U266" s="106" t="str">
        <f>IF([14]回答表!AD47="○",[14]回答表!B448,"")</f>
        <v/>
      </c>
      <c r="V266" s="107"/>
      <c r="W266" s="107"/>
      <c r="X266" s="107"/>
      <c r="Y266" s="107"/>
      <c r="Z266" s="107"/>
      <c r="AA266" s="107"/>
      <c r="AB266" s="107"/>
      <c r="AC266" s="107"/>
      <c r="AD266" s="107"/>
      <c r="AE266" s="107"/>
      <c r="AF266" s="107"/>
      <c r="AG266" s="107"/>
      <c r="AH266" s="107"/>
      <c r="AI266" s="107"/>
      <c r="AJ266" s="108"/>
      <c r="AK266" s="50"/>
      <c r="AL266" s="50"/>
      <c r="AM266" s="106" t="str">
        <f>IF([14]回答表!AD47="○",[14]回答表!B454,"")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IF([14]回答表!R48="○",[14]回答表!B467,"")</f>
        <v xml:space="preserve">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
　また、地域医療構想において、地域における将来の医療需要や病院機能を議論する中で、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5165-A4DE-4BA0-9C8F-57A3D16427B2}">
  <sheetPr>
    <pageSetUpPr fitToPage="1"/>
  </sheetPr>
  <dimension ref="A1:CE298"/>
  <sheetViews>
    <sheetView showZeros="0" topLeftCell="A244"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IF(COUNTIF([12]回答表!K15,"*")&gt;0,[12]回答表!K15,"")</f>
        <v>仙北市</v>
      </c>
      <c r="D11" s="255"/>
      <c r="E11" s="255"/>
      <c r="F11" s="255"/>
      <c r="G11" s="255"/>
      <c r="H11" s="255"/>
      <c r="I11" s="255"/>
      <c r="J11" s="255"/>
      <c r="K11" s="255"/>
      <c r="L11" s="255"/>
      <c r="M11" s="255"/>
      <c r="N11" s="255"/>
      <c r="O11" s="255"/>
      <c r="P11" s="255"/>
      <c r="Q11" s="255"/>
      <c r="R11" s="255"/>
      <c r="S11" s="255"/>
      <c r="T11" s="255"/>
      <c r="U11" s="262" t="str">
        <f>IF(COUNTIF([12]回答表!F17,"*")&gt;0,[12]回答表!F17,"")</f>
        <v>観光施設事業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IF(COUNTIF([12]回答表!W17,"*")&gt;0,[12]回答表!W17,"")</f>
        <v>その他観光</v>
      </c>
      <c r="AP11" s="257"/>
      <c r="AQ11" s="257"/>
      <c r="AR11" s="257"/>
      <c r="AS11" s="257"/>
      <c r="AT11" s="257"/>
      <c r="AU11" s="257"/>
      <c r="AV11" s="257"/>
      <c r="AW11" s="257"/>
      <c r="AX11" s="257"/>
      <c r="AY11" s="257"/>
      <c r="AZ11" s="257"/>
      <c r="BA11" s="257"/>
      <c r="BB11" s="257"/>
      <c r="BC11" s="257"/>
      <c r="BD11" s="257"/>
      <c r="BE11" s="258"/>
      <c r="BF11" s="261" t="str">
        <f>IF(COUNTIF([12]回答表!F19,"*")&gt;0,[12]回答表!F19,"")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IF([12]回答表!R41="○","○","")</f>
        <v/>
      </c>
      <c r="E24" s="122"/>
      <c r="F24" s="122"/>
      <c r="G24" s="122"/>
      <c r="H24" s="122"/>
      <c r="I24" s="122"/>
      <c r="J24" s="123"/>
      <c r="K24" s="121" t="str">
        <f>IF([12]回答表!R42="○","○","")</f>
        <v/>
      </c>
      <c r="L24" s="122"/>
      <c r="M24" s="122"/>
      <c r="N24" s="122"/>
      <c r="O24" s="122"/>
      <c r="P24" s="122"/>
      <c r="Q24" s="123"/>
      <c r="R24" s="121" t="str">
        <f>IF([12]回答表!R43="○","○","")</f>
        <v/>
      </c>
      <c r="S24" s="122"/>
      <c r="T24" s="122"/>
      <c r="U24" s="122"/>
      <c r="V24" s="122"/>
      <c r="W24" s="122"/>
      <c r="X24" s="123"/>
      <c r="Y24" s="121" t="str">
        <f>IF([12]回答表!R44="○","○","")</f>
        <v/>
      </c>
      <c r="Z24" s="122"/>
      <c r="AA24" s="122"/>
      <c r="AB24" s="122"/>
      <c r="AC24" s="122"/>
      <c r="AD24" s="122"/>
      <c r="AE24" s="123"/>
      <c r="AF24" s="121" t="str">
        <f>IF([12]回答表!R45="○","○","")</f>
        <v/>
      </c>
      <c r="AG24" s="122"/>
      <c r="AH24" s="122"/>
      <c r="AI24" s="122"/>
      <c r="AJ24" s="122"/>
      <c r="AK24" s="122"/>
      <c r="AL24" s="123"/>
      <c r="AM24" s="121" t="str">
        <f>IF([12]回答表!R46="○","○","")</f>
        <v/>
      </c>
      <c r="AN24" s="122"/>
      <c r="AO24" s="122"/>
      <c r="AP24" s="122"/>
      <c r="AQ24" s="122"/>
      <c r="AR24" s="122"/>
      <c r="AS24" s="123"/>
      <c r="AT24" s="121" t="str">
        <f>IF([12]回答表!R47="○","○","")</f>
        <v/>
      </c>
      <c r="AU24" s="122"/>
      <c r="AV24" s="122"/>
      <c r="AW24" s="122"/>
      <c r="AX24" s="122"/>
      <c r="AY24" s="122"/>
      <c r="AZ24" s="123"/>
      <c r="BA24" s="19"/>
      <c r="BB24" s="118" t="str">
        <f>IF([12]回答表!R48="○","○","")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IF([12]回答表!X41="○","○","")</f>
        <v/>
      </c>
      <c r="O36" s="98"/>
      <c r="P36" s="98"/>
      <c r="Q36" s="99"/>
      <c r="R36" s="39"/>
      <c r="S36" s="39"/>
      <c r="T36" s="39"/>
      <c r="U36" s="106" t="str">
        <f>IF([12]回答表!X41="○",[12]回答表!B56,IF([12]回答表!AA41="○",[12]回答表!B76,""))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IF([12]回答表!X41="○",[12]回答表!S62,IF([12]回答表!AA41="○",[12]回答表!S82,""))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IF([12]回答表!X41="○",[12]回答表!G62,IF([12]回答表!AA41="○",[12]回答表!G82,""))</f>
        <v/>
      </c>
      <c r="AN38" s="119"/>
      <c r="AO38" s="119"/>
      <c r="AP38" s="119"/>
      <c r="AQ38" s="119"/>
      <c r="AR38" s="119"/>
      <c r="AS38" s="119"/>
      <c r="AT38" s="120"/>
      <c r="AU38" s="118" t="str">
        <f>IF([12]回答表!X41="○",[12]回答表!G63,IF([12]回答表!AA41="○",[12]回答表!G83,""))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IF([12]回答表!X41="○",[12]回答表!V62,IF([12]回答表!AA41="○",[12]回答表!V82,""))</f>
        <v/>
      </c>
      <c r="BF39" s="208"/>
      <c r="BG39" s="208"/>
      <c r="BH39" s="209"/>
      <c r="BI39" s="82" t="str">
        <f>IF([12]回答表!X41="○",[12]回答表!V63,IF([12]回答表!AA41="○",[12]回答表!V83,""))</f>
        <v/>
      </c>
      <c r="BJ39" s="208"/>
      <c r="BK39" s="208"/>
      <c r="BL39" s="209"/>
      <c r="BM39" s="82" t="str">
        <f>IF([12]回答表!X41="○",[12]回答表!V64,IF([12]回答表!AA41="○",[12]回答表!V84,""))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IF([12]回答表!X41="○",[12]回答表!O68,IF([12]回答表!AA41="○",[12]回答表!O88,""))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IF([12]回答表!X41="○",[12]回答表!O69,IF([12]回答表!AA41="○",[12]回答表!O89,""))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IF([12]回答表!AA41="○","○","")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IF([12]回答表!X41="○",[12]回答表!O70,IF([12]回答表!AA41="○",[12]回答表!O90,""))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IF([12]回答表!X41="○",[12]回答表!O71,IF([12]回答表!AA41="○",[12]回答表!O91,""))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IF([12]回答表!X41="○",[12]回答表!AG68,IF([12]回答表!AA41="○",[12]回答表!AG88,""))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IF([12]回答表!X41="○",[12]回答表!AG69,IF([12]回答表!AA41="○",[12]回答表!AG89,""))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IF([12]回答表!X41="○",[12]回答表!AG70,IF([12]回答表!AA41="○",[12]回答表!AG90,""))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IF([12]回答表!AD41="○","○","")</f>
        <v/>
      </c>
      <c r="O52" s="98"/>
      <c r="P52" s="98"/>
      <c r="Q52" s="99"/>
      <c r="R52" s="39"/>
      <c r="S52" s="39"/>
      <c r="T52" s="39"/>
      <c r="U52" s="106" t="str">
        <f>IF([12]回答表!AD41="○",[12]回答表!B96,"")</f>
        <v/>
      </c>
      <c r="V52" s="107"/>
      <c r="W52" s="107"/>
      <c r="X52" s="107"/>
      <c r="Y52" s="107"/>
      <c r="Z52" s="107"/>
      <c r="AA52" s="107"/>
      <c r="AB52" s="107"/>
      <c r="AC52" s="107"/>
      <c r="AD52" s="107"/>
      <c r="AE52" s="107"/>
      <c r="AF52" s="107"/>
      <c r="AG52" s="107"/>
      <c r="AH52" s="107"/>
      <c r="AI52" s="107"/>
      <c r="AJ52" s="108"/>
      <c r="AK52" s="56"/>
      <c r="AL52" s="56"/>
      <c r="AM52" s="106" t="str">
        <f>IF([12]回答表!AD41="○",[12]回答表!B101,"")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IF([12]回答表!X42="○","○","")</f>
        <v/>
      </c>
      <c r="O63" s="98"/>
      <c r="P63" s="98"/>
      <c r="Q63" s="99"/>
      <c r="R63" s="39"/>
      <c r="S63" s="39"/>
      <c r="T63" s="39"/>
      <c r="U63" s="106" t="str">
        <f>IF([12]回答表!X42="○",[12]回答表!B111,IF([12]回答表!AA42="○",[12]回答表!B124,""))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IF([12]回答表!X42="○",[12]回答表!S117,IF([12]回答表!AA42="○",[12]回答表!S130,""))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IF([12]回答表!X42="○",[12]回答表!J117,IF([12]回答表!AA42="○",[12]回答表!J130,""))</f>
        <v/>
      </c>
      <c r="AN66" s="119"/>
      <c r="AO66" s="119"/>
      <c r="AP66" s="119"/>
      <c r="AQ66" s="119"/>
      <c r="AR66" s="119"/>
      <c r="AS66" s="119"/>
      <c r="AT66" s="120"/>
      <c r="AU66" s="118" t="str">
        <f>IF([12]回答表!X42="○",[12]回答表!J118,IF([12]回答表!AA42="○",[12]回答表!J131,""))</f>
        <v/>
      </c>
      <c r="AV66" s="119"/>
      <c r="AW66" s="119"/>
      <c r="AX66" s="119"/>
      <c r="AY66" s="119"/>
      <c r="AZ66" s="119"/>
      <c r="BA66" s="119"/>
      <c r="BB66" s="120"/>
      <c r="BC66" s="40"/>
      <c r="BD66" s="35"/>
      <c r="BE66" s="82" t="str">
        <f>IF([12]回答表!X42="○",[12]回答表!V117,IF([12]回答表!AA42="○",[12]回答表!V130,""))</f>
        <v/>
      </c>
      <c r="BF66" s="83"/>
      <c r="BG66" s="83"/>
      <c r="BH66" s="83"/>
      <c r="BI66" s="82" t="str">
        <f>IF([12]回答表!X42="○",[12]回答表!V118,IF([12]回答表!AA42="○",[12]回答表!V131,""))</f>
        <v/>
      </c>
      <c r="BJ66" s="83"/>
      <c r="BK66" s="83"/>
      <c r="BL66" s="83"/>
      <c r="BM66" s="82" t="str">
        <f>IF([12]回答表!X42="○",[12]回答表!V119,IF([12]回答表!AA42="○",[12]回答表!V132,""))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IF([12]回答表!AD42="○","○","")</f>
        <v/>
      </c>
      <c r="O75" s="98"/>
      <c r="P75" s="98"/>
      <c r="Q75" s="99"/>
      <c r="R75" s="39"/>
      <c r="S75" s="39"/>
      <c r="T75" s="39"/>
      <c r="U75" s="106" t="str">
        <f>IF([12]回答表!AD42="○",[12]回答表!B137,"")</f>
        <v/>
      </c>
      <c r="V75" s="107"/>
      <c r="W75" s="107"/>
      <c r="X75" s="107"/>
      <c r="Y75" s="107"/>
      <c r="Z75" s="107"/>
      <c r="AA75" s="107"/>
      <c r="AB75" s="107"/>
      <c r="AC75" s="107"/>
      <c r="AD75" s="107"/>
      <c r="AE75" s="107"/>
      <c r="AF75" s="107"/>
      <c r="AG75" s="107"/>
      <c r="AH75" s="107"/>
      <c r="AI75" s="107"/>
      <c r="AJ75" s="108"/>
      <c r="AK75" s="56"/>
      <c r="AL75" s="56"/>
      <c r="AM75" s="106" t="str">
        <f>IF([12]回答表!AD42="○",[12]回答表!B143,"")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IF([12]回答表!F17="水道事業",IF([12]回答表!X43="○","○",""),"")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IF([12]回答表!F17="水道事業",IF([12]回答表!X43="○",[12]回答表!B154,IF([12]回答表!AA43="○",[12]回答表!B201,"")),"")</f>
        <v/>
      </c>
      <c r="AN87" s="107"/>
      <c r="AO87" s="107"/>
      <c r="AP87" s="107"/>
      <c r="AQ87" s="107"/>
      <c r="AR87" s="107"/>
      <c r="AS87" s="107"/>
      <c r="AT87" s="107"/>
      <c r="AU87" s="107"/>
      <c r="AV87" s="107"/>
      <c r="AW87" s="107"/>
      <c r="AX87" s="107"/>
      <c r="AY87" s="107"/>
      <c r="AZ87" s="107"/>
      <c r="BA87" s="107"/>
      <c r="BB87" s="108"/>
      <c r="BC87" s="40"/>
      <c r="BD87" s="35"/>
      <c r="BE87" s="115" t="str">
        <f>IF([12]回答表!F17="水道事業",IF([12]回答表!X43="○",[12]回答表!B190,IF([12]回答表!AA43="○",[12]回答表!B238,"")),"")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IF([12]回答表!F17="水道事業",IF([12]回答表!X43="○",[12]回答表!J162,IF([12]回答表!AA43="○",[12]回答表!J209,"")),"")</f>
        <v/>
      </c>
      <c r="V89" s="119"/>
      <c r="W89" s="119"/>
      <c r="X89" s="119"/>
      <c r="Y89" s="119"/>
      <c r="Z89" s="119"/>
      <c r="AA89" s="119"/>
      <c r="AB89" s="120"/>
      <c r="AC89" s="118" t="str">
        <f>IF([12]回答表!F17="水道事業",IF([12]回答表!X43="○",[12]回答表!J169,IF([12]回答表!AA43="○",[12]回答表!J216,"")),"")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IF([12]回答表!F17="水道事業",IF([12]回答表!X43="○",[12]回答表!E190,IF([12]回答表!AA43="○",[12]回答表!E238,"")),"")</f>
        <v/>
      </c>
      <c r="BF90" s="83"/>
      <c r="BG90" s="83"/>
      <c r="BH90" s="83"/>
      <c r="BI90" s="82" t="str">
        <f>IF([12]回答表!F17="水道事業",IF([12]回答表!X43="○",[12]回答表!E191,IF([12]回答表!AA43="○",[12]回答表!E239,"")),"")</f>
        <v/>
      </c>
      <c r="BJ90" s="83"/>
      <c r="BK90" s="83"/>
      <c r="BL90" s="83"/>
      <c r="BM90" s="82" t="str">
        <f>IF([12]回答表!F17="水道事業",IF([12]回答表!X43="○",[12]回答表!E192,IF([12]回答表!AA43="○",[12]回答表!E240,"")),"")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IF([12]回答表!F17="水道事業",IF([12]回答表!AA43="○","○",""),"")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IF([12]回答表!F17="水道事業",IF([12]回答表!X43="○",[12]回答表!J172,IF([12]回答表!AA43="○",[12]回答表!J219,"")),"")</f>
        <v/>
      </c>
      <c r="V94" s="119"/>
      <c r="W94" s="119"/>
      <c r="X94" s="119"/>
      <c r="Y94" s="119"/>
      <c r="Z94" s="119"/>
      <c r="AA94" s="119"/>
      <c r="AB94" s="120"/>
      <c r="AC94" s="118" t="str">
        <f>IF([12]回答表!F17="水道事業",IF([12]回答表!X43="○",[12]回答表!J176,IF([12]回答表!AA43="○",[12]回答表!J223,"")),"")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IF([12]回答表!F17="水道事業",IF([12]回答表!AD43="○","○",""),"")</f>
        <v/>
      </c>
      <c r="O99" s="98"/>
      <c r="P99" s="98"/>
      <c r="Q99" s="99"/>
      <c r="R99" s="39"/>
      <c r="S99" s="39"/>
      <c r="T99" s="39"/>
      <c r="U99" s="106" t="str">
        <f>IF([12]回答表!F17="水道事業",IF([12]回答表!AD43="○",[12]回答表!B249,""),"")</f>
        <v/>
      </c>
      <c r="V99" s="107"/>
      <c r="W99" s="107"/>
      <c r="X99" s="107"/>
      <c r="Y99" s="107"/>
      <c r="Z99" s="107"/>
      <c r="AA99" s="107"/>
      <c r="AB99" s="107"/>
      <c r="AC99" s="107"/>
      <c r="AD99" s="107"/>
      <c r="AE99" s="107"/>
      <c r="AF99" s="107"/>
      <c r="AG99" s="107"/>
      <c r="AH99" s="107"/>
      <c r="AI99" s="107"/>
      <c r="AJ99" s="108"/>
      <c r="AK99" s="56"/>
      <c r="AL99" s="56"/>
      <c r="AM99" s="106" t="str">
        <f>IF([12]回答表!F17="水道事業",IF([12]回答表!AD43="○",[12]回答表!B255,""),"")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IF([12]回答表!F17="簡易水道事業",IF([12]回答表!X43="○","○",""),"")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IF([12]回答表!F17="簡易水道事業",IF([12]回答表!X43="○",[12]回答表!B154,IF([12]回答表!AA43="○",[12]回答表!B201,"")),"")</f>
        <v/>
      </c>
      <c r="AN111" s="107"/>
      <c r="AO111" s="107"/>
      <c r="AP111" s="107"/>
      <c r="AQ111" s="107"/>
      <c r="AR111" s="107"/>
      <c r="AS111" s="107"/>
      <c r="AT111" s="107"/>
      <c r="AU111" s="107"/>
      <c r="AV111" s="107"/>
      <c r="AW111" s="107"/>
      <c r="AX111" s="107"/>
      <c r="AY111" s="107"/>
      <c r="AZ111" s="107"/>
      <c r="BA111" s="107"/>
      <c r="BB111" s="108"/>
      <c r="BC111" s="40"/>
      <c r="BD111" s="35"/>
      <c r="BE111" s="115" t="str">
        <f>IF([12]回答表!F17="簡易水道事業",IF([12]回答表!X43="○",[12]回答表!B190,IF([12]回答表!AA43="○",[12]回答表!B238,"")),"")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IF([12]回答表!F17="簡易水道事業",IF([12]回答表!X43="○",[12]回答表!Y181,IF([12]回答表!AA43="○",[12]回答表!Y229,"")),"")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IF([12]回答表!F17="簡易水道事業",IF([12]回答表!X43="○",[12]回答表!E190,IF([12]回答表!AA43="○",[12]回答表!E238,"")),"")</f>
        <v/>
      </c>
      <c r="BF114" s="83"/>
      <c r="BG114" s="83"/>
      <c r="BH114" s="83"/>
      <c r="BI114" s="82" t="str">
        <f>IF([12]回答表!F17="簡易水道事業",IF([12]回答表!X43="○",[12]回答表!E191,IF([12]回答表!AA43="○",[12]回答表!E239,"")),"")</f>
        <v/>
      </c>
      <c r="BJ114" s="83"/>
      <c r="BK114" s="83"/>
      <c r="BL114" s="83"/>
      <c r="BM114" s="82" t="str">
        <f>IF([12]回答表!F17="簡易水道事業",IF([12]回答表!X43="○",[12]回答表!E192,IF([12]回答表!AA43="○",[12]回答表!E240,"")),"")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IF([12]回答表!F17="簡易水道事業",IF([12]回答表!AA43="○","○",""),"")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IF([12]回答表!F17="簡易水道事業",IF([12]回答表!X43="○",[12]回答表!Y182,IF([12]回答表!AA43="○",[12]回答表!Y230,"")),"")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IF([12]回答表!F17="簡易水道事業",IF([12]回答表!AD43="○","○",""),"")</f>
        <v/>
      </c>
      <c r="O123" s="98"/>
      <c r="P123" s="98"/>
      <c r="Q123" s="99"/>
      <c r="R123" s="39"/>
      <c r="S123" s="39"/>
      <c r="T123" s="39"/>
      <c r="U123" s="106" t="str">
        <f>IF([12]回答表!F17="簡易水道事業",IF([12]回答表!AD43="○",[12]回答表!B249,""),"")</f>
        <v/>
      </c>
      <c r="V123" s="107"/>
      <c r="W123" s="107"/>
      <c r="X123" s="107"/>
      <c r="Y123" s="107"/>
      <c r="Z123" s="107"/>
      <c r="AA123" s="107"/>
      <c r="AB123" s="107"/>
      <c r="AC123" s="107"/>
      <c r="AD123" s="107"/>
      <c r="AE123" s="107"/>
      <c r="AF123" s="107"/>
      <c r="AG123" s="107"/>
      <c r="AH123" s="107"/>
      <c r="AI123" s="107"/>
      <c r="AJ123" s="108"/>
      <c r="AK123" s="56"/>
      <c r="AL123" s="56"/>
      <c r="AM123" s="106" t="str">
        <f>IF([12]回答表!F17="簡易水道事業",IF([12]回答表!AD43="○",[12]回答表!B255,""),"")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IF([12]回答表!F17="下水道事業",IF([12]回答表!X43="○","○",""),"")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IF([12]回答表!F17="下水道事業",IF([12]回答表!X43="○",[12]回答表!B154,IF([12]回答表!AA43="○",[12]回答表!B201,"")),"")</f>
        <v/>
      </c>
      <c r="AN135" s="107"/>
      <c r="AO135" s="107"/>
      <c r="AP135" s="107"/>
      <c r="AQ135" s="107"/>
      <c r="AR135" s="107"/>
      <c r="AS135" s="107"/>
      <c r="AT135" s="107"/>
      <c r="AU135" s="107"/>
      <c r="AV135" s="107"/>
      <c r="AW135" s="107"/>
      <c r="AX135" s="107"/>
      <c r="AY135" s="107"/>
      <c r="AZ135" s="107"/>
      <c r="BA135" s="107"/>
      <c r="BB135" s="108"/>
      <c r="BC135" s="40"/>
      <c r="BD135" s="35"/>
      <c r="BE135" s="115" t="str">
        <f>IF([12]回答表!F17="下水道事業",IF([12]回答表!X43="○",[12]回答表!B190,IF([12]回答表!AA43="○",[12]回答表!B238,"")),"")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IF([12]回答表!F17="下水道事業",IF([12]回答表!X43="○",[12]回答表!Y184,IF([12]回答表!AA43="○",[12]回答表!Y232,"")),"")</f>
        <v/>
      </c>
      <c r="V137" s="119"/>
      <c r="W137" s="119"/>
      <c r="X137" s="119"/>
      <c r="Y137" s="119"/>
      <c r="Z137" s="119"/>
      <c r="AA137" s="119"/>
      <c r="AB137" s="120"/>
      <c r="AC137" s="118" t="str">
        <f>IF([12]回答表!F17="下水道事業",IF([12]回答表!X43="○",[12]回答表!Y185,IF([12]回答表!AA43="○",[12]回答表!Y233,"")),"")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IF([12]回答表!F17="下水道事業",IF([12]回答表!X43="○",[12]回答表!E190,IF([12]回答表!AA43="○",[12]回答表!E238,"")),"")</f>
        <v/>
      </c>
      <c r="BF138" s="83"/>
      <c r="BG138" s="83"/>
      <c r="BH138" s="83"/>
      <c r="BI138" s="82" t="str">
        <f>IF([12]回答表!F17="下水道事業",IF([12]回答表!X43="○",[12]回答表!E191,IF([12]回答表!AA43="○",[12]回答表!E239,"")),"")</f>
        <v/>
      </c>
      <c r="BJ138" s="83"/>
      <c r="BK138" s="83"/>
      <c r="BL138" s="83"/>
      <c r="BM138" s="82" t="str">
        <f>IF([12]回答表!F17="下水道事業",IF([12]回答表!X43="○",[12]回答表!E192,IF([12]回答表!AA43="○",[12]回答表!E240,"")),"")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IF([12]回答表!F17="下水道事業",IF([12]回答表!AA43="○","○",""),"")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IF([12]回答表!F17="下水道事業",IF([12]回答表!X43="○",[12]回答表!Y186,IF([12]回答表!AA43="○",[12]回答表!Y234,"")),"")</f>
        <v/>
      </c>
      <c r="V142" s="119"/>
      <c r="W142" s="119"/>
      <c r="X142" s="119"/>
      <c r="Y142" s="119"/>
      <c r="Z142" s="119"/>
      <c r="AA142" s="119"/>
      <c r="AB142" s="120"/>
      <c r="AC142" s="118" t="str">
        <f>IF([12]回答表!F17="下水道事業",IF([12]回答表!X43="○",[12]回答表!Y187,IF([12]回答表!AA43="○",[12]回答表!Y235,"")),"")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IF([12]回答表!F17="下水道事業",IF([12]回答表!AD43="○","○",""),"")</f>
        <v/>
      </c>
      <c r="O147" s="98"/>
      <c r="P147" s="98"/>
      <c r="Q147" s="99"/>
      <c r="R147" s="39"/>
      <c r="S147" s="39"/>
      <c r="T147" s="39"/>
      <c r="U147" s="106" t="str">
        <f>IF([12]回答表!F17="下水道事業",IF([12]回答表!AD43="○",[12]回答表!B249,""),"")</f>
        <v/>
      </c>
      <c r="V147" s="107"/>
      <c r="W147" s="107"/>
      <c r="X147" s="107"/>
      <c r="Y147" s="107"/>
      <c r="Z147" s="107"/>
      <c r="AA147" s="107"/>
      <c r="AB147" s="107"/>
      <c r="AC147" s="107"/>
      <c r="AD147" s="107"/>
      <c r="AE147" s="107"/>
      <c r="AF147" s="107"/>
      <c r="AG147" s="107"/>
      <c r="AH147" s="107"/>
      <c r="AI147" s="107"/>
      <c r="AJ147" s="108"/>
      <c r="AK147" s="56"/>
      <c r="AL147" s="56"/>
      <c r="AM147" s="106" t="str">
        <f>IF([12]回答表!F17="下水道事業",IF([12]回答表!AD43="○",[12]回答表!B255,""),"")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IF([12]回答表!BD17="○",IF([12]回答表!X43="○","○",""),"")</f>
        <v/>
      </c>
      <c r="O159" s="98"/>
      <c r="P159" s="98"/>
      <c r="Q159" s="99"/>
      <c r="R159" s="39"/>
      <c r="S159" s="39"/>
      <c r="T159" s="39"/>
      <c r="U159" s="106" t="str">
        <f>IF([12]回答表!BD17="○",IF([12]回答表!X43="○",[12]回答表!B154,IF([12]回答表!AA43="○",[12]回答表!B201,"")),"")</f>
        <v/>
      </c>
      <c r="V159" s="107"/>
      <c r="W159" s="107"/>
      <c r="X159" s="107"/>
      <c r="Y159" s="107"/>
      <c r="Z159" s="107"/>
      <c r="AA159" s="107"/>
      <c r="AB159" s="107"/>
      <c r="AC159" s="107"/>
      <c r="AD159" s="107"/>
      <c r="AE159" s="107"/>
      <c r="AF159" s="107"/>
      <c r="AG159" s="107"/>
      <c r="AH159" s="107"/>
      <c r="AI159" s="107"/>
      <c r="AJ159" s="108"/>
      <c r="AK159" s="50"/>
      <c r="AL159" s="50"/>
      <c r="AM159" s="115" t="str">
        <f>IF([12]回答表!BD17="○",IF([12]回答表!X43="○",[12]回答表!B190,IF([12]回答表!AA43="○",[12]回答表!B238,"")),"")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IF([12]回答表!BD17="○",IF([12]回答表!X43="○",[12]回答表!E190,IF([12]回答表!AA43="○",[12]回答表!E238,"")),"")</f>
        <v/>
      </c>
      <c r="AN162" s="83"/>
      <c r="AO162" s="83"/>
      <c r="AP162" s="83"/>
      <c r="AQ162" s="82" t="str">
        <f>IF([12]回答表!BD17="○",IF([12]回答表!X43="○",[12]回答表!E191,IF([12]回答表!AA43="○",[12]回答表!E239,"")),"")</f>
        <v/>
      </c>
      <c r="AR162" s="83"/>
      <c r="AS162" s="83"/>
      <c r="AT162" s="83"/>
      <c r="AU162" s="82" t="str">
        <f>IF([12]回答表!BD17="○",IF([12]回答表!X43="○",[12]回答表!E192,IF([12]回答表!AA43="○",[12]回答表!E240,"")),"")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IF([12]回答表!BD17="○",IF([12]回答表!AA43="○","○",""),"")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IF([12]回答表!BD17="○",IF([12]回答表!AD43="○","○",""),"")</f>
        <v/>
      </c>
      <c r="O171" s="98"/>
      <c r="P171" s="98"/>
      <c r="Q171" s="99"/>
      <c r="R171" s="39"/>
      <c r="S171" s="39"/>
      <c r="T171" s="39"/>
      <c r="U171" s="106" t="str">
        <f>IF([12]回答表!BD17="○",IF([12]回答表!AD43="○",[12]回答表!B249,""),"")</f>
        <v/>
      </c>
      <c r="V171" s="107"/>
      <c r="W171" s="107"/>
      <c r="X171" s="107"/>
      <c r="Y171" s="107"/>
      <c r="Z171" s="107"/>
      <c r="AA171" s="107"/>
      <c r="AB171" s="107"/>
      <c r="AC171" s="107"/>
      <c r="AD171" s="107"/>
      <c r="AE171" s="107"/>
      <c r="AF171" s="107"/>
      <c r="AG171" s="107"/>
      <c r="AH171" s="107"/>
      <c r="AI171" s="107"/>
      <c r="AJ171" s="108"/>
      <c r="AK171" s="56"/>
      <c r="AL171" s="56"/>
      <c r="AM171" s="106" t="str">
        <f>IF([12]回答表!BD17="○",IF([12]回答表!AD43="○",[12]回答表!B255,""),"")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IF([12]回答表!X44="○","○","")</f>
        <v/>
      </c>
      <c r="O183" s="98"/>
      <c r="P183" s="98"/>
      <c r="Q183" s="99"/>
      <c r="R183" s="39"/>
      <c r="S183" s="39"/>
      <c r="T183" s="39"/>
      <c r="U183" s="106" t="str">
        <f>IF([12]回答表!X44="○",[12]回答表!B266,IF([12]回答表!AA44="○",[12]回答表!B283,""))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IF([12]回答表!X44="○",[12]回答表!U272,IF([12]回答表!AA44="○",[12]回答表!U289,""))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IF([12]回答表!X44="○",[12]回答表!G272,IF([12]回答表!AA44="○",[12]回答表!G289,""))</f>
        <v/>
      </c>
      <c r="AN186" s="119"/>
      <c r="AO186" s="119"/>
      <c r="AP186" s="119"/>
      <c r="AQ186" s="119"/>
      <c r="AR186" s="119"/>
      <c r="AS186" s="119"/>
      <c r="AT186" s="120"/>
      <c r="AU186" s="118" t="str">
        <f>IF([12]回答表!X44="○",[12]回答表!G273,IF([12]回答表!AA44="○",[12]回答表!G290,""))</f>
        <v/>
      </c>
      <c r="AV186" s="119"/>
      <c r="AW186" s="119"/>
      <c r="AX186" s="119"/>
      <c r="AY186" s="119"/>
      <c r="AZ186" s="119"/>
      <c r="BA186" s="119"/>
      <c r="BB186" s="120"/>
      <c r="BC186" s="40"/>
      <c r="BD186" s="35"/>
      <c r="BE186" s="82" t="str">
        <f>IF([12]回答表!X44="○",[12]回答表!X272,IF([12]回答表!AA44="○",[12]回答表!X289,""))</f>
        <v/>
      </c>
      <c r="BF186" s="83"/>
      <c r="BG186" s="83"/>
      <c r="BH186" s="83"/>
      <c r="BI186" s="82" t="str">
        <f>IF([12]回答表!X44="○",[12]回答表!X273,IF([12]回答表!AA44="○",[12]回答表!X290,""))</f>
        <v/>
      </c>
      <c r="BJ186" s="83"/>
      <c r="BK186" s="83"/>
      <c r="BL186" s="86"/>
      <c r="BM186" s="82" t="str">
        <f>IF([12]回答表!X44="○",[12]回答表!X274,IF([12]回答表!AA44="○",[12]回答表!X291,""))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IF([12]回答表!AD44="○","○","")</f>
        <v/>
      </c>
      <c r="O195" s="98"/>
      <c r="P195" s="98"/>
      <c r="Q195" s="99"/>
      <c r="R195" s="39"/>
      <c r="S195" s="39"/>
      <c r="T195" s="39"/>
      <c r="U195" s="106" t="str">
        <f>IF([12]回答表!AD44="○",[12]回答表!B296,"")</f>
        <v/>
      </c>
      <c r="V195" s="107"/>
      <c r="W195" s="107"/>
      <c r="X195" s="107"/>
      <c r="Y195" s="107"/>
      <c r="Z195" s="107"/>
      <c r="AA195" s="107"/>
      <c r="AB195" s="107"/>
      <c r="AC195" s="107"/>
      <c r="AD195" s="107"/>
      <c r="AE195" s="107"/>
      <c r="AF195" s="107"/>
      <c r="AG195" s="107"/>
      <c r="AH195" s="107"/>
      <c r="AI195" s="107"/>
      <c r="AJ195" s="108"/>
      <c r="AK195" s="61"/>
      <c r="AL195" s="61"/>
      <c r="AM195" s="106" t="str">
        <f>IF([12]回答表!AD44="○",[12]回答表!B302,"")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IF([12]回答表!X45="○","○","")</f>
        <v/>
      </c>
      <c r="O207" s="98"/>
      <c r="P207" s="98"/>
      <c r="Q207" s="99"/>
      <c r="R207" s="39"/>
      <c r="S207" s="39"/>
      <c r="T207" s="39"/>
      <c r="U207" s="106" t="str">
        <f>IF([12]回答表!X45="○",[12]回答表!B314,IF([12]回答表!AA45="○",[12]回答表!B337,""))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IF([12]回答表!X45="○",[12]回答表!B320,"")</f>
        <v/>
      </c>
      <c r="AO207" s="164"/>
      <c r="AP207" s="164"/>
      <c r="AQ207" s="164"/>
      <c r="AR207" s="164"/>
      <c r="AS207" s="164"/>
      <c r="AT207" s="164"/>
      <c r="AU207" s="164"/>
      <c r="AV207" s="164"/>
      <c r="AW207" s="164"/>
      <c r="AX207" s="164"/>
      <c r="AY207" s="164"/>
      <c r="AZ207" s="164"/>
      <c r="BA207" s="164"/>
      <c r="BB207" s="165"/>
      <c r="BC207" s="40"/>
      <c r="BD207" s="35"/>
      <c r="BE207" s="115" t="str">
        <f>IF([12]回答表!X45="○",[12]回答表!B326,IF([12]回答表!AA45="○",[12]回答表!B343,""))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IF([12]回答表!X45="○",[12]回答表!E326,IF([12]回答表!AA45="○",[12]回答表!E343,""))</f>
        <v/>
      </c>
      <c r="BF210" s="83"/>
      <c r="BG210" s="83"/>
      <c r="BH210" s="83"/>
      <c r="BI210" s="82" t="str">
        <f>IF([12]回答表!X45="○",[12]回答表!E327,IF([12]回答表!AA45="○",[12]回答表!E344,""))</f>
        <v/>
      </c>
      <c r="BJ210" s="83"/>
      <c r="BK210" s="83"/>
      <c r="BL210" s="86"/>
      <c r="BM210" s="82" t="str">
        <f>IF([12]回答表!X45="○",[12]回答表!E328,IF([12]回答表!AA45="○",[12]回答表!E345,""))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IF([12]回答表!AD45="○","○","")</f>
        <v/>
      </c>
      <c r="O219" s="98"/>
      <c r="P219" s="98"/>
      <c r="Q219" s="99"/>
      <c r="R219" s="39"/>
      <c r="S219" s="39"/>
      <c r="T219" s="39"/>
      <c r="U219" s="106" t="str">
        <f>IF([12]回答表!AD45="○",[12]回答表!B350,"")</f>
        <v/>
      </c>
      <c r="V219" s="107"/>
      <c r="W219" s="107"/>
      <c r="X219" s="107"/>
      <c r="Y219" s="107"/>
      <c r="Z219" s="107"/>
      <c r="AA219" s="107"/>
      <c r="AB219" s="107"/>
      <c r="AC219" s="107"/>
      <c r="AD219" s="107"/>
      <c r="AE219" s="107"/>
      <c r="AF219" s="107"/>
      <c r="AG219" s="107"/>
      <c r="AH219" s="107"/>
      <c r="AI219" s="107"/>
      <c r="AJ219" s="108"/>
      <c r="AK219" s="61"/>
      <c r="AL219" s="61"/>
      <c r="AM219" s="106" t="str">
        <f>IF([12]回答表!AD45="○",[12]回答表!B356,"")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IF([12]回答表!X46="○","○","")</f>
        <v/>
      </c>
      <c r="O231" s="98"/>
      <c r="P231" s="98"/>
      <c r="Q231" s="99"/>
      <c r="R231" s="39"/>
      <c r="S231" s="39"/>
      <c r="T231" s="39"/>
      <c r="U231" s="106" t="str">
        <f>IF([12]回答表!X46="○",[12]回答表!B368,IF([12]回答表!AA46="○",[12]回答表!B382,""))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IF([12]回答表!X46="○",[12]回答表!BC375,IF([12]回答表!AA46="○",[12]回答表!BC389,""))</f>
        <v/>
      </c>
      <c r="AR231" s="150"/>
      <c r="AS231" s="150"/>
      <c r="AT231" s="150"/>
      <c r="AU231" s="155" t="s">
        <v>63</v>
      </c>
      <c r="AV231" s="156"/>
      <c r="AW231" s="156"/>
      <c r="AX231" s="157"/>
      <c r="AY231" s="150" t="str">
        <f>IF([12]回答表!X46="○",[12]回答表!BC380,IF([12]回答表!AA46="○",[12]回答表!BC394,""))</f>
        <v/>
      </c>
      <c r="AZ231" s="150"/>
      <c r="BA231" s="150"/>
      <c r="BB231" s="150"/>
      <c r="BC231" s="40"/>
      <c r="BD231" s="35"/>
      <c r="BE231" s="115" t="str">
        <f>IF([12]回答表!X46="○",[12]回答表!S374,IF([12]回答表!AA46="○",[12]回答表!S388,""))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IF([12]回答表!X46="○",[12]回答表!BC376,IF([12]回答表!AA46="○",[12]回答表!BC390,""))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IF([12]回答表!X46="○",[12]回答表!V374,IF([12]回答表!AA46="○",[12]回答表!V388,""))</f>
        <v/>
      </c>
      <c r="BF234" s="83"/>
      <c r="BG234" s="83"/>
      <c r="BH234" s="83"/>
      <c r="BI234" s="82" t="str">
        <f>IF([12]回答表!X46="○",[12]回答表!V375,IF([12]回答表!AA46="○",[12]回答表!V389,""))</f>
        <v/>
      </c>
      <c r="BJ234" s="83"/>
      <c r="BK234" s="83"/>
      <c r="BL234" s="86"/>
      <c r="BM234" s="82" t="str">
        <f>IF([12]回答表!X46="○",[12]回答表!V376,IF([12]回答表!AA46="○",[12]回答表!V390,""))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IF([12]回答表!X46="○",[12]回答表!BC377,IF([12]回答表!AA46="○",[12]回答表!BC391,""))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IF([12]回答表!X46="○",[12]回答表!BC381,IF([12]回答表!AA46="○",[12]回答表!BC395,""))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IF([12]回答表!X46="○",[12]回答表!BC378,IF([12]回答表!AA46="○",[12]回答表!BC392,""))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IF([12]回答表!X46="○",[12]回答表!BC379,IF([12]回答表!AA46="○",[12]回答表!BC393,""))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IF([12]回答表!AD46="○","○","")</f>
        <v/>
      </c>
      <c r="O243" s="98"/>
      <c r="P243" s="98"/>
      <c r="Q243" s="99"/>
      <c r="R243" s="39"/>
      <c r="S243" s="39"/>
      <c r="T243" s="39"/>
      <c r="U243" s="106" t="str">
        <f>IF([12]回答表!AD46="○",[12]回答表!B396,"")</f>
        <v/>
      </c>
      <c r="V243" s="107"/>
      <c r="W243" s="107"/>
      <c r="X243" s="107"/>
      <c r="Y243" s="107"/>
      <c r="Z243" s="107"/>
      <c r="AA243" s="107"/>
      <c r="AB243" s="107"/>
      <c r="AC243" s="107"/>
      <c r="AD243" s="107"/>
      <c r="AE243" s="107"/>
      <c r="AF243" s="107"/>
      <c r="AG243" s="107"/>
      <c r="AH243" s="107"/>
      <c r="AI243" s="107"/>
      <c r="AJ243" s="108"/>
      <c r="AK243" s="56"/>
      <c r="AL243" s="56"/>
      <c r="AM243" s="106" t="str">
        <f>IF([12]回答表!AD46="○",[12]回答表!B402,"")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IF([12]回答表!X47="○","○","")</f>
        <v/>
      </c>
      <c r="O254" s="98"/>
      <c r="P254" s="98"/>
      <c r="Q254" s="99"/>
      <c r="R254" s="39"/>
      <c r="S254" s="39"/>
      <c r="T254" s="39"/>
      <c r="U254" s="106" t="str">
        <f>IF([12]回答表!X47="○",[12]回答表!B414,IF([12]回答表!AA47="○",[12]回答表!B431,""))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IF([12]回答表!X47="○",[12]回答表!B424,IF([12]回答表!AA47="○",[12]回答表!B441,""))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IF([12]回答表!X47="○",[12]回答表!G420,IF([12]回答表!AA47="○",[12]回答表!G437,""))</f>
        <v/>
      </c>
      <c r="AN256" s="119"/>
      <c r="AO256" s="119"/>
      <c r="AP256" s="119"/>
      <c r="AQ256" s="119"/>
      <c r="AR256" s="119"/>
      <c r="AS256" s="119"/>
      <c r="AT256" s="120"/>
      <c r="AU256" s="118" t="str">
        <f>IF([12]回答表!X47="○",[12]回答表!G421,IF([12]回答表!AA47="○",[12]回答表!G438,""))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IF([12]回答表!X47="○",[12]回答表!E424,IF([12]回答表!AA47="○",[12]回答表!E441,""))</f>
        <v/>
      </c>
      <c r="BF257" s="83"/>
      <c r="BG257" s="83"/>
      <c r="BH257" s="83"/>
      <c r="BI257" s="82" t="str">
        <f>IF([12]回答表!X47="○",[12]回答表!E425,IF([12]回答表!AA47="○",[12]回答表!E442,""))</f>
        <v/>
      </c>
      <c r="BJ257" s="83"/>
      <c r="BK257" s="83"/>
      <c r="BL257" s="86"/>
      <c r="BM257" s="82" t="str">
        <f>IF([12]回答表!X47="○",[12]回答表!E426,IF([12]回答表!AA47="○",[12]回答表!E443,""))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IF([12]回答表!AD47="○","○","")</f>
        <v/>
      </c>
      <c r="O266" s="98"/>
      <c r="P266" s="98"/>
      <c r="Q266" s="99"/>
      <c r="R266" s="39"/>
      <c r="S266" s="39"/>
      <c r="T266" s="39"/>
      <c r="U266" s="106" t="str">
        <f>IF([12]回答表!AD47="○",[12]回答表!B448,"")</f>
        <v/>
      </c>
      <c r="V266" s="107"/>
      <c r="W266" s="107"/>
      <c r="X266" s="107"/>
      <c r="Y266" s="107"/>
      <c r="Z266" s="107"/>
      <c r="AA266" s="107"/>
      <c r="AB266" s="107"/>
      <c r="AC266" s="107"/>
      <c r="AD266" s="107"/>
      <c r="AE266" s="107"/>
      <c r="AF266" s="107"/>
      <c r="AG266" s="107"/>
      <c r="AH266" s="107"/>
      <c r="AI266" s="107"/>
      <c r="AJ266" s="108"/>
      <c r="AK266" s="50"/>
      <c r="AL266" s="50"/>
      <c r="AM266" s="106" t="str">
        <f>IF([12]回答表!AD47="○",[12]回答表!B454,"")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IF([12]回答表!R48="○",[12]回答表!B467,"")</f>
        <v>事業の規模が小さく、人員が少ない等の理由から抜本的な改革の検討に至らないため。</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4D5A-844B-4515-91CB-16DBC4264687}">
  <sheetPr>
    <pageSetUpPr fitToPage="1"/>
  </sheetPr>
  <dimension ref="A1:CE298"/>
  <sheetViews>
    <sheetView showZeros="0" zoomScale="55" zoomScaleNormal="55" workbookViewId="0">
      <selection activeCell="R59" sqref="R59:BB6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IF(COUNTIF([2]回答表!K15,"*")&gt;0,[2]回答表!K15,"")</f>
        <v>仙北市</v>
      </c>
      <c r="D11" s="255"/>
      <c r="E11" s="255"/>
      <c r="F11" s="255"/>
      <c r="G11" s="255"/>
      <c r="H11" s="255"/>
      <c r="I11" s="255"/>
      <c r="J11" s="255"/>
      <c r="K11" s="255"/>
      <c r="L11" s="255"/>
      <c r="M11" s="255"/>
      <c r="N11" s="255"/>
      <c r="O11" s="255"/>
      <c r="P11" s="255"/>
      <c r="Q11" s="255"/>
      <c r="R11" s="255"/>
      <c r="S11" s="255"/>
      <c r="T11" s="255"/>
      <c r="U11" s="262" t="str">
        <f>IF(COUNTIF([2]回答表!F17,"*")&gt;0,[2]回答表!F17,"")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IF(COUNTIF([2]回答表!W17,"*")&gt;0,[2]回答表!W17,"")</f>
        <v>公共下水道</v>
      </c>
      <c r="AP11" s="257"/>
      <c r="AQ11" s="257"/>
      <c r="AR11" s="257"/>
      <c r="AS11" s="257"/>
      <c r="AT11" s="257"/>
      <c r="AU11" s="257"/>
      <c r="AV11" s="257"/>
      <c r="AW11" s="257"/>
      <c r="AX11" s="257"/>
      <c r="AY11" s="257"/>
      <c r="AZ11" s="257"/>
      <c r="BA11" s="257"/>
      <c r="BB11" s="257"/>
      <c r="BC11" s="257"/>
      <c r="BD11" s="257"/>
      <c r="BE11" s="258"/>
      <c r="BF11" s="261" t="str">
        <f>IF(COUNTIF([2]回答表!F19,"*")&gt;0,[2]回答表!F19,"")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IF([2]回答表!R41="○","○","")</f>
        <v/>
      </c>
      <c r="E24" s="122"/>
      <c r="F24" s="122"/>
      <c r="G24" s="122"/>
      <c r="H24" s="122"/>
      <c r="I24" s="122"/>
      <c r="J24" s="123"/>
      <c r="K24" s="121" t="str">
        <f>IF([2]回答表!R42="○","○","")</f>
        <v/>
      </c>
      <c r="L24" s="122"/>
      <c r="M24" s="122"/>
      <c r="N24" s="122"/>
      <c r="O24" s="122"/>
      <c r="P24" s="122"/>
      <c r="Q24" s="123"/>
      <c r="R24" s="121" t="str">
        <f>IF([2]回答表!R43="○","○","")</f>
        <v/>
      </c>
      <c r="S24" s="122"/>
      <c r="T24" s="122"/>
      <c r="U24" s="122"/>
      <c r="V24" s="122"/>
      <c r="W24" s="122"/>
      <c r="X24" s="123"/>
      <c r="Y24" s="121" t="str">
        <f>IF([2]回答表!R44="○","○","")</f>
        <v/>
      </c>
      <c r="Z24" s="122"/>
      <c r="AA24" s="122"/>
      <c r="AB24" s="122"/>
      <c r="AC24" s="122"/>
      <c r="AD24" s="122"/>
      <c r="AE24" s="123"/>
      <c r="AF24" s="121" t="str">
        <f>IF([2]回答表!R45="○","○","")</f>
        <v/>
      </c>
      <c r="AG24" s="122"/>
      <c r="AH24" s="122"/>
      <c r="AI24" s="122"/>
      <c r="AJ24" s="122"/>
      <c r="AK24" s="122"/>
      <c r="AL24" s="123"/>
      <c r="AM24" s="121" t="str">
        <f>IF([2]回答表!R46="○","○","")</f>
        <v/>
      </c>
      <c r="AN24" s="122"/>
      <c r="AO24" s="122"/>
      <c r="AP24" s="122"/>
      <c r="AQ24" s="122"/>
      <c r="AR24" s="122"/>
      <c r="AS24" s="123"/>
      <c r="AT24" s="121" t="str">
        <f>IF([2]回答表!R47="○","○","")</f>
        <v/>
      </c>
      <c r="AU24" s="122"/>
      <c r="AV24" s="122"/>
      <c r="AW24" s="122"/>
      <c r="AX24" s="122"/>
      <c r="AY24" s="122"/>
      <c r="AZ24" s="123"/>
      <c r="BA24" s="19"/>
      <c r="BB24" s="118" t="str">
        <f>IF([2]回答表!R48="○","○","")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IF([2]回答表!X41="○","○","")</f>
        <v/>
      </c>
      <c r="O36" s="98"/>
      <c r="P36" s="98"/>
      <c r="Q36" s="99"/>
      <c r="R36" s="39"/>
      <c r="S36" s="39"/>
      <c r="T36" s="39"/>
      <c r="U36" s="106" t="str">
        <f>IF([2]回答表!X41="○",[2]回答表!B56,IF([2]回答表!AA41="○",[2]回答表!B76,""))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IF([2]回答表!X41="○",[2]回答表!S62,IF([2]回答表!AA41="○",[2]回答表!S82,""))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IF([2]回答表!X41="○",[2]回答表!G62,IF([2]回答表!AA41="○",[2]回答表!G82,""))</f>
        <v/>
      </c>
      <c r="AN38" s="119"/>
      <c r="AO38" s="119"/>
      <c r="AP38" s="119"/>
      <c r="AQ38" s="119"/>
      <c r="AR38" s="119"/>
      <c r="AS38" s="119"/>
      <c r="AT38" s="120"/>
      <c r="AU38" s="118" t="str">
        <f>IF([2]回答表!X41="○",[2]回答表!G63,IF([2]回答表!AA41="○",[2]回答表!G83,""))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IF([2]回答表!X41="○",[2]回答表!V62,IF([2]回答表!AA41="○",[2]回答表!V82,""))</f>
        <v/>
      </c>
      <c r="BF39" s="208"/>
      <c r="BG39" s="208"/>
      <c r="BH39" s="209"/>
      <c r="BI39" s="82" t="str">
        <f>IF([2]回答表!X41="○",[2]回答表!V63,IF([2]回答表!AA41="○",[2]回答表!V83,""))</f>
        <v/>
      </c>
      <c r="BJ39" s="208"/>
      <c r="BK39" s="208"/>
      <c r="BL39" s="209"/>
      <c r="BM39" s="82" t="str">
        <f>IF([2]回答表!X41="○",[2]回答表!V64,IF([2]回答表!AA41="○",[2]回答表!V84,""))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IF([2]回答表!X41="○",[2]回答表!O68,IF([2]回答表!AA41="○",[2]回答表!O88,""))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IF([2]回答表!X41="○",[2]回答表!O69,IF([2]回答表!AA41="○",[2]回答表!O89,""))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IF([2]回答表!X41="○",[2]回答表!O70,IF([2]回答表!AA41="○",[2]回答表!O90,""))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IF([2]回答表!X41="○",[2]回答表!O71,IF([2]回答表!AA41="○",[2]回答表!O91,""))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IF([2]回答表!X41="○",[2]回答表!AG68,IF([2]回答表!AA41="○",[2]回答表!AG88,""))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IF([2]回答表!X41="○",[2]回答表!AG69,IF([2]回答表!AA41="○",[2]回答表!AG89,""))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IF([2]回答表!X41="○",[2]回答表!AG70,IF([2]回答表!AA41="○",[2]回答表!AG90,""))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IF([2]回答表!AD41="○","○","")</f>
        <v/>
      </c>
      <c r="O52" s="98"/>
      <c r="P52" s="98"/>
      <c r="Q52" s="99"/>
      <c r="R52" s="39"/>
      <c r="S52" s="39"/>
      <c r="T52" s="39"/>
      <c r="U52" s="106" t="str">
        <f>IF([2]回答表!AD41="○",[2]回答表!B96,"")</f>
        <v/>
      </c>
      <c r="V52" s="107"/>
      <c r="W52" s="107"/>
      <c r="X52" s="107"/>
      <c r="Y52" s="107"/>
      <c r="Z52" s="107"/>
      <c r="AA52" s="107"/>
      <c r="AB52" s="107"/>
      <c r="AC52" s="107"/>
      <c r="AD52" s="107"/>
      <c r="AE52" s="107"/>
      <c r="AF52" s="107"/>
      <c r="AG52" s="107"/>
      <c r="AH52" s="107"/>
      <c r="AI52" s="107"/>
      <c r="AJ52" s="108"/>
      <c r="AK52" s="56"/>
      <c r="AL52" s="56"/>
      <c r="AM52" s="106" t="str">
        <f>IF([2]回答表!AD41="○",[2]回答表!B101,"")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IF([2]回答表!X42="○","○","")</f>
        <v/>
      </c>
      <c r="O63" s="98"/>
      <c r="P63" s="98"/>
      <c r="Q63" s="99"/>
      <c r="R63" s="39"/>
      <c r="S63" s="39"/>
      <c r="T63" s="39"/>
      <c r="U63" s="106" t="str">
        <f>IF([2]回答表!X42="○",[2]回答表!B111,IF([2]回答表!AA42="○",[2]回答表!B124,""))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IF([2]回答表!X42="○",[2]回答表!S117,IF([2]回答表!AA42="○",[2]回答表!S130,""))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IF([2]回答表!X42="○",[2]回答表!J117,IF([2]回答表!AA42="○",[2]回答表!J130,""))</f>
        <v/>
      </c>
      <c r="AN66" s="119"/>
      <c r="AO66" s="119"/>
      <c r="AP66" s="119"/>
      <c r="AQ66" s="119"/>
      <c r="AR66" s="119"/>
      <c r="AS66" s="119"/>
      <c r="AT66" s="120"/>
      <c r="AU66" s="118" t="str">
        <f>IF([2]回答表!X42="○",[2]回答表!J118,IF([2]回答表!AA42="○",[2]回答表!J131,""))</f>
        <v/>
      </c>
      <c r="AV66" s="119"/>
      <c r="AW66" s="119"/>
      <c r="AX66" s="119"/>
      <c r="AY66" s="119"/>
      <c r="AZ66" s="119"/>
      <c r="BA66" s="119"/>
      <c r="BB66" s="120"/>
      <c r="BC66" s="40"/>
      <c r="BD66" s="35"/>
      <c r="BE66" s="82" t="str">
        <f>IF([2]回答表!X42="○",[2]回答表!V117,IF([2]回答表!AA42="○",[2]回答表!V130,""))</f>
        <v/>
      </c>
      <c r="BF66" s="83"/>
      <c r="BG66" s="83"/>
      <c r="BH66" s="83"/>
      <c r="BI66" s="82" t="str">
        <f>IF([2]回答表!X42="○",[2]回答表!V118,IF([2]回答表!AA42="○",[2]回答表!V131,""))</f>
        <v/>
      </c>
      <c r="BJ66" s="83"/>
      <c r="BK66" s="83"/>
      <c r="BL66" s="83"/>
      <c r="BM66" s="82" t="str">
        <f>IF([2]回答表!X42="○",[2]回答表!V119,IF([2]回答表!AA42="○",[2]回答表!V132,""))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IF([2]回答表!AD42="○","○","")</f>
        <v/>
      </c>
      <c r="O75" s="98"/>
      <c r="P75" s="98"/>
      <c r="Q75" s="99"/>
      <c r="R75" s="39"/>
      <c r="S75" s="39"/>
      <c r="T75" s="39"/>
      <c r="U75" s="106" t="str">
        <f>IF([2]回答表!AD42="○",[2]回答表!B137,"")</f>
        <v/>
      </c>
      <c r="V75" s="107"/>
      <c r="W75" s="107"/>
      <c r="X75" s="107"/>
      <c r="Y75" s="107"/>
      <c r="Z75" s="107"/>
      <c r="AA75" s="107"/>
      <c r="AB75" s="107"/>
      <c r="AC75" s="107"/>
      <c r="AD75" s="107"/>
      <c r="AE75" s="107"/>
      <c r="AF75" s="107"/>
      <c r="AG75" s="107"/>
      <c r="AH75" s="107"/>
      <c r="AI75" s="107"/>
      <c r="AJ75" s="108"/>
      <c r="AK75" s="56"/>
      <c r="AL75" s="56"/>
      <c r="AM75" s="106" t="str">
        <f>IF([2]回答表!AD42="○",[2]回答表!B143,"")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IF([2]回答表!F17="水道事業",IF([2]回答表!X43="○","○",""),"")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IF([2]回答表!F17="水道事業",IF([2]回答表!X43="○",[2]回答表!B154,IF([2]回答表!AA43="○",[2]回答表!B201,"")),"")</f>
        <v/>
      </c>
      <c r="AN87" s="107"/>
      <c r="AO87" s="107"/>
      <c r="AP87" s="107"/>
      <c r="AQ87" s="107"/>
      <c r="AR87" s="107"/>
      <c r="AS87" s="107"/>
      <c r="AT87" s="107"/>
      <c r="AU87" s="107"/>
      <c r="AV87" s="107"/>
      <c r="AW87" s="107"/>
      <c r="AX87" s="107"/>
      <c r="AY87" s="107"/>
      <c r="AZ87" s="107"/>
      <c r="BA87" s="107"/>
      <c r="BB87" s="108"/>
      <c r="BC87" s="40"/>
      <c r="BD87" s="35"/>
      <c r="BE87" s="115" t="str">
        <f>IF([2]回答表!F17="水道事業",IF([2]回答表!X43="○",[2]回答表!B190,IF([2]回答表!AA43="○",[2]回答表!B238,"")),"")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IF([2]回答表!F17="水道事業",IF([2]回答表!X43="○",[2]回答表!J162,IF([2]回答表!AA43="○",[2]回答表!J209,"")),"")</f>
        <v/>
      </c>
      <c r="V89" s="119"/>
      <c r="W89" s="119"/>
      <c r="X89" s="119"/>
      <c r="Y89" s="119"/>
      <c r="Z89" s="119"/>
      <c r="AA89" s="119"/>
      <c r="AB89" s="120"/>
      <c r="AC89" s="118" t="str">
        <f>IF([2]回答表!F17="水道事業",IF([2]回答表!X43="○",[2]回答表!J169,IF([2]回答表!AA43="○",[2]回答表!J216,"")),"")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IF([2]回答表!F17="水道事業",IF([2]回答表!X43="○",[2]回答表!E190,IF([2]回答表!AA43="○",[2]回答表!E238,"")),"")</f>
        <v/>
      </c>
      <c r="BF90" s="83"/>
      <c r="BG90" s="83"/>
      <c r="BH90" s="83"/>
      <c r="BI90" s="82" t="str">
        <f>IF([2]回答表!F17="水道事業",IF([2]回答表!X43="○",[2]回答表!E191,IF([2]回答表!AA43="○",[2]回答表!E239,"")),"")</f>
        <v/>
      </c>
      <c r="BJ90" s="83"/>
      <c r="BK90" s="83"/>
      <c r="BL90" s="83"/>
      <c r="BM90" s="82" t="str">
        <f>IF([2]回答表!F17="水道事業",IF([2]回答表!X43="○",[2]回答表!E192,IF([2]回答表!AA43="○",[2]回答表!E240,"")),"")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IF([2]回答表!F17="水道事業",IF([2]回答表!AA43="○","○",""),"")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IF([2]回答表!F17="水道事業",IF([2]回答表!X43="○",[2]回答表!J172,IF([2]回答表!AA43="○",[2]回答表!J219,"")),"")</f>
        <v/>
      </c>
      <c r="V94" s="119"/>
      <c r="W94" s="119"/>
      <c r="X94" s="119"/>
      <c r="Y94" s="119"/>
      <c r="Z94" s="119"/>
      <c r="AA94" s="119"/>
      <c r="AB94" s="120"/>
      <c r="AC94" s="118" t="str">
        <f>IF([2]回答表!F17="水道事業",IF([2]回答表!X43="○",[2]回答表!J176,IF([2]回答表!AA43="○",[2]回答表!J223,"")),"")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IF([2]回答表!F17="水道事業",IF([2]回答表!AD43="○","○",""),"")</f>
        <v/>
      </c>
      <c r="O99" s="98"/>
      <c r="P99" s="98"/>
      <c r="Q99" s="99"/>
      <c r="R99" s="39"/>
      <c r="S99" s="39"/>
      <c r="T99" s="39"/>
      <c r="U99" s="106" t="str">
        <f>IF([2]回答表!F17="水道事業",IF([2]回答表!AD43="○",[2]回答表!B249,""),"")</f>
        <v/>
      </c>
      <c r="V99" s="107"/>
      <c r="W99" s="107"/>
      <c r="X99" s="107"/>
      <c r="Y99" s="107"/>
      <c r="Z99" s="107"/>
      <c r="AA99" s="107"/>
      <c r="AB99" s="107"/>
      <c r="AC99" s="107"/>
      <c r="AD99" s="107"/>
      <c r="AE99" s="107"/>
      <c r="AF99" s="107"/>
      <c r="AG99" s="107"/>
      <c r="AH99" s="107"/>
      <c r="AI99" s="107"/>
      <c r="AJ99" s="108"/>
      <c r="AK99" s="56"/>
      <c r="AL99" s="56"/>
      <c r="AM99" s="106" t="str">
        <f>IF([2]回答表!F17="水道事業",IF([2]回答表!AD43="○",[2]回答表!B255,""),"")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IF([2]回答表!F17="簡易水道事業",IF([2]回答表!X43="○","○",""),"")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IF([2]回答表!F17="簡易水道事業",IF([2]回答表!X43="○",[2]回答表!B154,IF([2]回答表!AA43="○",[2]回答表!B201,"")),"")</f>
        <v/>
      </c>
      <c r="AN111" s="107"/>
      <c r="AO111" s="107"/>
      <c r="AP111" s="107"/>
      <c r="AQ111" s="107"/>
      <c r="AR111" s="107"/>
      <c r="AS111" s="107"/>
      <c r="AT111" s="107"/>
      <c r="AU111" s="107"/>
      <c r="AV111" s="107"/>
      <c r="AW111" s="107"/>
      <c r="AX111" s="107"/>
      <c r="AY111" s="107"/>
      <c r="AZ111" s="107"/>
      <c r="BA111" s="107"/>
      <c r="BB111" s="108"/>
      <c r="BC111" s="40"/>
      <c r="BD111" s="35"/>
      <c r="BE111" s="115" t="str">
        <f>IF([2]回答表!F17="簡易水道事業",IF([2]回答表!X43="○",[2]回答表!B190,IF([2]回答表!AA43="○",[2]回答表!B238,"")),"")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IF([2]回答表!F17="簡易水道事業",IF([2]回答表!X43="○",[2]回答表!Y181,IF([2]回答表!AA43="○",[2]回答表!Y229,"")),"")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IF([2]回答表!F17="簡易水道事業",IF([2]回答表!X43="○",[2]回答表!E190,IF([2]回答表!AA43="○",[2]回答表!E238,"")),"")</f>
        <v/>
      </c>
      <c r="BF114" s="83"/>
      <c r="BG114" s="83"/>
      <c r="BH114" s="83"/>
      <c r="BI114" s="82" t="str">
        <f>IF([2]回答表!F17="簡易水道事業",IF([2]回答表!X43="○",[2]回答表!E191,IF([2]回答表!AA43="○",[2]回答表!E239,"")),"")</f>
        <v/>
      </c>
      <c r="BJ114" s="83"/>
      <c r="BK114" s="83"/>
      <c r="BL114" s="83"/>
      <c r="BM114" s="82" t="str">
        <f>IF([2]回答表!F17="簡易水道事業",IF([2]回答表!X43="○",[2]回答表!E192,IF([2]回答表!AA43="○",[2]回答表!E240,"")),"")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IF([2]回答表!F17="簡易水道事業",IF([2]回答表!AA43="○","○",""),"")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IF([2]回答表!F17="簡易水道事業",IF([2]回答表!X43="○",[2]回答表!Y182,IF([2]回答表!AA43="○",[2]回答表!Y230,"")),"")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IF([2]回答表!F17="簡易水道事業",IF([2]回答表!AD43="○","○",""),"")</f>
        <v/>
      </c>
      <c r="O123" s="98"/>
      <c r="P123" s="98"/>
      <c r="Q123" s="99"/>
      <c r="R123" s="39"/>
      <c r="S123" s="39"/>
      <c r="T123" s="39"/>
      <c r="U123" s="106" t="str">
        <f>IF([2]回答表!F17="簡易水道事業",IF([2]回答表!AD43="○",[2]回答表!B249,""),"")</f>
        <v/>
      </c>
      <c r="V123" s="107"/>
      <c r="W123" s="107"/>
      <c r="X123" s="107"/>
      <c r="Y123" s="107"/>
      <c r="Z123" s="107"/>
      <c r="AA123" s="107"/>
      <c r="AB123" s="107"/>
      <c r="AC123" s="107"/>
      <c r="AD123" s="107"/>
      <c r="AE123" s="107"/>
      <c r="AF123" s="107"/>
      <c r="AG123" s="107"/>
      <c r="AH123" s="107"/>
      <c r="AI123" s="107"/>
      <c r="AJ123" s="108"/>
      <c r="AK123" s="56"/>
      <c r="AL123" s="56"/>
      <c r="AM123" s="106" t="str">
        <f>IF([2]回答表!F17="簡易水道事業",IF([2]回答表!AD43="○",[2]回答表!B255,""),"")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IF([2]回答表!F17="下水道事業",IF([2]回答表!X43="○","○",""),"")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IF([2]回答表!F17="下水道事業",IF([2]回答表!X43="○",[2]回答表!B154,IF([2]回答表!AA43="○",[2]回答表!B201,"")),"")</f>
        <v/>
      </c>
      <c r="AN135" s="107"/>
      <c r="AO135" s="107"/>
      <c r="AP135" s="107"/>
      <c r="AQ135" s="107"/>
      <c r="AR135" s="107"/>
      <c r="AS135" s="107"/>
      <c r="AT135" s="107"/>
      <c r="AU135" s="107"/>
      <c r="AV135" s="107"/>
      <c r="AW135" s="107"/>
      <c r="AX135" s="107"/>
      <c r="AY135" s="107"/>
      <c r="AZ135" s="107"/>
      <c r="BA135" s="107"/>
      <c r="BB135" s="108"/>
      <c r="BC135" s="40"/>
      <c r="BD135" s="35"/>
      <c r="BE135" s="115" t="str">
        <f>IF([2]回答表!F17="下水道事業",IF([2]回答表!X43="○",[2]回答表!B190,IF([2]回答表!AA43="○",[2]回答表!B238,"")),"")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IF([2]回答表!F17="下水道事業",IF([2]回答表!X43="○",[2]回答表!Y184,IF([2]回答表!AA43="○",[2]回答表!Y232,"")),"")</f>
        <v/>
      </c>
      <c r="V137" s="119"/>
      <c r="W137" s="119"/>
      <c r="X137" s="119"/>
      <c r="Y137" s="119"/>
      <c r="Z137" s="119"/>
      <c r="AA137" s="119"/>
      <c r="AB137" s="120"/>
      <c r="AC137" s="118" t="str">
        <f>IF([2]回答表!F17="下水道事業",IF([2]回答表!X43="○",[2]回答表!Y185,IF([2]回答表!AA43="○",[2]回答表!Y233,"")),"")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IF([2]回答表!F17="下水道事業",IF([2]回答表!X43="○",[2]回答表!E190,IF([2]回答表!AA43="○",[2]回答表!E238,"")),"")</f>
        <v/>
      </c>
      <c r="BF138" s="83"/>
      <c r="BG138" s="83"/>
      <c r="BH138" s="83"/>
      <c r="BI138" s="82" t="str">
        <f>IF([2]回答表!F17="下水道事業",IF([2]回答表!X43="○",[2]回答表!E191,IF([2]回答表!AA43="○",[2]回答表!E239,"")),"")</f>
        <v/>
      </c>
      <c r="BJ138" s="83"/>
      <c r="BK138" s="83"/>
      <c r="BL138" s="83"/>
      <c r="BM138" s="82" t="str">
        <f>IF([2]回答表!F17="下水道事業",IF([2]回答表!X43="○",[2]回答表!E192,IF([2]回答表!AA43="○",[2]回答表!E240,"")),"")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IF([2]回答表!F17="下水道事業",IF([2]回答表!AA43="○","○",""),"")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IF([2]回答表!F17="下水道事業",IF([2]回答表!X43="○",[2]回答表!Y186,IF([2]回答表!AA43="○",[2]回答表!Y234,"")),"")</f>
        <v/>
      </c>
      <c r="V142" s="119"/>
      <c r="W142" s="119"/>
      <c r="X142" s="119"/>
      <c r="Y142" s="119"/>
      <c r="Z142" s="119"/>
      <c r="AA142" s="119"/>
      <c r="AB142" s="120"/>
      <c r="AC142" s="118" t="str">
        <f>IF([2]回答表!F17="下水道事業",IF([2]回答表!X43="○",[2]回答表!Y187,IF([2]回答表!AA43="○",[2]回答表!Y235,"")),"")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IF([2]回答表!F17="下水道事業",IF([2]回答表!AD43="○","○",""),"")</f>
        <v/>
      </c>
      <c r="O147" s="98"/>
      <c r="P147" s="98"/>
      <c r="Q147" s="99"/>
      <c r="R147" s="39"/>
      <c r="S147" s="39"/>
      <c r="T147" s="39"/>
      <c r="U147" s="106" t="str">
        <f>IF([2]回答表!F17="下水道事業",IF([2]回答表!AD43="○",[2]回答表!B249,""),"")</f>
        <v/>
      </c>
      <c r="V147" s="107"/>
      <c r="W147" s="107"/>
      <c r="X147" s="107"/>
      <c r="Y147" s="107"/>
      <c r="Z147" s="107"/>
      <c r="AA147" s="107"/>
      <c r="AB147" s="107"/>
      <c r="AC147" s="107"/>
      <c r="AD147" s="107"/>
      <c r="AE147" s="107"/>
      <c r="AF147" s="107"/>
      <c r="AG147" s="107"/>
      <c r="AH147" s="107"/>
      <c r="AI147" s="107"/>
      <c r="AJ147" s="108"/>
      <c r="AK147" s="56"/>
      <c r="AL147" s="56"/>
      <c r="AM147" s="106" t="str">
        <f>IF([2]回答表!F17="下水道事業",IF([2]回答表!AD43="○",[2]回答表!B255,""),"")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IF([2]回答表!BD17="○",IF([2]回答表!X43="○","○",""),"")</f>
        <v/>
      </c>
      <c r="O159" s="98"/>
      <c r="P159" s="98"/>
      <c r="Q159" s="99"/>
      <c r="R159" s="39"/>
      <c r="S159" s="39"/>
      <c r="T159" s="39"/>
      <c r="U159" s="106" t="str">
        <f>IF([2]回答表!BD17="○",IF([2]回答表!X43="○",[2]回答表!B154,IF([2]回答表!AA43="○",[2]回答表!B201,"")),"")</f>
        <v/>
      </c>
      <c r="V159" s="107"/>
      <c r="W159" s="107"/>
      <c r="X159" s="107"/>
      <c r="Y159" s="107"/>
      <c r="Z159" s="107"/>
      <c r="AA159" s="107"/>
      <c r="AB159" s="107"/>
      <c r="AC159" s="107"/>
      <c r="AD159" s="107"/>
      <c r="AE159" s="107"/>
      <c r="AF159" s="107"/>
      <c r="AG159" s="107"/>
      <c r="AH159" s="107"/>
      <c r="AI159" s="107"/>
      <c r="AJ159" s="108"/>
      <c r="AK159" s="50"/>
      <c r="AL159" s="50"/>
      <c r="AM159" s="115" t="str">
        <f>IF([2]回答表!BD17="○",IF([2]回答表!X43="○",[2]回答表!B190,IF([2]回答表!AA43="○",[2]回答表!B238,"")),"")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IF([2]回答表!BD17="○",IF([2]回答表!X43="○",[2]回答表!E190,IF([2]回答表!AA43="○",[2]回答表!E238,"")),"")</f>
        <v/>
      </c>
      <c r="AN162" s="83"/>
      <c r="AO162" s="83"/>
      <c r="AP162" s="83"/>
      <c r="AQ162" s="82" t="str">
        <f>IF([2]回答表!BD17="○",IF([2]回答表!X43="○",[2]回答表!E191,IF([2]回答表!AA43="○",[2]回答表!E239,"")),"")</f>
        <v/>
      </c>
      <c r="AR162" s="83"/>
      <c r="AS162" s="83"/>
      <c r="AT162" s="83"/>
      <c r="AU162" s="82" t="str">
        <f>IF([2]回答表!BD17="○",IF([2]回答表!X43="○",[2]回答表!E192,IF([2]回答表!AA43="○",[2]回答表!E240,"")),"")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IF([2]回答表!BD17="○",IF([2]回答表!AA43="○","○",""),"")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IF([2]回答表!BD17="○",IF([2]回答表!AD43="○","○",""),"")</f>
        <v/>
      </c>
      <c r="O171" s="98"/>
      <c r="P171" s="98"/>
      <c r="Q171" s="99"/>
      <c r="R171" s="39"/>
      <c r="S171" s="39"/>
      <c r="T171" s="39"/>
      <c r="U171" s="106" t="str">
        <f>IF([2]回答表!BD17="○",IF([2]回答表!AD43="○",[2]回答表!B249,""),"")</f>
        <v/>
      </c>
      <c r="V171" s="107"/>
      <c r="W171" s="107"/>
      <c r="X171" s="107"/>
      <c r="Y171" s="107"/>
      <c r="Z171" s="107"/>
      <c r="AA171" s="107"/>
      <c r="AB171" s="107"/>
      <c r="AC171" s="107"/>
      <c r="AD171" s="107"/>
      <c r="AE171" s="107"/>
      <c r="AF171" s="107"/>
      <c r="AG171" s="107"/>
      <c r="AH171" s="107"/>
      <c r="AI171" s="107"/>
      <c r="AJ171" s="108"/>
      <c r="AK171" s="56"/>
      <c r="AL171" s="56"/>
      <c r="AM171" s="106" t="str">
        <f>IF([2]回答表!BD17="○",IF([2]回答表!AD43="○",[2]回答表!B255,""),"")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IF([2]回答表!X44="○","○","")</f>
        <v/>
      </c>
      <c r="O183" s="98"/>
      <c r="P183" s="98"/>
      <c r="Q183" s="99"/>
      <c r="R183" s="39"/>
      <c r="S183" s="39"/>
      <c r="T183" s="39"/>
      <c r="U183" s="106" t="str">
        <f>IF([2]回答表!X44="○",[2]回答表!B266,IF([2]回答表!AA44="○",[2]回答表!B283,""))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IF([2]回答表!X44="○",[2]回答表!U272,IF([2]回答表!AA44="○",[2]回答表!U289,""))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IF([2]回答表!X44="○",[2]回答表!G272,IF([2]回答表!AA44="○",[2]回答表!G289,""))</f>
        <v/>
      </c>
      <c r="AN186" s="119"/>
      <c r="AO186" s="119"/>
      <c r="AP186" s="119"/>
      <c r="AQ186" s="119"/>
      <c r="AR186" s="119"/>
      <c r="AS186" s="119"/>
      <c r="AT186" s="120"/>
      <c r="AU186" s="118" t="str">
        <f>IF([2]回答表!X44="○",[2]回答表!G273,IF([2]回答表!AA44="○",[2]回答表!G290,""))</f>
        <v/>
      </c>
      <c r="AV186" s="119"/>
      <c r="AW186" s="119"/>
      <c r="AX186" s="119"/>
      <c r="AY186" s="119"/>
      <c r="AZ186" s="119"/>
      <c r="BA186" s="119"/>
      <c r="BB186" s="120"/>
      <c r="BC186" s="40"/>
      <c r="BD186" s="35"/>
      <c r="BE186" s="82" t="str">
        <f>IF([2]回答表!X44="○",[2]回答表!X272,IF([2]回答表!AA44="○",[2]回答表!X289,""))</f>
        <v/>
      </c>
      <c r="BF186" s="83"/>
      <c r="BG186" s="83"/>
      <c r="BH186" s="83"/>
      <c r="BI186" s="82" t="str">
        <f>IF([2]回答表!X44="○",[2]回答表!X273,IF([2]回答表!AA44="○",[2]回答表!X290,""))</f>
        <v/>
      </c>
      <c r="BJ186" s="83"/>
      <c r="BK186" s="83"/>
      <c r="BL186" s="86"/>
      <c r="BM186" s="82" t="str">
        <f>IF([2]回答表!X44="○",[2]回答表!X274,IF([2]回答表!AA44="○",[2]回答表!X291,""))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IF([2]回答表!AD44="○","○","")</f>
        <v/>
      </c>
      <c r="O195" s="98"/>
      <c r="P195" s="98"/>
      <c r="Q195" s="99"/>
      <c r="R195" s="39"/>
      <c r="S195" s="39"/>
      <c r="T195" s="39"/>
      <c r="U195" s="106" t="str">
        <f>IF([2]回答表!AD44="○",[2]回答表!B296,"")</f>
        <v/>
      </c>
      <c r="V195" s="107"/>
      <c r="W195" s="107"/>
      <c r="X195" s="107"/>
      <c r="Y195" s="107"/>
      <c r="Z195" s="107"/>
      <c r="AA195" s="107"/>
      <c r="AB195" s="107"/>
      <c r="AC195" s="107"/>
      <c r="AD195" s="107"/>
      <c r="AE195" s="107"/>
      <c r="AF195" s="107"/>
      <c r="AG195" s="107"/>
      <c r="AH195" s="107"/>
      <c r="AI195" s="107"/>
      <c r="AJ195" s="108"/>
      <c r="AK195" s="61"/>
      <c r="AL195" s="61"/>
      <c r="AM195" s="106" t="str">
        <f>IF([2]回答表!AD44="○",[2]回答表!B302,"")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IF([2]回答表!X45="○","○","")</f>
        <v/>
      </c>
      <c r="O207" s="98"/>
      <c r="P207" s="98"/>
      <c r="Q207" s="99"/>
      <c r="R207" s="39"/>
      <c r="S207" s="39"/>
      <c r="T207" s="39"/>
      <c r="U207" s="106" t="str">
        <f>IF([2]回答表!X45="○",[2]回答表!B314,IF([2]回答表!AA45="○",[2]回答表!B337,""))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IF([2]回答表!X45="○",[2]回答表!B320,"")</f>
        <v/>
      </c>
      <c r="AO207" s="164"/>
      <c r="AP207" s="164"/>
      <c r="AQ207" s="164"/>
      <c r="AR207" s="164"/>
      <c r="AS207" s="164"/>
      <c r="AT207" s="164"/>
      <c r="AU207" s="164"/>
      <c r="AV207" s="164"/>
      <c r="AW207" s="164"/>
      <c r="AX207" s="164"/>
      <c r="AY207" s="164"/>
      <c r="AZ207" s="164"/>
      <c r="BA207" s="164"/>
      <c r="BB207" s="165"/>
      <c r="BC207" s="40"/>
      <c r="BD207" s="35"/>
      <c r="BE207" s="115" t="str">
        <f>IF([2]回答表!X45="○",[2]回答表!B326,IF([2]回答表!AA45="○",[2]回答表!B343,""))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IF([2]回答表!X45="○",[2]回答表!E326,IF([2]回答表!AA45="○",[2]回答表!E343,""))</f>
        <v/>
      </c>
      <c r="BF210" s="83"/>
      <c r="BG210" s="83"/>
      <c r="BH210" s="83"/>
      <c r="BI210" s="82" t="str">
        <f>IF([2]回答表!X45="○",[2]回答表!E327,IF([2]回答表!AA45="○",[2]回答表!E344,""))</f>
        <v/>
      </c>
      <c r="BJ210" s="83"/>
      <c r="BK210" s="83"/>
      <c r="BL210" s="86"/>
      <c r="BM210" s="82" t="str">
        <f>IF([2]回答表!X45="○",[2]回答表!E328,IF([2]回答表!AA45="○",[2]回答表!E345,""))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IF([2]回答表!AD45="○","○","")</f>
        <v/>
      </c>
      <c r="O219" s="98"/>
      <c r="P219" s="98"/>
      <c r="Q219" s="99"/>
      <c r="R219" s="39"/>
      <c r="S219" s="39"/>
      <c r="T219" s="39"/>
      <c r="U219" s="106" t="str">
        <f>IF([2]回答表!AD45="○",[2]回答表!B350,"")</f>
        <v/>
      </c>
      <c r="V219" s="107"/>
      <c r="W219" s="107"/>
      <c r="X219" s="107"/>
      <c r="Y219" s="107"/>
      <c r="Z219" s="107"/>
      <c r="AA219" s="107"/>
      <c r="AB219" s="107"/>
      <c r="AC219" s="107"/>
      <c r="AD219" s="107"/>
      <c r="AE219" s="107"/>
      <c r="AF219" s="107"/>
      <c r="AG219" s="107"/>
      <c r="AH219" s="107"/>
      <c r="AI219" s="107"/>
      <c r="AJ219" s="108"/>
      <c r="AK219" s="61"/>
      <c r="AL219" s="61"/>
      <c r="AM219" s="106" t="str">
        <f>IF([2]回答表!AD45="○",[2]回答表!B356,"")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IF([2]回答表!X46="○","○","")</f>
        <v/>
      </c>
      <c r="O231" s="98"/>
      <c r="P231" s="98"/>
      <c r="Q231" s="99"/>
      <c r="R231" s="39"/>
      <c r="S231" s="39"/>
      <c r="T231" s="39"/>
      <c r="U231" s="106" t="str">
        <f>IF([2]回答表!X46="○",[2]回答表!B368,IF([2]回答表!AA46="○",[2]回答表!B382,""))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IF([2]回答表!X46="○",[2]回答表!BC375,IF([2]回答表!AA46="○",[2]回答表!BC389,""))</f>
        <v/>
      </c>
      <c r="AR231" s="150"/>
      <c r="AS231" s="150"/>
      <c r="AT231" s="150"/>
      <c r="AU231" s="155" t="s">
        <v>63</v>
      </c>
      <c r="AV231" s="156"/>
      <c r="AW231" s="156"/>
      <c r="AX231" s="157"/>
      <c r="AY231" s="150" t="str">
        <f>IF([2]回答表!X46="○",[2]回答表!BC380,IF([2]回答表!AA46="○",[2]回答表!BC394,""))</f>
        <v/>
      </c>
      <c r="AZ231" s="150"/>
      <c r="BA231" s="150"/>
      <c r="BB231" s="150"/>
      <c r="BC231" s="40"/>
      <c r="BD231" s="35"/>
      <c r="BE231" s="115" t="str">
        <f>IF([2]回答表!X46="○",[2]回答表!S374,IF([2]回答表!AA46="○",[2]回答表!S388,""))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IF([2]回答表!X46="○",[2]回答表!BC376,IF([2]回答表!AA46="○",[2]回答表!BC390,""))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IF([2]回答表!X46="○",[2]回答表!V374,IF([2]回答表!AA46="○",[2]回答表!V388,""))</f>
        <v/>
      </c>
      <c r="BF234" s="83"/>
      <c r="BG234" s="83"/>
      <c r="BH234" s="83"/>
      <c r="BI234" s="82" t="str">
        <f>IF([2]回答表!X46="○",[2]回答表!V375,IF([2]回答表!AA46="○",[2]回答表!V389,""))</f>
        <v/>
      </c>
      <c r="BJ234" s="83"/>
      <c r="BK234" s="83"/>
      <c r="BL234" s="86"/>
      <c r="BM234" s="82" t="str">
        <f>IF([2]回答表!X46="○",[2]回答表!V376,IF([2]回答表!AA46="○",[2]回答表!V390,""))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IF([2]回答表!X46="○",[2]回答表!BC377,IF([2]回答表!AA46="○",[2]回答表!BC391,""))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IF([2]回答表!X46="○",[2]回答表!BC381,IF([2]回答表!AA46="○",[2]回答表!BC395,""))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IF([2]回答表!X46="○",[2]回答表!BC378,IF([2]回答表!AA46="○",[2]回答表!BC392,""))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IF([2]回答表!X46="○",[2]回答表!BC379,IF([2]回答表!AA46="○",[2]回答表!BC393,""))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IF([2]回答表!AD46="○","○","")</f>
        <v/>
      </c>
      <c r="O243" s="98"/>
      <c r="P243" s="98"/>
      <c r="Q243" s="99"/>
      <c r="R243" s="39"/>
      <c r="S243" s="39"/>
      <c r="T243" s="39"/>
      <c r="U243" s="106" t="str">
        <f>IF([2]回答表!AD46="○",[2]回答表!B396,"")</f>
        <v/>
      </c>
      <c r="V243" s="107"/>
      <c r="W243" s="107"/>
      <c r="X243" s="107"/>
      <c r="Y243" s="107"/>
      <c r="Z243" s="107"/>
      <c r="AA243" s="107"/>
      <c r="AB243" s="107"/>
      <c r="AC243" s="107"/>
      <c r="AD243" s="107"/>
      <c r="AE243" s="107"/>
      <c r="AF243" s="107"/>
      <c r="AG243" s="107"/>
      <c r="AH243" s="107"/>
      <c r="AI243" s="107"/>
      <c r="AJ243" s="108"/>
      <c r="AK243" s="56"/>
      <c r="AL243" s="56"/>
      <c r="AM243" s="106" t="str">
        <f>IF([2]回答表!AD46="○",[2]回答表!B402,"")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IF([2]回答表!X47="○","○","")</f>
        <v/>
      </c>
      <c r="O254" s="98"/>
      <c r="P254" s="98"/>
      <c r="Q254" s="99"/>
      <c r="R254" s="39"/>
      <c r="S254" s="39"/>
      <c r="T254" s="39"/>
      <c r="U254" s="106" t="str">
        <f>IF([2]回答表!X47="○",[2]回答表!B414,IF([2]回答表!AA47="○",[2]回答表!B431,""))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IF([2]回答表!X47="○",[2]回答表!B424,IF([2]回答表!AA47="○",[2]回答表!B441,""))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IF([2]回答表!X47="○",[2]回答表!G420,IF([2]回答表!AA47="○",[2]回答表!G437,""))</f>
        <v/>
      </c>
      <c r="AN256" s="119"/>
      <c r="AO256" s="119"/>
      <c r="AP256" s="119"/>
      <c r="AQ256" s="119"/>
      <c r="AR256" s="119"/>
      <c r="AS256" s="119"/>
      <c r="AT256" s="120"/>
      <c r="AU256" s="118" t="str">
        <f>IF([2]回答表!X47="○",[2]回答表!G421,IF([2]回答表!AA47="○",[2]回答表!G438,""))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IF([2]回答表!X47="○",[2]回答表!E424,IF([2]回答表!AA47="○",[2]回答表!E441,""))</f>
        <v/>
      </c>
      <c r="BF257" s="83"/>
      <c r="BG257" s="83"/>
      <c r="BH257" s="83"/>
      <c r="BI257" s="82" t="str">
        <f>IF([2]回答表!X47="○",[2]回答表!E425,IF([2]回答表!AA47="○",[2]回答表!E442,""))</f>
        <v/>
      </c>
      <c r="BJ257" s="83"/>
      <c r="BK257" s="83"/>
      <c r="BL257" s="86"/>
      <c r="BM257" s="82" t="str">
        <f>IF([2]回答表!X47="○",[2]回答表!E426,IF([2]回答表!AA47="○",[2]回答表!E443,""))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IF([2]回答表!AD47="○","○","")</f>
        <v/>
      </c>
      <c r="O266" s="98"/>
      <c r="P266" s="98"/>
      <c r="Q266" s="99"/>
      <c r="R266" s="39"/>
      <c r="S266" s="39"/>
      <c r="T266" s="39"/>
      <c r="U266" s="106" t="str">
        <f>IF([2]回答表!AD47="○",[2]回答表!B448,"")</f>
        <v/>
      </c>
      <c r="V266" s="107"/>
      <c r="W266" s="107"/>
      <c r="X266" s="107"/>
      <c r="Y266" s="107"/>
      <c r="Z266" s="107"/>
      <c r="AA266" s="107"/>
      <c r="AB266" s="107"/>
      <c r="AC266" s="107"/>
      <c r="AD266" s="107"/>
      <c r="AE266" s="107"/>
      <c r="AF266" s="107"/>
      <c r="AG266" s="107"/>
      <c r="AH266" s="107"/>
      <c r="AI266" s="107"/>
      <c r="AJ266" s="108"/>
      <c r="AK266" s="50"/>
      <c r="AL266" s="50"/>
      <c r="AM266" s="106" t="str">
        <f>IF([2]回答表!AD47="○",[2]回答表!B454,"")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IF([2]回答表!R48="○",[2]回答表!B467,"")</f>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82F4E-9F2F-4D4B-AA0C-DD53FE4E1082}">
  <sheetPr>
    <pageSetUpPr fitToPage="1"/>
  </sheetPr>
  <dimension ref="A1:CE298"/>
  <sheetViews>
    <sheetView showZeros="0" zoomScale="55" zoomScaleNormal="55" workbookViewId="0">
      <selection activeCell="R107" sqref="R107:BB10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IF(COUNTIF([3]回答表!K15,"*")&gt;0,[3]回答表!K15,"")</f>
        <v>仙北市</v>
      </c>
      <c r="D11" s="255"/>
      <c r="E11" s="255"/>
      <c r="F11" s="255"/>
      <c r="G11" s="255"/>
      <c r="H11" s="255"/>
      <c r="I11" s="255"/>
      <c r="J11" s="255"/>
      <c r="K11" s="255"/>
      <c r="L11" s="255"/>
      <c r="M11" s="255"/>
      <c r="N11" s="255"/>
      <c r="O11" s="255"/>
      <c r="P11" s="255"/>
      <c r="Q11" s="255"/>
      <c r="R11" s="255"/>
      <c r="S11" s="255"/>
      <c r="T11" s="255"/>
      <c r="U11" s="262" t="str">
        <f>IF(COUNTIF([3]回答表!F17,"*")&gt;0,[3]回答表!F17,"")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IF(COUNTIF([3]回答表!W17,"*")&gt;0,[3]回答表!W17,"")</f>
        <v>特定環境保全公共下水道</v>
      </c>
      <c r="AP11" s="257"/>
      <c r="AQ11" s="257"/>
      <c r="AR11" s="257"/>
      <c r="AS11" s="257"/>
      <c r="AT11" s="257"/>
      <c r="AU11" s="257"/>
      <c r="AV11" s="257"/>
      <c r="AW11" s="257"/>
      <c r="AX11" s="257"/>
      <c r="AY11" s="257"/>
      <c r="AZ11" s="257"/>
      <c r="BA11" s="257"/>
      <c r="BB11" s="257"/>
      <c r="BC11" s="257"/>
      <c r="BD11" s="257"/>
      <c r="BE11" s="258"/>
      <c r="BF11" s="261" t="str">
        <f>IF(COUNTIF([3]回答表!F19,"*")&gt;0,[3]回答表!F19,"")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IF([3]回答表!R41="○","○","")</f>
        <v/>
      </c>
      <c r="E24" s="122"/>
      <c r="F24" s="122"/>
      <c r="G24" s="122"/>
      <c r="H24" s="122"/>
      <c r="I24" s="122"/>
      <c r="J24" s="123"/>
      <c r="K24" s="121" t="str">
        <f>IF([3]回答表!R42="○","○","")</f>
        <v/>
      </c>
      <c r="L24" s="122"/>
      <c r="M24" s="122"/>
      <c r="N24" s="122"/>
      <c r="O24" s="122"/>
      <c r="P24" s="122"/>
      <c r="Q24" s="123"/>
      <c r="R24" s="121" t="str">
        <f>IF([3]回答表!R43="○","○","")</f>
        <v/>
      </c>
      <c r="S24" s="122"/>
      <c r="T24" s="122"/>
      <c r="U24" s="122"/>
      <c r="V24" s="122"/>
      <c r="W24" s="122"/>
      <c r="X24" s="123"/>
      <c r="Y24" s="121" t="str">
        <f>IF([3]回答表!R44="○","○","")</f>
        <v/>
      </c>
      <c r="Z24" s="122"/>
      <c r="AA24" s="122"/>
      <c r="AB24" s="122"/>
      <c r="AC24" s="122"/>
      <c r="AD24" s="122"/>
      <c r="AE24" s="123"/>
      <c r="AF24" s="121" t="str">
        <f>IF([3]回答表!R45="○","○","")</f>
        <v/>
      </c>
      <c r="AG24" s="122"/>
      <c r="AH24" s="122"/>
      <c r="AI24" s="122"/>
      <c r="AJ24" s="122"/>
      <c r="AK24" s="122"/>
      <c r="AL24" s="123"/>
      <c r="AM24" s="121" t="str">
        <f>IF([3]回答表!R46="○","○","")</f>
        <v/>
      </c>
      <c r="AN24" s="122"/>
      <c r="AO24" s="122"/>
      <c r="AP24" s="122"/>
      <c r="AQ24" s="122"/>
      <c r="AR24" s="122"/>
      <c r="AS24" s="123"/>
      <c r="AT24" s="121" t="str">
        <f>IF([3]回答表!R47="○","○","")</f>
        <v/>
      </c>
      <c r="AU24" s="122"/>
      <c r="AV24" s="122"/>
      <c r="AW24" s="122"/>
      <c r="AX24" s="122"/>
      <c r="AY24" s="122"/>
      <c r="AZ24" s="123"/>
      <c r="BA24" s="19"/>
      <c r="BB24" s="118" t="str">
        <f>IF([3]回答表!R48="○","○","")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IF([3]回答表!X41="○","○","")</f>
        <v/>
      </c>
      <c r="O36" s="98"/>
      <c r="P36" s="98"/>
      <c r="Q36" s="99"/>
      <c r="R36" s="39"/>
      <c r="S36" s="39"/>
      <c r="T36" s="39"/>
      <c r="U36" s="106" t="str">
        <f>IF([3]回答表!X41="○",[3]回答表!B56,IF([3]回答表!AA41="○",[3]回答表!B76,""))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IF([3]回答表!X41="○",[3]回答表!S62,IF([3]回答表!AA41="○",[3]回答表!S82,""))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IF([3]回答表!X41="○",[3]回答表!G62,IF([3]回答表!AA41="○",[3]回答表!G82,""))</f>
        <v/>
      </c>
      <c r="AN38" s="119"/>
      <c r="AO38" s="119"/>
      <c r="AP38" s="119"/>
      <c r="AQ38" s="119"/>
      <c r="AR38" s="119"/>
      <c r="AS38" s="119"/>
      <c r="AT38" s="120"/>
      <c r="AU38" s="118" t="str">
        <f>IF([3]回答表!X41="○",[3]回答表!G63,IF([3]回答表!AA41="○",[3]回答表!G83,""))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IF([3]回答表!X41="○",[3]回答表!V62,IF([3]回答表!AA41="○",[3]回答表!V82,""))</f>
        <v/>
      </c>
      <c r="BF39" s="208"/>
      <c r="BG39" s="208"/>
      <c r="BH39" s="209"/>
      <c r="BI39" s="82" t="str">
        <f>IF([3]回答表!X41="○",[3]回答表!V63,IF([3]回答表!AA41="○",[3]回答表!V83,""))</f>
        <v/>
      </c>
      <c r="BJ39" s="208"/>
      <c r="BK39" s="208"/>
      <c r="BL39" s="209"/>
      <c r="BM39" s="82" t="str">
        <f>IF([3]回答表!X41="○",[3]回答表!V64,IF([3]回答表!AA41="○",[3]回答表!V84,""))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IF([3]回答表!X41="○",[3]回答表!O68,IF([3]回答表!AA41="○",[3]回答表!O88,""))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IF([3]回答表!X41="○",[3]回答表!O69,IF([3]回答表!AA41="○",[3]回答表!O89,""))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IF([3]回答表!X41="○",[3]回答表!O70,IF([3]回答表!AA41="○",[3]回答表!O90,""))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IF([3]回答表!X41="○",[3]回答表!O71,IF([3]回答表!AA41="○",[3]回答表!O91,""))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IF([3]回答表!X41="○",[3]回答表!AG68,IF([3]回答表!AA41="○",[3]回答表!AG88,""))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IF([3]回答表!X41="○",[3]回答表!AG69,IF([3]回答表!AA41="○",[3]回答表!AG89,""))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IF([3]回答表!X41="○",[3]回答表!AG70,IF([3]回答表!AA41="○",[3]回答表!AG90,""))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IF([3]回答表!AD41="○","○","")</f>
        <v/>
      </c>
      <c r="O52" s="98"/>
      <c r="P52" s="98"/>
      <c r="Q52" s="99"/>
      <c r="R52" s="39"/>
      <c r="S52" s="39"/>
      <c r="T52" s="39"/>
      <c r="U52" s="106" t="str">
        <f>IF([3]回答表!AD41="○",[3]回答表!B96,"")</f>
        <v/>
      </c>
      <c r="V52" s="107"/>
      <c r="W52" s="107"/>
      <c r="X52" s="107"/>
      <c r="Y52" s="107"/>
      <c r="Z52" s="107"/>
      <c r="AA52" s="107"/>
      <c r="AB52" s="107"/>
      <c r="AC52" s="107"/>
      <c r="AD52" s="107"/>
      <c r="AE52" s="107"/>
      <c r="AF52" s="107"/>
      <c r="AG52" s="107"/>
      <c r="AH52" s="107"/>
      <c r="AI52" s="107"/>
      <c r="AJ52" s="108"/>
      <c r="AK52" s="56"/>
      <c r="AL52" s="56"/>
      <c r="AM52" s="106" t="str">
        <f>IF([3]回答表!AD41="○",[3]回答表!B101,"")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IF([3]回答表!X42="○","○","")</f>
        <v/>
      </c>
      <c r="O63" s="98"/>
      <c r="P63" s="98"/>
      <c r="Q63" s="99"/>
      <c r="R63" s="39"/>
      <c r="S63" s="39"/>
      <c r="T63" s="39"/>
      <c r="U63" s="106" t="str">
        <f>IF([3]回答表!X42="○",[3]回答表!B111,IF([3]回答表!AA42="○",[3]回答表!B124,""))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IF([3]回答表!X42="○",[3]回答表!S117,IF([3]回答表!AA42="○",[3]回答表!S130,""))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IF([3]回答表!X42="○",[3]回答表!J117,IF([3]回答表!AA42="○",[3]回答表!J130,""))</f>
        <v/>
      </c>
      <c r="AN66" s="119"/>
      <c r="AO66" s="119"/>
      <c r="AP66" s="119"/>
      <c r="AQ66" s="119"/>
      <c r="AR66" s="119"/>
      <c r="AS66" s="119"/>
      <c r="AT66" s="120"/>
      <c r="AU66" s="118" t="str">
        <f>IF([3]回答表!X42="○",[3]回答表!J118,IF([3]回答表!AA42="○",[3]回答表!J131,""))</f>
        <v/>
      </c>
      <c r="AV66" s="119"/>
      <c r="AW66" s="119"/>
      <c r="AX66" s="119"/>
      <c r="AY66" s="119"/>
      <c r="AZ66" s="119"/>
      <c r="BA66" s="119"/>
      <c r="BB66" s="120"/>
      <c r="BC66" s="40"/>
      <c r="BD66" s="35"/>
      <c r="BE66" s="82" t="str">
        <f>IF([3]回答表!X42="○",[3]回答表!V117,IF([3]回答表!AA42="○",[3]回答表!V130,""))</f>
        <v/>
      </c>
      <c r="BF66" s="83"/>
      <c r="BG66" s="83"/>
      <c r="BH66" s="83"/>
      <c r="BI66" s="82" t="str">
        <f>IF([3]回答表!X42="○",[3]回答表!V118,IF([3]回答表!AA42="○",[3]回答表!V131,""))</f>
        <v/>
      </c>
      <c r="BJ66" s="83"/>
      <c r="BK66" s="83"/>
      <c r="BL66" s="83"/>
      <c r="BM66" s="82" t="str">
        <f>IF([3]回答表!X42="○",[3]回答表!V119,IF([3]回答表!AA42="○",[3]回答表!V132,""))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IF([3]回答表!AD42="○","○","")</f>
        <v/>
      </c>
      <c r="O75" s="98"/>
      <c r="P75" s="98"/>
      <c r="Q75" s="99"/>
      <c r="R75" s="39"/>
      <c r="S75" s="39"/>
      <c r="T75" s="39"/>
      <c r="U75" s="106" t="str">
        <f>IF([3]回答表!AD42="○",[3]回答表!B137,"")</f>
        <v/>
      </c>
      <c r="V75" s="107"/>
      <c r="W75" s="107"/>
      <c r="X75" s="107"/>
      <c r="Y75" s="107"/>
      <c r="Z75" s="107"/>
      <c r="AA75" s="107"/>
      <c r="AB75" s="107"/>
      <c r="AC75" s="107"/>
      <c r="AD75" s="107"/>
      <c r="AE75" s="107"/>
      <c r="AF75" s="107"/>
      <c r="AG75" s="107"/>
      <c r="AH75" s="107"/>
      <c r="AI75" s="107"/>
      <c r="AJ75" s="108"/>
      <c r="AK75" s="56"/>
      <c r="AL75" s="56"/>
      <c r="AM75" s="106" t="str">
        <f>IF([3]回答表!AD42="○",[3]回答表!B143,"")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IF([3]回答表!F17="水道事業",IF([3]回答表!X43="○","○",""),"")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IF([3]回答表!F17="水道事業",IF([3]回答表!X43="○",[3]回答表!B154,IF([3]回答表!AA43="○",[3]回答表!B201,"")),"")</f>
        <v/>
      </c>
      <c r="AN87" s="107"/>
      <c r="AO87" s="107"/>
      <c r="AP87" s="107"/>
      <c r="AQ87" s="107"/>
      <c r="AR87" s="107"/>
      <c r="AS87" s="107"/>
      <c r="AT87" s="107"/>
      <c r="AU87" s="107"/>
      <c r="AV87" s="107"/>
      <c r="AW87" s="107"/>
      <c r="AX87" s="107"/>
      <c r="AY87" s="107"/>
      <c r="AZ87" s="107"/>
      <c r="BA87" s="107"/>
      <c r="BB87" s="108"/>
      <c r="BC87" s="40"/>
      <c r="BD87" s="35"/>
      <c r="BE87" s="115" t="str">
        <f>IF([3]回答表!F17="水道事業",IF([3]回答表!X43="○",[3]回答表!B190,IF([3]回答表!AA43="○",[3]回答表!B238,"")),"")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IF([3]回答表!F17="水道事業",IF([3]回答表!X43="○",[3]回答表!J162,IF([3]回答表!AA43="○",[3]回答表!J209,"")),"")</f>
        <v/>
      </c>
      <c r="V89" s="119"/>
      <c r="W89" s="119"/>
      <c r="X89" s="119"/>
      <c r="Y89" s="119"/>
      <c r="Z89" s="119"/>
      <c r="AA89" s="119"/>
      <c r="AB89" s="120"/>
      <c r="AC89" s="118" t="str">
        <f>IF([3]回答表!F17="水道事業",IF([3]回答表!X43="○",[3]回答表!J169,IF([3]回答表!AA43="○",[3]回答表!J216,"")),"")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IF([3]回答表!F17="水道事業",IF([3]回答表!X43="○",[3]回答表!E190,IF([3]回答表!AA43="○",[3]回答表!E238,"")),"")</f>
        <v/>
      </c>
      <c r="BF90" s="83"/>
      <c r="BG90" s="83"/>
      <c r="BH90" s="83"/>
      <c r="BI90" s="82" t="str">
        <f>IF([3]回答表!F17="水道事業",IF([3]回答表!X43="○",[3]回答表!E191,IF([3]回答表!AA43="○",[3]回答表!E239,"")),"")</f>
        <v/>
      </c>
      <c r="BJ90" s="83"/>
      <c r="BK90" s="83"/>
      <c r="BL90" s="83"/>
      <c r="BM90" s="82" t="str">
        <f>IF([3]回答表!F17="水道事業",IF([3]回答表!X43="○",[3]回答表!E192,IF([3]回答表!AA43="○",[3]回答表!E240,"")),"")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IF([3]回答表!F17="水道事業",IF([3]回答表!AA43="○","○",""),"")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IF([3]回答表!F17="水道事業",IF([3]回答表!X43="○",[3]回答表!J172,IF([3]回答表!AA43="○",[3]回答表!J219,"")),"")</f>
        <v/>
      </c>
      <c r="V94" s="119"/>
      <c r="W94" s="119"/>
      <c r="X94" s="119"/>
      <c r="Y94" s="119"/>
      <c r="Z94" s="119"/>
      <c r="AA94" s="119"/>
      <c r="AB94" s="120"/>
      <c r="AC94" s="118" t="str">
        <f>IF([3]回答表!F17="水道事業",IF([3]回答表!X43="○",[3]回答表!J176,IF([3]回答表!AA43="○",[3]回答表!J223,"")),"")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IF([3]回答表!F17="水道事業",IF([3]回答表!AD43="○","○",""),"")</f>
        <v/>
      </c>
      <c r="O99" s="98"/>
      <c r="P99" s="98"/>
      <c r="Q99" s="99"/>
      <c r="R99" s="39"/>
      <c r="S99" s="39"/>
      <c r="T99" s="39"/>
      <c r="U99" s="106" t="str">
        <f>IF([3]回答表!F17="水道事業",IF([3]回答表!AD43="○",[3]回答表!B249,""),"")</f>
        <v/>
      </c>
      <c r="V99" s="107"/>
      <c r="W99" s="107"/>
      <c r="X99" s="107"/>
      <c r="Y99" s="107"/>
      <c r="Z99" s="107"/>
      <c r="AA99" s="107"/>
      <c r="AB99" s="107"/>
      <c r="AC99" s="107"/>
      <c r="AD99" s="107"/>
      <c r="AE99" s="107"/>
      <c r="AF99" s="107"/>
      <c r="AG99" s="107"/>
      <c r="AH99" s="107"/>
      <c r="AI99" s="107"/>
      <c r="AJ99" s="108"/>
      <c r="AK99" s="56"/>
      <c r="AL99" s="56"/>
      <c r="AM99" s="106" t="str">
        <f>IF([3]回答表!F17="水道事業",IF([3]回答表!AD43="○",[3]回答表!B255,""),"")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IF([3]回答表!F17="簡易水道事業",IF([3]回答表!X43="○","○",""),"")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IF([3]回答表!F17="簡易水道事業",IF([3]回答表!X43="○",[3]回答表!B154,IF([3]回答表!AA43="○",[3]回答表!B201,"")),"")</f>
        <v/>
      </c>
      <c r="AN111" s="107"/>
      <c r="AO111" s="107"/>
      <c r="AP111" s="107"/>
      <c r="AQ111" s="107"/>
      <c r="AR111" s="107"/>
      <c r="AS111" s="107"/>
      <c r="AT111" s="107"/>
      <c r="AU111" s="107"/>
      <c r="AV111" s="107"/>
      <c r="AW111" s="107"/>
      <c r="AX111" s="107"/>
      <c r="AY111" s="107"/>
      <c r="AZ111" s="107"/>
      <c r="BA111" s="107"/>
      <c r="BB111" s="108"/>
      <c r="BC111" s="40"/>
      <c r="BD111" s="35"/>
      <c r="BE111" s="115" t="str">
        <f>IF([3]回答表!F17="簡易水道事業",IF([3]回答表!X43="○",[3]回答表!B190,IF([3]回答表!AA43="○",[3]回答表!B238,"")),"")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IF([3]回答表!F17="簡易水道事業",IF([3]回答表!X43="○",[3]回答表!Y181,IF([3]回答表!AA43="○",[3]回答表!Y229,"")),"")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IF([3]回答表!F17="簡易水道事業",IF([3]回答表!X43="○",[3]回答表!E190,IF([3]回答表!AA43="○",[3]回答表!E238,"")),"")</f>
        <v/>
      </c>
      <c r="BF114" s="83"/>
      <c r="BG114" s="83"/>
      <c r="BH114" s="83"/>
      <c r="BI114" s="82" t="str">
        <f>IF([3]回答表!F17="簡易水道事業",IF([3]回答表!X43="○",[3]回答表!E191,IF([3]回答表!AA43="○",[3]回答表!E239,"")),"")</f>
        <v/>
      </c>
      <c r="BJ114" s="83"/>
      <c r="BK114" s="83"/>
      <c r="BL114" s="83"/>
      <c r="BM114" s="82" t="str">
        <f>IF([3]回答表!F17="簡易水道事業",IF([3]回答表!X43="○",[3]回答表!E192,IF([3]回答表!AA43="○",[3]回答表!E240,"")),"")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IF([3]回答表!F17="簡易水道事業",IF([3]回答表!AA43="○","○",""),"")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IF([3]回答表!F17="簡易水道事業",IF([3]回答表!X43="○",[3]回答表!Y182,IF([3]回答表!AA43="○",[3]回答表!Y230,"")),"")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IF([3]回答表!F17="簡易水道事業",IF([3]回答表!AD43="○","○",""),"")</f>
        <v/>
      </c>
      <c r="O123" s="98"/>
      <c r="P123" s="98"/>
      <c r="Q123" s="99"/>
      <c r="R123" s="39"/>
      <c r="S123" s="39"/>
      <c r="T123" s="39"/>
      <c r="U123" s="106" t="str">
        <f>IF([3]回答表!F17="簡易水道事業",IF([3]回答表!AD43="○",[3]回答表!B249,""),"")</f>
        <v/>
      </c>
      <c r="V123" s="107"/>
      <c r="W123" s="107"/>
      <c r="X123" s="107"/>
      <c r="Y123" s="107"/>
      <c r="Z123" s="107"/>
      <c r="AA123" s="107"/>
      <c r="AB123" s="107"/>
      <c r="AC123" s="107"/>
      <c r="AD123" s="107"/>
      <c r="AE123" s="107"/>
      <c r="AF123" s="107"/>
      <c r="AG123" s="107"/>
      <c r="AH123" s="107"/>
      <c r="AI123" s="107"/>
      <c r="AJ123" s="108"/>
      <c r="AK123" s="56"/>
      <c r="AL123" s="56"/>
      <c r="AM123" s="106" t="str">
        <f>IF([3]回答表!F17="簡易水道事業",IF([3]回答表!AD43="○",[3]回答表!B255,""),"")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IF([3]回答表!F17="下水道事業",IF([3]回答表!X43="○","○",""),"")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IF([3]回答表!F17="下水道事業",IF([3]回答表!X43="○",[3]回答表!B154,IF([3]回答表!AA43="○",[3]回答表!B201,"")),"")</f>
        <v/>
      </c>
      <c r="AN135" s="107"/>
      <c r="AO135" s="107"/>
      <c r="AP135" s="107"/>
      <c r="AQ135" s="107"/>
      <c r="AR135" s="107"/>
      <c r="AS135" s="107"/>
      <c r="AT135" s="107"/>
      <c r="AU135" s="107"/>
      <c r="AV135" s="107"/>
      <c r="AW135" s="107"/>
      <c r="AX135" s="107"/>
      <c r="AY135" s="107"/>
      <c r="AZ135" s="107"/>
      <c r="BA135" s="107"/>
      <c r="BB135" s="108"/>
      <c r="BC135" s="40"/>
      <c r="BD135" s="35"/>
      <c r="BE135" s="115" t="str">
        <f>IF([3]回答表!F17="下水道事業",IF([3]回答表!X43="○",[3]回答表!B190,IF([3]回答表!AA43="○",[3]回答表!B238,"")),"")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IF([3]回答表!F17="下水道事業",IF([3]回答表!X43="○",[3]回答表!Y184,IF([3]回答表!AA43="○",[3]回答表!Y232,"")),"")</f>
        <v/>
      </c>
      <c r="V137" s="119"/>
      <c r="W137" s="119"/>
      <c r="X137" s="119"/>
      <c r="Y137" s="119"/>
      <c r="Z137" s="119"/>
      <c r="AA137" s="119"/>
      <c r="AB137" s="120"/>
      <c r="AC137" s="118" t="str">
        <f>IF([3]回答表!F17="下水道事業",IF([3]回答表!X43="○",[3]回答表!Y185,IF([3]回答表!AA43="○",[3]回答表!Y233,"")),"")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IF([3]回答表!F17="下水道事業",IF([3]回答表!X43="○",[3]回答表!E190,IF([3]回答表!AA43="○",[3]回答表!E238,"")),"")</f>
        <v/>
      </c>
      <c r="BF138" s="83"/>
      <c r="BG138" s="83"/>
      <c r="BH138" s="83"/>
      <c r="BI138" s="82" t="str">
        <f>IF([3]回答表!F17="下水道事業",IF([3]回答表!X43="○",[3]回答表!E191,IF([3]回答表!AA43="○",[3]回答表!E239,"")),"")</f>
        <v/>
      </c>
      <c r="BJ138" s="83"/>
      <c r="BK138" s="83"/>
      <c r="BL138" s="83"/>
      <c r="BM138" s="82" t="str">
        <f>IF([3]回答表!F17="下水道事業",IF([3]回答表!X43="○",[3]回答表!E192,IF([3]回答表!AA43="○",[3]回答表!E240,"")),"")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IF([3]回答表!F17="下水道事業",IF([3]回答表!AA43="○","○",""),"")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IF([3]回答表!F17="下水道事業",IF([3]回答表!X43="○",[3]回答表!Y186,IF([3]回答表!AA43="○",[3]回答表!Y234,"")),"")</f>
        <v/>
      </c>
      <c r="V142" s="119"/>
      <c r="W142" s="119"/>
      <c r="X142" s="119"/>
      <c r="Y142" s="119"/>
      <c r="Z142" s="119"/>
      <c r="AA142" s="119"/>
      <c r="AB142" s="120"/>
      <c r="AC142" s="118" t="str">
        <f>IF([3]回答表!F17="下水道事業",IF([3]回答表!X43="○",[3]回答表!Y187,IF([3]回答表!AA43="○",[3]回答表!Y235,"")),"")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IF([3]回答表!F17="下水道事業",IF([3]回答表!AD43="○","○",""),"")</f>
        <v/>
      </c>
      <c r="O147" s="98"/>
      <c r="P147" s="98"/>
      <c r="Q147" s="99"/>
      <c r="R147" s="39"/>
      <c r="S147" s="39"/>
      <c r="T147" s="39"/>
      <c r="U147" s="106" t="str">
        <f>IF([3]回答表!F17="下水道事業",IF([3]回答表!AD43="○",[3]回答表!B249,""),"")</f>
        <v/>
      </c>
      <c r="V147" s="107"/>
      <c r="W147" s="107"/>
      <c r="X147" s="107"/>
      <c r="Y147" s="107"/>
      <c r="Z147" s="107"/>
      <c r="AA147" s="107"/>
      <c r="AB147" s="107"/>
      <c r="AC147" s="107"/>
      <c r="AD147" s="107"/>
      <c r="AE147" s="107"/>
      <c r="AF147" s="107"/>
      <c r="AG147" s="107"/>
      <c r="AH147" s="107"/>
      <c r="AI147" s="107"/>
      <c r="AJ147" s="108"/>
      <c r="AK147" s="56"/>
      <c r="AL147" s="56"/>
      <c r="AM147" s="106" t="str">
        <f>IF([3]回答表!F17="下水道事業",IF([3]回答表!AD43="○",[3]回答表!B255,""),"")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IF([3]回答表!BD17="○",IF([3]回答表!X43="○","○",""),"")</f>
        <v/>
      </c>
      <c r="O159" s="98"/>
      <c r="P159" s="98"/>
      <c r="Q159" s="99"/>
      <c r="R159" s="39"/>
      <c r="S159" s="39"/>
      <c r="T159" s="39"/>
      <c r="U159" s="106" t="str">
        <f>IF([3]回答表!BD17="○",IF([3]回答表!X43="○",[3]回答表!B154,IF([3]回答表!AA43="○",[3]回答表!B201,"")),"")</f>
        <v/>
      </c>
      <c r="V159" s="107"/>
      <c r="W159" s="107"/>
      <c r="X159" s="107"/>
      <c r="Y159" s="107"/>
      <c r="Z159" s="107"/>
      <c r="AA159" s="107"/>
      <c r="AB159" s="107"/>
      <c r="AC159" s="107"/>
      <c r="AD159" s="107"/>
      <c r="AE159" s="107"/>
      <c r="AF159" s="107"/>
      <c r="AG159" s="107"/>
      <c r="AH159" s="107"/>
      <c r="AI159" s="107"/>
      <c r="AJ159" s="108"/>
      <c r="AK159" s="50"/>
      <c r="AL159" s="50"/>
      <c r="AM159" s="115" t="str">
        <f>IF([3]回答表!BD17="○",IF([3]回答表!X43="○",[3]回答表!B190,IF([3]回答表!AA43="○",[3]回答表!B238,"")),"")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IF([3]回答表!BD17="○",IF([3]回答表!X43="○",[3]回答表!E190,IF([3]回答表!AA43="○",[3]回答表!E238,"")),"")</f>
        <v/>
      </c>
      <c r="AN162" s="83"/>
      <c r="AO162" s="83"/>
      <c r="AP162" s="83"/>
      <c r="AQ162" s="82" t="str">
        <f>IF([3]回答表!BD17="○",IF([3]回答表!X43="○",[3]回答表!E191,IF([3]回答表!AA43="○",[3]回答表!E239,"")),"")</f>
        <v/>
      </c>
      <c r="AR162" s="83"/>
      <c r="AS162" s="83"/>
      <c r="AT162" s="83"/>
      <c r="AU162" s="82" t="str">
        <f>IF([3]回答表!BD17="○",IF([3]回答表!X43="○",[3]回答表!E192,IF([3]回答表!AA43="○",[3]回答表!E240,"")),"")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IF([3]回答表!BD17="○",IF([3]回答表!AA43="○","○",""),"")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IF([3]回答表!BD17="○",IF([3]回答表!AD43="○","○",""),"")</f>
        <v/>
      </c>
      <c r="O171" s="98"/>
      <c r="P171" s="98"/>
      <c r="Q171" s="99"/>
      <c r="R171" s="39"/>
      <c r="S171" s="39"/>
      <c r="T171" s="39"/>
      <c r="U171" s="106" t="str">
        <f>IF([3]回答表!BD17="○",IF([3]回答表!AD43="○",[3]回答表!B249,""),"")</f>
        <v/>
      </c>
      <c r="V171" s="107"/>
      <c r="W171" s="107"/>
      <c r="X171" s="107"/>
      <c r="Y171" s="107"/>
      <c r="Z171" s="107"/>
      <c r="AA171" s="107"/>
      <c r="AB171" s="107"/>
      <c r="AC171" s="107"/>
      <c r="AD171" s="107"/>
      <c r="AE171" s="107"/>
      <c r="AF171" s="107"/>
      <c r="AG171" s="107"/>
      <c r="AH171" s="107"/>
      <c r="AI171" s="107"/>
      <c r="AJ171" s="108"/>
      <c r="AK171" s="56"/>
      <c r="AL171" s="56"/>
      <c r="AM171" s="106" t="str">
        <f>IF([3]回答表!BD17="○",IF([3]回答表!AD43="○",[3]回答表!B255,""),"")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IF([3]回答表!X44="○","○","")</f>
        <v/>
      </c>
      <c r="O183" s="98"/>
      <c r="P183" s="98"/>
      <c r="Q183" s="99"/>
      <c r="R183" s="39"/>
      <c r="S183" s="39"/>
      <c r="T183" s="39"/>
      <c r="U183" s="106" t="str">
        <f>IF([3]回答表!X44="○",[3]回答表!B266,IF([3]回答表!AA44="○",[3]回答表!B283,""))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IF([3]回答表!X44="○",[3]回答表!U272,IF([3]回答表!AA44="○",[3]回答表!U289,""))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IF([3]回答表!X44="○",[3]回答表!G272,IF([3]回答表!AA44="○",[3]回答表!G289,""))</f>
        <v/>
      </c>
      <c r="AN186" s="119"/>
      <c r="AO186" s="119"/>
      <c r="AP186" s="119"/>
      <c r="AQ186" s="119"/>
      <c r="AR186" s="119"/>
      <c r="AS186" s="119"/>
      <c r="AT186" s="120"/>
      <c r="AU186" s="118" t="str">
        <f>IF([3]回答表!X44="○",[3]回答表!G273,IF([3]回答表!AA44="○",[3]回答表!G290,""))</f>
        <v/>
      </c>
      <c r="AV186" s="119"/>
      <c r="AW186" s="119"/>
      <c r="AX186" s="119"/>
      <c r="AY186" s="119"/>
      <c r="AZ186" s="119"/>
      <c r="BA186" s="119"/>
      <c r="BB186" s="120"/>
      <c r="BC186" s="40"/>
      <c r="BD186" s="35"/>
      <c r="BE186" s="82" t="str">
        <f>IF([3]回答表!X44="○",[3]回答表!X272,IF([3]回答表!AA44="○",[3]回答表!X289,""))</f>
        <v/>
      </c>
      <c r="BF186" s="83"/>
      <c r="BG186" s="83"/>
      <c r="BH186" s="83"/>
      <c r="BI186" s="82" t="str">
        <f>IF([3]回答表!X44="○",[3]回答表!X273,IF([3]回答表!AA44="○",[3]回答表!X290,""))</f>
        <v/>
      </c>
      <c r="BJ186" s="83"/>
      <c r="BK186" s="83"/>
      <c r="BL186" s="86"/>
      <c r="BM186" s="82" t="str">
        <f>IF([3]回答表!X44="○",[3]回答表!X274,IF([3]回答表!AA44="○",[3]回答表!X291,""))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IF([3]回答表!AD44="○","○","")</f>
        <v/>
      </c>
      <c r="O195" s="98"/>
      <c r="P195" s="98"/>
      <c r="Q195" s="99"/>
      <c r="R195" s="39"/>
      <c r="S195" s="39"/>
      <c r="T195" s="39"/>
      <c r="U195" s="106" t="str">
        <f>IF([3]回答表!AD44="○",[3]回答表!B296,"")</f>
        <v/>
      </c>
      <c r="V195" s="107"/>
      <c r="W195" s="107"/>
      <c r="X195" s="107"/>
      <c r="Y195" s="107"/>
      <c r="Z195" s="107"/>
      <c r="AA195" s="107"/>
      <c r="AB195" s="107"/>
      <c r="AC195" s="107"/>
      <c r="AD195" s="107"/>
      <c r="AE195" s="107"/>
      <c r="AF195" s="107"/>
      <c r="AG195" s="107"/>
      <c r="AH195" s="107"/>
      <c r="AI195" s="107"/>
      <c r="AJ195" s="108"/>
      <c r="AK195" s="61"/>
      <c r="AL195" s="61"/>
      <c r="AM195" s="106" t="str">
        <f>IF([3]回答表!AD44="○",[3]回答表!B302,"")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IF([3]回答表!X45="○","○","")</f>
        <v/>
      </c>
      <c r="O207" s="98"/>
      <c r="P207" s="98"/>
      <c r="Q207" s="99"/>
      <c r="R207" s="39"/>
      <c r="S207" s="39"/>
      <c r="T207" s="39"/>
      <c r="U207" s="106" t="str">
        <f>IF([3]回答表!X45="○",[3]回答表!B314,IF([3]回答表!AA45="○",[3]回答表!B337,""))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IF([3]回答表!X45="○",[3]回答表!B320,"")</f>
        <v/>
      </c>
      <c r="AO207" s="164"/>
      <c r="AP207" s="164"/>
      <c r="AQ207" s="164"/>
      <c r="AR207" s="164"/>
      <c r="AS207" s="164"/>
      <c r="AT207" s="164"/>
      <c r="AU207" s="164"/>
      <c r="AV207" s="164"/>
      <c r="AW207" s="164"/>
      <c r="AX207" s="164"/>
      <c r="AY207" s="164"/>
      <c r="AZ207" s="164"/>
      <c r="BA207" s="164"/>
      <c r="BB207" s="165"/>
      <c r="BC207" s="40"/>
      <c r="BD207" s="35"/>
      <c r="BE207" s="115" t="str">
        <f>IF([3]回答表!X45="○",[3]回答表!B326,IF([3]回答表!AA45="○",[3]回答表!B343,""))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IF([3]回答表!X45="○",[3]回答表!E326,IF([3]回答表!AA45="○",[3]回答表!E343,""))</f>
        <v/>
      </c>
      <c r="BF210" s="83"/>
      <c r="BG210" s="83"/>
      <c r="BH210" s="83"/>
      <c r="BI210" s="82" t="str">
        <f>IF([3]回答表!X45="○",[3]回答表!E327,IF([3]回答表!AA45="○",[3]回答表!E344,""))</f>
        <v/>
      </c>
      <c r="BJ210" s="83"/>
      <c r="BK210" s="83"/>
      <c r="BL210" s="86"/>
      <c r="BM210" s="82" t="str">
        <f>IF([3]回答表!X45="○",[3]回答表!E328,IF([3]回答表!AA45="○",[3]回答表!E345,""))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IF([3]回答表!AD45="○","○","")</f>
        <v/>
      </c>
      <c r="O219" s="98"/>
      <c r="P219" s="98"/>
      <c r="Q219" s="99"/>
      <c r="R219" s="39"/>
      <c r="S219" s="39"/>
      <c r="T219" s="39"/>
      <c r="U219" s="106" t="str">
        <f>IF([3]回答表!AD45="○",[3]回答表!B350,"")</f>
        <v/>
      </c>
      <c r="V219" s="107"/>
      <c r="W219" s="107"/>
      <c r="X219" s="107"/>
      <c r="Y219" s="107"/>
      <c r="Z219" s="107"/>
      <c r="AA219" s="107"/>
      <c r="AB219" s="107"/>
      <c r="AC219" s="107"/>
      <c r="AD219" s="107"/>
      <c r="AE219" s="107"/>
      <c r="AF219" s="107"/>
      <c r="AG219" s="107"/>
      <c r="AH219" s="107"/>
      <c r="AI219" s="107"/>
      <c r="AJ219" s="108"/>
      <c r="AK219" s="61"/>
      <c r="AL219" s="61"/>
      <c r="AM219" s="106" t="str">
        <f>IF([3]回答表!AD45="○",[3]回答表!B356,"")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IF([3]回答表!X46="○","○","")</f>
        <v/>
      </c>
      <c r="O231" s="98"/>
      <c r="P231" s="98"/>
      <c r="Q231" s="99"/>
      <c r="R231" s="39"/>
      <c r="S231" s="39"/>
      <c r="T231" s="39"/>
      <c r="U231" s="106" t="str">
        <f>IF([3]回答表!X46="○",[3]回答表!B368,IF([3]回答表!AA46="○",[3]回答表!B382,""))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IF([3]回答表!X46="○",[3]回答表!BC375,IF([3]回答表!AA46="○",[3]回答表!BC389,""))</f>
        <v/>
      </c>
      <c r="AR231" s="150"/>
      <c r="AS231" s="150"/>
      <c r="AT231" s="150"/>
      <c r="AU231" s="155" t="s">
        <v>63</v>
      </c>
      <c r="AV231" s="156"/>
      <c r="AW231" s="156"/>
      <c r="AX231" s="157"/>
      <c r="AY231" s="150" t="str">
        <f>IF([3]回答表!X46="○",[3]回答表!BC380,IF([3]回答表!AA46="○",[3]回答表!BC394,""))</f>
        <v/>
      </c>
      <c r="AZ231" s="150"/>
      <c r="BA231" s="150"/>
      <c r="BB231" s="150"/>
      <c r="BC231" s="40"/>
      <c r="BD231" s="35"/>
      <c r="BE231" s="115" t="str">
        <f>IF([3]回答表!X46="○",[3]回答表!S374,IF([3]回答表!AA46="○",[3]回答表!S388,""))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IF([3]回答表!X46="○",[3]回答表!BC376,IF([3]回答表!AA46="○",[3]回答表!BC390,""))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IF([3]回答表!X46="○",[3]回答表!V374,IF([3]回答表!AA46="○",[3]回答表!V388,""))</f>
        <v/>
      </c>
      <c r="BF234" s="83"/>
      <c r="BG234" s="83"/>
      <c r="BH234" s="83"/>
      <c r="BI234" s="82" t="str">
        <f>IF([3]回答表!X46="○",[3]回答表!V375,IF([3]回答表!AA46="○",[3]回答表!V389,""))</f>
        <v/>
      </c>
      <c r="BJ234" s="83"/>
      <c r="BK234" s="83"/>
      <c r="BL234" s="86"/>
      <c r="BM234" s="82" t="str">
        <f>IF([3]回答表!X46="○",[3]回答表!V376,IF([3]回答表!AA46="○",[3]回答表!V390,""))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IF([3]回答表!X46="○",[3]回答表!BC377,IF([3]回答表!AA46="○",[3]回答表!BC391,""))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IF([3]回答表!X46="○",[3]回答表!BC381,IF([3]回答表!AA46="○",[3]回答表!BC395,""))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IF([3]回答表!X46="○",[3]回答表!BC378,IF([3]回答表!AA46="○",[3]回答表!BC392,""))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IF([3]回答表!X46="○",[3]回答表!BC379,IF([3]回答表!AA46="○",[3]回答表!BC393,""))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IF([3]回答表!AD46="○","○","")</f>
        <v/>
      </c>
      <c r="O243" s="98"/>
      <c r="P243" s="98"/>
      <c r="Q243" s="99"/>
      <c r="R243" s="39"/>
      <c r="S243" s="39"/>
      <c r="T243" s="39"/>
      <c r="U243" s="106" t="str">
        <f>IF([3]回答表!AD46="○",[3]回答表!B396,"")</f>
        <v/>
      </c>
      <c r="V243" s="107"/>
      <c r="W243" s="107"/>
      <c r="X243" s="107"/>
      <c r="Y243" s="107"/>
      <c r="Z243" s="107"/>
      <c r="AA243" s="107"/>
      <c r="AB243" s="107"/>
      <c r="AC243" s="107"/>
      <c r="AD243" s="107"/>
      <c r="AE243" s="107"/>
      <c r="AF243" s="107"/>
      <c r="AG243" s="107"/>
      <c r="AH243" s="107"/>
      <c r="AI243" s="107"/>
      <c r="AJ243" s="108"/>
      <c r="AK243" s="56"/>
      <c r="AL243" s="56"/>
      <c r="AM243" s="106" t="str">
        <f>IF([3]回答表!AD46="○",[3]回答表!B402,"")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IF([3]回答表!X47="○","○","")</f>
        <v/>
      </c>
      <c r="O254" s="98"/>
      <c r="P254" s="98"/>
      <c r="Q254" s="99"/>
      <c r="R254" s="39"/>
      <c r="S254" s="39"/>
      <c r="T254" s="39"/>
      <c r="U254" s="106" t="str">
        <f>IF([3]回答表!X47="○",[3]回答表!B414,IF([3]回答表!AA47="○",[3]回答表!B431,""))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IF([3]回答表!X47="○",[3]回答表!B424,IF([3]回答表!AA47="○",[3]回答表!B441,""))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IF([3]回答表!X47="○",[3]回答表!G420,IF([3]回答表!AA47="○",[3]回答表!G437,""))</f>
        <v/>
      </c>
      <c r="AN256" s="119"/>
      <c r="AO256" s="119"/>
      <c r="AP256" s="119"/>
      <c r="AQ256" s="119"/>
      <c r="AR256" s="119"/>
      <c r="AS256" s="119"/>
      <c r="AT256" s="120"/>
      <c r="AU256" s="118" t="str">
        <f>IF([3]回答表!X47="○",[3]回答表!G421,IF([3]回答表!AA47="○",[3]回答表!G438,""))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IF([3]回答表!X47="○",[3]回答表!E424,IF([3]回答表!AA47="○",[3]回答表!E441,""))</f>
        <v/>
      </c>
      <c r="BF257" s="83"/>
      <c r="BG257" s="83"/>
      <c r="BH257" s="83"/>
      <c r="BI257" s="82" t="str">
        <f>IF([3]回答表!X47="○",[3]回答表!E425,IF([3]回答表!AA47="○",[3]回答表!E442,""))</f>
        <v/>
      </c>
      <c r="BJ257" s="83"/>
      <c r="BK257" s="83"/>
      <c r="BL257" s="86"/>
      <c r="BM257" s="82" t="str">
        <f>IF([3]回答表!X47="○",[3]回答表!E426,IF([3]回答表!AA47="○",[3]回答表!E443,""))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IF([3]回答表!AD47="○","○","")</f>
        <v/>
      </c>
      <c r="O266" s="98"/>
      <c r="P266" s="98"/>
      <c r="Q266" s="99"/>
      <c r="R266" s="39"/>
      <c r="S266" s="39"/>
      <c r="T266" s="39"/>
      <c r="U266" s="106" t="str">
        <f>IF([3]回答表!AD47="○",[3]回答表!B448,"")</f>
        <v/>
      </c>
      <c r="V266" s="107"/>
      <c r="W266" s="107"/>
      <c r="X266" s="107"/>
      <c r="Y266" s="107"/>
      <c r="Z266" s="107"/>
      <c r="AA266" s="107"/>
      <c r="AB266" s="107"/>
      <c r="AC266" s="107"/>
      <c r="AD266" s="107"/>
      <c r="AE266" s="107"/>
      <c r="AF266" s="107"/>
      <c r="AG266" s="107"/>
      <c r="AH266" s="107"/>
      <c r="AI266" s="107"/>
      <c r="AJ266" s="108"/>
      <c r="AK266" s="50"/>
      <c r="AL266" s="50"/>
      <c r="AM266" s="106" t="str">
        <f>IF([3]回答表!AD47="○",[3]回答表!B454,"")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IF([3]回答表!R48="○",[3]回答表!B467,"")</f>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E1D4-4321-40AD-A32A-BEC8FDE60948}">
  <sheetPr>
    <pageSetUpPr fitToPage="1"/>
  </sheetPr>
  <dimension ref="A1:CE298"/>
  <sheetViews>
    <sheetView showZeros="0" zoomScale="55" zoomScaleNormal="55" workbookViewId="0">
      <selection activeCell="BD48" sqref="BD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IF(COUNTIF([5]回答表!K15,"*")&gt;0,[5]回答表!K15,"")</f>
        <v>仙北市</v>
      </c>
      <c r="D11" s="255"/>
      <c r="E11" s="255"/>
      <c r="F11" s="255"/>
      <c r="G11" s="255"/>
      <c r="H11" s="255"/>
      <c r="I11" s="255"/>
      <c r="J11" s="255"/>
      <c r="K11" s="255"/>
      <c r="L11" s="255"/>
      <c r="M11" s="255"/>
      <c r="N11" s="255"/>
      <c r="O11" s="255"/>
      <c r="P11" s="255"/>
      <c r="Q11" s="255"/>
      <c r="R11" s="255"/>
      <c r="S11" s="255"/>
      <c r="T11" s="255"/>
      <c r="U11" s="262" t="str">
        <f>IF(COUNTIF([5]回答表!F17,"*")&gt;0,[5]回答表!F17,"")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IF(COUNTIF([5]回答表!W17,"*")&gt;0,[5]回答表!W17,"")</f>
        <v>農業集落排水施設</v>
      </c>
      <c r="AP11" s="257"/>
      <c r="AQ11" s="257"/>
      <c r="AR11" s="257"/>
      <c r="AS11" s="257"/>
      <c r="AT11" s="257"/>
      <c r="AU11" s="257"/>
      <c r="AV11" s="257"/>
      <c r="AW11" s="257"/>
      <c r="AX11" s="257"/>
      <c r="AY11" s="257"/>
      <c r="AZ11" s="257"/>
      <c r="BA11" s="257"/>
      <c r="BB11" s="257"/>
      <c r="BC11" s="257"/>
      <c r="BD11" s="257"/>
      <c r="BE11" s="258"/>
      <c r="BF11" s="261" t="str">
        <f>IF(COUNTIF([5]回答表!F19,"*")&gt;0,[5]回答表!F19,"")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IF([5]回答表!R41="○","○","")</f>
        <v/>
      </c>
      <c r="E24" s="122"/>
      <c r="F24" s="122"/>
      <c r="G24" s="122"/>
      <c r="H24" s="122"/>
      <c r="I24" s="122"/>
      <c r="J24" s="123"/>
      <c r="K24" s="121" t="str">
        <f>IF([5]回答表!R42="○","○","")</f>
        <v/>
      </c>
      <c r="L24" s="122"/>
      <c r="M24" s="122"/>
      <c r="N24" s="122"/>
      <c r="O24" s="122"/>
      <c r="P24" s="122"/>
      <c r="Q24" s="123"/>
      <c r="R24" s="121" t="str">
        <f>IF([5]回答表!R43="○","○","")</f>
        <v>○</v>
      </c>
      <c r="S24" s="122"/>
      <c r="T24" s="122"/>
      <c r="U24" s="122"/>
      <c r="V24" s="122"/>
      <c r="W24" s="122"/>
      <c r="X24" s="123"/>
      <c r="Y24" s="121" t="str">
        <f>IF([5]回答表!R44="○","○","")</f>
        <v/>
      </c>
      <c r="Z24" s="122"/>
      <c r="AA24" s="122"/>
      <c r="AB24" s="122"/>
      <c r="AC24" s="122"/>
      <c r="AD24" s="122"/>
      <c r="AE24" s="123"/>
      <c r="AF24" s="121" t="str">
        <f>IF([5]回答表!R45="○","○","")</f>
        <v/>
      </c>
      <c r="AG24" s="122"/>
      <c r="AH24" s="122"/>
      <c r="AI24" s="122"/>
      <c r="AJ24" s="122"/>
      <c r="AK24" s="122"/>
      <c r="AL24" s="123"/>
      <c r="AM24" s="121" t="str">
        <f>IF([5]回答表!R46="○","○","")</f>
        <v/>
      </c>
      <c r="AN24" s="122"/>
      <c r="AO24" s="122"/>
      <c r="AP24" s="122"/>
      <c r="AQ24" s="122"/>
      <c r="AR24" s="122"/>
      <c r="AS24" s="123"/>
      <c r="AT24" s="121" t="str">
        <f>IF([5]回答表!R47="○","○","")</f>
        <v/>
      </c>
      <c r="AU24" s="122"/>
      <c r="AV24" s="122"/>
      <c r="AW24" s="122"/>
      <c r="AX24" s="122"/>
      <c r="AY24" s="122"/>
      <c r="AZ24" s="123"/>
      <c r="BA24" s="19"/>
      <c r="BB24" s="118" t="str">
        <f>IF([5]回答表!R48="○","○","")</f>
        <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IF([5]回答表!X41="○","○","")</f>
        <v/>
      </c>
      <c r="O36" s="98"/>
      <c r="P36" s="98"/>
      <c r="Q36" s="99"/>
      <c r="R36" s="39"/>
      <c r="S36" s="39"/>
      <c r="T36" s="39"/>
      <c r="U36" s="106" t="str">
        <f>IF([5]回答表!X41="○",[5]回答表!B56,IF([5]回答表!AA41="○",[5]回答表!B76,""))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IF([5]回答表!X41="○",[5]回答表!S62,IF([5]回答表!AA41="○",[5]回答表!S82,""))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IF([5]回答表!X41="○",[5]回答表!G62,IF([5]回答表!AA41="○",[5]回答表!G82,""))</f>
        <v/>
      </c>
      <c r="AN38" s="119"/>
      <c r="AO38" s="119"/>
      <c r="AP38" s="119"/>
      <c r="AQ38" s="119"/>
      <c r="AR38" s="119"/>
      <c r="AS38" s="119"/>
      <c r="AT38" s="120"/>
      <c r="AU38" s="118" t="str">
        <f>IF([5]回答表!X41="○",[5]回答表!G63,IF([5]回答表!AA41="○",[5]回答表!G83,""))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IF([5]回答表!X41="○",[5]回答表!V62,IF([5]回答表!AA41="○",[5]回答表!V82,""))</f>
        <v/>
      </c>
      <c r="BF39" s="208"/>
      <c r="BG39" s="208"/>
      <c r="BH39" s="209"/>
      <c r="BI39" s="82" t="str">
        <f>IF([5]回答表!X41="○",[5]回答表!V63,IF([5]回答表!AA41="○",[5]回答表!V83,""))</f>
        <v/>
      </c>
      <c r="BJ39" s="208"/>
      <c r="BK39" s="208"/>
      <c r="BL39" s="209"/>
      <c r="BM39" s="82" t="str">
        <f>IF([5]回答表!X41="○",[5]回答表!V64,IF([5]回答表!AA41="○",[5]回答表!V84,""))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IF([5]回答表!X41="○",[5]回答表!O68,IF([5]回答表!AA41="○",[5]回答表!O88,""))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IF([5]回答表!X41="○",[5]回答表!O69,IF([5]回答表!AA41="○",[5]回答表!O89,""))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IF([5]回答表!X41="○",[5]回答表!O70,IF([5]回答表!AA41="○",[5]回答表!O90,""))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IF([5]回答表!X41="○",[5]回答表!O71,IF([5]回答表!AA41="○",[5]回答表!O91,""))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IF([5]回答表!X41="○",[5]回答表!AG68,IF([5]回答表!AA41="○",[5]回答表!AG88,""))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IF([5]回答表!X41="○",[5]回答表!AG69,IF([5]回答表!AA41="○",[5]回答表!AG89,""))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IF([5]回答表!X41="○",[5]回答表!AG70,IF([5]回答表!AA41="○",[5]回答表!AG90,""))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IF([5]回答表!AD41="○","○","")</f>
        <v/>
      </c>
      <c r="O52" s="98"/>
      <c r="P52" s="98"/>
      <c r="Q52" s="99"/>
      <c r="R52" s="39"/>
      <c r="S52" s="39"/>
      <c r="T52" s="39"/>
      <c r="U52" s="106" t="str">
        <f>IF([5]回答表!AD41="○",[5]回答表!B96,"")</f>
        <v/>
      </c>
      <c r="V52" s="107"/>
      <c r="W52" s="107"/>
      <c r="X52" s="107"/>
      <c r="Y52" s="107"/>
      <c r="Z52" s="107"/>
      <c r="AA52" s="107"/>
      <c r="AB52" s="107"/>
      <c r="AC52" s="107"/>
      <c r="AD52" s="107"/>
      <c r="AE52" s="107"/>
      <c r="AF52" s="107"/>
      <c r="AG52" s="107"/>
      <c r="AH52" s="107"/>
      <c r="AI52" s="107"/>
      <c r="AJ52" s="108"/>
      <c r="AK52" s="56"/>
      <c r="AL52" s="56"/>
      <c r="AM52" s="106" t="str">
        <f>IF([5]回答表!AD41="○",[5]回答表!B101,"")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IF([5]回答表!X42="○","○","")</f>
        <v/>
      </c>
      <c r="O63" s="98"/>
      <c r="P63" s="98"/>
      <c r="Q63" s="99"/>
      <c r="R63" s="39"/>
      <c r="S63" s="39"/>
      <c r="T63" s="39"/>
      <c r="U63" s="106" t="str">
        <f>IF([5]回答表!X42="○",[5]回答表!B111,IF([5]回答表!AA42="○",[5]回答表!B124,""))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IF([5]回答表!X42="○",[5]回答表!S117,IF([5]回答表!AA42="○",[5]回答表!S130,""))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IF([5]回答表!X42="○",[5]回答表!J117,IF([5]回答表!AA42="○",[5]回答表!J130,""))</f>
        <v/>
      </c>
      <c r="AN66" s="119"/>
      <c r="AO66" s="119"/>
      <c r="AP66" s="119"/>
      <c r="AQ66" s="119"/>
      <c r="AR66" s="119"/>
      <c r="AS66" s="119"/>
      <c r="AT66" s="120"/>
      <c r="AU66" s="118" t="str">
        <f>IF([5]回答表!X42="○",[5]回答表!J118,IF([5]回答表!AA42="○",[5]回答表!J131,""))</f>
        <v/>
      </c>
      <c r="AV66" s="119"/>
      <c r="AW66" s="119"/>
      <c r="AX66" s="119"/>
      <c r="AY66" s="119"/>
      <c r="AZ66" s="119"/>
      <c r="BA66" s="119"/>
      <c r="BB66" s="120"/>
      <c r="BC66" s="40"/>
      <c r="BD66" s="35"/>
      <c r="BE66" s="82" t="str">
        <f>IF([5]回答表!X42="○",[5]回答表!V117,IF([5]回答表!AA42="○",[5]回答表!V130,""))</f>
        <v/>
      </c>
      <c r="BF66" s="83"/>
      <c r="BG66" s="83"/>
      <c r="BH66" s="83"/>
      <c r="BI66" s="82" t="str">
        <f>IF([5]回答表!X42="○",[5]回答表!V118,IF([5]回答表!AA42="○",[5]回答表!V131,""))</f>
        <v/>
      </c>
      <c r="BJ66" s="83"/>
      <c r="BK66" s="83"/>
      <c r="BL66" s="83"/>
      <c r="BM66" s="82" t="str">
        <f>IF([5]回答表!X42="○",[5]回答表!V119,IF([5]回答表!AA42="○",[5]回答表!V132,""))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IF([5]回答表!AD42="○","○","")</f>
        <v/>
      </c>
      <c r="O75" s="98"/>
      <c r="P75" s="98"/>
      <c r="Q75" s="99"/>
      <c r="R75" s="39"/>
      <c r="S75" s="39"/>
      <c r="T75" s="39"/>
      <c r="U75" s="106" t="str">
        <f>IF([5]回答表!AD42="○",[5]回答表!B137,"")</f>
        <v/>
      </c>
      <c r="V75" s="107"/>
      <c r="W75" s="107"/>
      <c r="X75" s="107"/>
      <c r="Y75" s="107"/>
      <c r="Z75" s="107"/>
      <c r="AA75" s="107"/>
      <c r="AB75" s="107"/>
      <c r="AC75" s="107"/>
      <c r="AD75" s="107"/>
      <c r="AE75" s="107"/>
      <c r="AF75" s="107"/>
      <c r="AG75" s="107"/>
      <c r="AH75" s="107"/>
      <c r="AI75" s="107"/>
      <c r="AJ75" s="108"/>
      <c r="AK75" s="56"/>
      <c r="AL75" s="56"/>
      <c r="AM75" s="106" t="str">
        <f>IF([5]回答表!AD42="○",[5]回答表!B143,"")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IF([5]回答表!F17="水道事業",IF([5]回答表!X43="○","○",""),"")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IF([5]回答表!F17="水道事業",IF([5]回答表!X43="○",[5]回答表!B154,IF([5]回答表!AA43="○",[5]回答表!B201,"")),"")</f>
        <v/>
      </c>
      <c r="AN87" s="107"/>
      <c r="AO87" s="107"/>
      <c r="AP87" s="107"/>
      <c r="AQ87" s="107"/>
      <c r="AR87" s="107"/>
      <c r="AS87" s="107"/>
      <c r="AT87" s="107"/>
      <c r="AU87" s="107"/>
      <c r="AV87" s="107"/>
      <c r="AW87" s="107"/>
      <c r="AX87" s="107"/>
      <c r="AY87" s="107"/>
      <c r="AZ87" s="107"/>
      <c r="BA87" s="107"/>
      <c r="BB87" s="108"/>
      <c r="BC87" s="40"/>
      <c r="BD87" s="35"/>
      <c r="BE87" s="115" t="str">
        <f>IF([5]回答表!F17="水道事業",IF([5]回答表!X43="○",[5]回答表!B190,IF([5]回答表!AA43="○",[5]回答表!B238,"")),"")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IF([5]回答表!F17="水道事業",IF([5]回答表!X43="○",[5]回答表!J162,IF([5]回答表!AA43="○",[5]回答表!J209,"")),"")</f>
        <v/>
      </c>
      <c r="V89" s="119"/>
      <c r="W89" s="119"/>
      <c r="X89" s="119"/>
      <c r="Y89" s="119"/>
      <c r="Z89" s="119"/>
      <c r="AA89" s="119"/>
      <c r="AB89" s="120"/>
      <c r="AC89" s="118" t="str">
        <f>IF([5]回答表!F17="水道事業",IF([5]回答表!X43="○",[5]回答表!J169,IF([5]回答表!AA43="○",[5]回答表!J216,"")),"")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IF([5]回答表!F17="水道事業",IF([5]回答表!X43="○",[5]回答表!E190,IF([5]回答表!AA43="○",[5]回答表!E238,"")),"")</f>
        <v/>
      </c>
      <c r="BF90" s="83"/>
      <c r="BG90" s="83"/>
      <c r="BH90" s="83"/>
      <c r="BI90" s="82" t="str">
        <f>IF([5]回答表!F17="水道事業",IF([5]回答表!X43="○",[5]回答表!E191,IF([5]回答表!AA43="○",[5]回答表!E239,"")),"")</f>
        <v/>
      </c>
      <c r="BJ90" s="83"/>
      <c r="BK90" s="83"/>
      <c r="BL90" s="83"/>
      <c r="BM90" s="82" t="str">
        <f>IF([5]回答表!F17="水道事業",IF([5]回答表!X43="○",[5]回答表!E192,IF([5]回答表!AA43="○",[5]回答表!E240,"")),"")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IF([5]回答表!F17="水道事業",IF([5]回答表!AA43="○","○",""),"")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IF([5]回答表!F17="水道事業",IF([5]回答表!X43="○",[5]回答表!J172,IF([5]回答表!AA43="○",[5]回答表!J219,"")),"")</f>
        <v/>
      </c>
      <c r="V94" s="119"/>
      <c r="W94" s="119"/>
      <c r="X94" s="119"/>
      <c r="Y94" s="119"/>
      <c r="Z94" s="119"/>
      <c r="AA94" s="119"/>
      <c r="AB94" s="120"/>
      <c r="AC94" s="118" t="str">
        <f>IF([5]回答表!F17="水道事業",IF([5]回答表!X43="○",[5]回答表!J176,IF([5]回答表!AA43="○",[5]回答表!J223,"")),"")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IF([5]回答表!F17="水道事業",IF([5]回答表!AD43="○","○",""),"")</f>
        <v/>
      </c>
      <c r="O99" s="98"/>
      <c r="P99" s="98"/>
      <c r="Q99" s="99"/>
      <c r="R99" s="39"/>
      <c r="S99" s="39"/>
      <c r="T99" s="39"/>
      <c r="U99" s="106" t="str">
        <f>IF([5]回答表!F17="水道事業",IF([5]回答表!AD43="○",[5]回答表!B249,""),"")</f>
        <v/>
      </c>
      <c r="V99" s="107"/>
      <c r="W99" s="107"/>
      <c r="X99" s="107"/>
      <c r="Y99" s="107"/>
      <c r="Z99" s="107"/>
      <c r="AA99" s="107"/>
      <c r="AB99" s="107"/>
      <c r="AC99" s="107"/>
      <c r="AD99" s="107"/>
      <c r="AE99" s="107"/>
      <c r="AF99" s="107"/>
      <c r="AG99" s="107"/>
      <c r="AH99" s="107"/>
      <c r="AI99" s="107"/>
      <c r="AJ99" s="108"/>
      <c r="AK99" s="56"/>
      <c r="AL99" s="56"/>
      <c r="AM99" s="106" t="str">
        <f>IF([5]回答表!F17="水道事業",IF([5]回答表!AD43="○",[5]回答表!B255,""),"")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IF([5]回答表!F17="簡易水道事業",IF([5]回答表!X43="○","○",""),"")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IF([5]回答表!F17="簡易水道事業",IF([5]回答表!X43="○",[5]回答表!B154,IF([5]回答表!AA43="○",[5]回答表!B201,"")),"")</f>
        <v/>
      </c>
      <c r="AN111" s="107"/>
      <c r="AO111" s="107"/>
      <c r="AP111" s="107"/>
      <c r="AQ111" s="107"/>
      <c r="AR111" s="107"/>
      <c r="AS111" s="107"/>
      <c r="AT111" s="107"/>
      <c r="AU111" s="107"/>
      <c r="AV111" s="107"/>
      <c r="AW111" s="107"/>
      <c r="AX111" s="107"/>
      <c r="AY111" s="107"/>
      <c r="AZ111" s="107"/>
      <c r="BA111" s="107"/>
      <c r="BB111" s="108"/>
      <c r="BC111" s="40"/>
      <c r="BD111" s="35"/>
      <c r="BE111" s="115" t="str">
        <f>IF([5]回答表!F17="簡易水道事業",IF([5]回答表!X43="○",[5]回答表!B190,IF([5]回答表!AA43="○",[5]回答表!B238,"")),"")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IF([5]回答表!F17="簡易水道事業",IF([5]回答表!X43="○",[5]回答表!Y181,IF([5]回答表!AA43="○",[5]回答表!Y229,"")),"")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IF([5]回答表!F17="簡易水道事業",IF([5]回答表!X43="○",[5]回答表!E190,IF([5]回答表!AA43="○",[5]回答表!E238,"")),"")</f>
        <v/>
      </c>
      <c r="BF114" s="83"/>
      <c r="BG114" s="83"/>
      <c r="BH114" s="83"/>
      <c r="BI114" s="82" t="str">
        <f>IF([5]回答表!F17="簡易水道事業",IF([5]回答表!X43="○",[5]回答表!E191,IF([5]回答表!AA43="○",[5]回答表!E239,"")),"")</f>
        <v/>
      </c>
      <c r="BJ114" s="83"/>
      <c r="BK114" s="83"/>
      <c r="BL114" s="83"/>
      <c r="BM114" s="82" t="str">
        <f>IF([5]回答表!F17="簡易水道事業",IF([5]回答表!X43="○",[5]回答表!E192,IF([5]回答表!AA43="○",[5]回答表!E240,"")),"")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IF([5]回答表!F17="簡易水道事業",IF([5]回答表!AA43="○","○",""),"")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IF([5]回答表!F17="簡易水道事業",IF([5]回答表!X43="○",[5]回答表!Y182,IF([5]回答表!AA43="○",[5]回答表!Y230,"")),"")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IF([5]回答表!F17="簡易水道事業",IF([5]回答表!AD43="○","○",""),"")</f>
        <v/>
      </c>
      <c r="O123" s="98"/>
      <c r="P123" s="98"/>
      <c r="Q123" s="99"/>
      <c r="R123" s="39"/>
      <c r="S123" s="39"/>
      <c r="T123" s="39"/>
      <c r="U123" s="106" t="str">
        <f>IF([5]回答表!F17="簡易水道事業",IF([5]回答表!AD43="○",[5]回答表!B249,""),"")</f>
        <v/>
      </c>
      <c r="V123" s="107"/>
      <c r="W123" s="107"/>
      <c r="X123" s="107"/>
      <c r="Y123" s="107"/>
      <c r="Z123" s="107"/>
      <c r="AA123" s="107"/>
      <c r="AB123" s="107"/>
      <c r="AC123" s="107"/>
      <c r="AD123" s="107"/>
      <c r="AE123" s="107"/>
      <c r="AF123" s="107"/>
      <c r="AG123" s="107"/>
      <c r="AH123" s="107"/>
      <c r="AI123" s="107"/>
      <c r="AJ123" s="108"/>
      <c r="AK123" s="56"/>
      <c r="AL123" s="56"/>
      <c r="AM123" s="106" t="str">
        <f>IF([5]回答表!F17="簡易水道事業",IF([5]回答表!AD43="○",[5]回答表!B255,""),"")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IF([5]回答表!F17="下水道事業",IF([5]回答表!X43="○","○",""),"")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IF([5]回答表!F17="下水道事業",IF([5]回答表!X43="○",[5]回答表!B154,IF([5]回答表!AA43="○",[5]回答表!B201,"")),"")</f>
        <v/>
      </c>
      <c r="AN135" s="107"/>
      <c r="AO135" s="107"/>
      <c r="AP135" s="107"/>
      <c r="AQ135" s="107"/>
      <c r="AR135" s="107"/>
      <c r="AS135" s="107"/>
      <c r="AT135" s="107"/>
      <c r="AU135" s="107"/>
      <c r="AV135" s="107"/>
      <c r="AW135" s="107"/>
      <c r="AX135" s="107"/>
      <c r="AY135" s="107"/>
      <c r="AZ135" s="107"/>
      <c r="BA135" s="107"/>
      <c r="BB135" s="108"/>
      <c r="BC135" s="40"/>
      <c r="BD135" s="35"/>
      <c r="BE135" s="115" t="str">
        <f>IF([5]回答表!F17="下水道事業",IF([5]回答表!X43="○",[5]回答表!B190,IF([5]回答表!AA43="○",[5]回答表!B238,"")),"")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IF([5]回答表!F17="下水道事業",IF([5]回答表!X43="○",[5]回答表!Y184,IF([5]回答表!AA43="○",[5]回答表!Y232,"")),"")</f>
        <v/>
      </c>
      <c r="V137" s="119"/>
      <c r="W137" s="119"/>
      <c r="X137" s="119"/>
      <c r="Y137" s="119"/>
      <c r="Z137" s="119"/>
      <c r="AA137" s="119"/>
      <c r="AB137" s="120"/>
      <c r="AC137" s="118" t="str">
        <f>IF([5]回答表!F17="下水道事業",IF([5]回答表!X43="○",[5]回答表!Y185,IF([5]回答表!AA43="○",[5]回答表!Y233,"")),"")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IF([5]回答表!F17="下水道事業",IF([5]回答表!X43="○",[5]回答表!E190,IF([5]回答表!AA43="○",[5]回答表!E238,"")),"")</f>
        <v/>
      </c>
      <c r="BF138" s="83"/>
      <c r="BG138" s="83"/>
      <c r="BH138" s="83"/>
      <c r="BI138" s="82" t="str">
        <f>IF([5]回答表!F17="下水道事業",IF([5]回答表!X43="○",[5]回答表!E191,IF([5]回答表!AA43="○",[5]回答表!E239,"")),"")</f>
        <v/>
      </c>
      <c r="BJ138" s="83"/>
      <c r="BK138" s="83"/>
      <c r="BL138" s="83"/>
      <c r="BM138" s="82" t="str">
        <f>IF([5]回答表!F17="下水道事業",IF([5]回答表!X43="○",[5]回答表!E192,IF([5]回答表!AA43="○",[5]回答表!E240,"")),"")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IF([5]回答表!F17="下水道事業",IF([5]回答表!AA43="○","○",""),"")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IF([5]回答表!F17="下水道事業",IF([5]回答表!X43="○",[5]回答表!Y186,IF([5]回答表!AA43="○",[5]回答表!Y234,"")),"")</f>
        <v/>
      </c>
      <c r="V142" s="119"/>
      <c r="W142" s="119"/>
      <c r="X142" s="119"/>
      <c r="Y142" s="119"/>
      <c r="Z142" s="119"/>
      <c r="AA142" s="119"/>
      <c r="AB142" s="120"/>
      <c r="AC142" s="118" t="str">
        <f>IF([5]回答表!F17="下水道事業",IF([5]回答表!X43="○",[5]回答表!Y187,IF([5]回答表!AA43="○",[5]回答表!Y235,"")),"")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IF([5]回答表!F17="下水道事業",IF([5]回答表!AD43="○","○",""),"")</f>
        <v>○</v>
      </c>
      <c r="O147" s="98"/>
      <c r="P147" s="98"/>
      <c r="Q147" s="99"/>
      <c r="R147" s="39"/>
      <c r="S147" s="39"/>
      <c r="T147" s="39"/>
      <c r="U147" s="106" t="str">
        <f>IF([5]回答表!F17="下水道事業",IF([5]回答表!AD43="○",[5]回答表!B249,""),"")</f>
        <v>西明寺地区の処理施設の統廃合を検討中。</v>
      </c>
      <c r="V147" s="107"/>
      <c r="W147" s="107"/>
      <c r="X147" s="107"/>
      <c r="Y147" s="107"/>
      <c r="Z147" s="107"/>
      <c r="AA147" s="107"/>
      <c r="AB147" s="107"/>
      <c r="AC147" s="107"/>
      <c r="AD147" s="107"/>
      <c r="AE147" s="107"/>
      <c r="AF147" s="107"/>
      <c r="AG147" s="107"/>
      <c r="AH147" s="107"/>
      <c r="AI147" s="107"/>
      <c r="AJ147" s="108"/>
      <c r="AK147" s="56"/>
      <c r="AL147" s="56"/>
      <c r="AM147" s="106" t="str">
        <f>IF([5]回答表!F17="下水道事業",IF([5]回答表!AD43="○",[5]回答表!B255,""),"")</f>
        <v>処理施設の統廃合に係る資本費と経費回収率のバランスが課題。</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IF([5]回答表!BD17="○",IF([5]回答表!X43="○","○",""),"")</f>
        <v/>
      </c>
      <c r="O159" s="98"/>
      <c r="P159" s="98"/>
      <c r="Q159" s="99"/>
      <c r="R159" s="39"/>
      <c r="S159" s="39"/>
      <c r="T159" s="39"/>
      <c r="U159" s="106" t="str">
        <f>IF([5]回答表!BD17="○",IF([5]回答表!X43="○",[5]回答表!B154,IF([5]回答表!AA43="○",[5]回答表!B201,"")),"")</f>
        <v/>
      </c>
      <c r="V159" s="107"/>
      <c r="W159" s="107"/>
      <c r="X159" s="107"/>
      <c r="Y159" s="107"/>
      <c r="Z159" s="107"/>
      <c r="AA159" s="107"/>
      <c r="AB159" s="107"/>
      <c r="AC159" s="107"/>
      <c r="AD159" s="107"/>
      <c r="AE159" s="107"/>
      <c r="AF159" s="107"/>
      <c r="AG159" s="107"/>
      <c r="AH159" s="107"/>
      <c r="AI159" s="107"/>
      <c r="AJ159" s="108"/>
      <c r="AK159" s="50"/>
      <c r="AL159" s="50"/>
      <c r="AM159" s="115" t="str">
        <f>IF([5]回答表!BD17="○",IF([5]回答表!X43="○",[5]回答表!B190,IF([5]回答表!AA43="○",[5]回答表!B238,"")),"")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IF([5]回答表!BD17="○",IF([5]回答表!X43="○",[5]回答表!E190,IF([5]回答表!AA43="○",[5]回答表!E238,"")),"")</f>
        <v/>
      </c>
      <c r="AN162" s="83"/>
      <c r="AO162" s="83"/>
      <c r="AP162" s="83"/>
      <c r="AQ162" s="82" t="str">
        <f>IF([5]回答表!BD17="○",IF([5]回答表!X43="○",[5]回答表!E191,IF([5]回答表!AA43="○",[5]回答表!E239,"")),"")</f>
        <v/>
      </c>
      <c r="AR162" s="83"/>
      <c r="AS162" s="83"/>
      <c r="AT162" s="83"/>
      <c r="AU162" s="82" t="str">
        <f>IF([5]回答表!BD17="○",IF([5]回答表!X43="○",[5]回答表!E192,IF([5]回答表!AA43="○",[5]回答表!E240,"")),"")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IF([5]回答表!BD17="○",IF([5]回答表!AA43="○","○",""),"")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IF([5]回答表!BD17="○",IF([5]回答表!AD43="○","○",""),"")</f>
        <v/>
      </c>
      <c r="O171" s="98"/>
      <c r="P171" s="98"/>
      <c r="Q171" s="99"/>
      <c r="R171" s="39"/>
      <c r="S171" s="39"/>
      <c r="T171" s="39"/>
      <c r="U171" s="106" t="str">
        <f>IF([5]回答表!BD17="○",IF([5]回答表!AD43="○",[5]回答表!B249,""),"")</f>
        <v/>
      </c>
      <c r="V171" s="107"/>
      <c r="W171" s="107"/>
      <c r="X171" s="107"/>
      <c r="Y171" s="107"/>
      <c r="Z171" s="107"/>
      <c r="AA171" s="107"/>
      <c r="AB171" s="107"/>
      <c r="AC171" s="107"/>
      <c r="AD171" s="107"/>
      <c r="AE171" s="107"/>
      <c r="AF171" s="107"/>
      <c r="AG171" s="107"/>
      <c r="AH171" s="107"/>
      <c r="AI171" s="107"/>
      <c r="AJ171" s="108"/>
      <c r="AK171" s="56"/>
      <c r="AL171" s="56"/>
      <c r="AM171" s="106" t="str">
        <f>IF([5]回答表!BD17="○",IF([5]回答表!AD43="○",[5]回答表!B255,""),"")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IF([5]回答表!X44="○","○","")</f>
        <v/>
      </c>
      <c r="O183" s="98"/>
      <c r="P183" s="98"/>
      <c r="Q183" s="99"/>
      <c r="R183" s="39"/>
      <c r="S183" s="39"/>
      <c r="T183" s="39"/>
      <c r="U183" s="106" t="str">
        <f>IF([5]回答表!X44="○",[5]回答表!B266,IF([5]回答表!AA44="○",[5]回答表!B283,""))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IF([5]回答表!X44="○",[5]回答表!U272,IF([5]回答表!AA44="○",[5]回答表!U289,""))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IF([5]回答表!X44="○",[5]回答表!G272,IF([5]回答表!AA44="○",[5]回答表!G289,""))</f>
        <v/>
      </c>
      <c r="AN186" s="119"/>
      <c r="AO186" s="119"/>
      <c r="AP186" s="119"/>
      <c r="AQ186" s="119"/>
      <c r="AR186" s="119"/>
      <c r="AS186" s="119"/>
      <c r="AT186" s="120"/>
      <c r="AU186" s="118" t="str">
        <f>IF([5]回答表!X44="○",[5]回答表!G273,IF([5]回答表!AA44="○",[5]回答表!G290,""))</f>
        <v/>
      </c>
      <c r="AV186" s="119"/>
      <c r="AW186" s="119"/>
      <c r="AX186" s="119"/>
      <c r="AY186" s="119"/>
      <c r="AZ186" s="119"/>
      <c r="BA186" s="119"/>
      <c r="BB186" s="120"/>
      <c r="BC186" s="40"/>
      <c r="BD186" s="35"/>
      <c r="BE186" s="82" t="str">
        <f>IF([5]回答表!X44="○",[5]回答表!X272,IF([5]回答表!AA44="○",[5]回答表!X289,""))</f>
        <v/>
      </c>
      <c r="BF186" s="83"/>
      <c r="BG186" s="83"/>
      <c r="BH186" s="83"/>
      <c r="BI186" s="82" t="str">
        <f>IF([5]回答表!X44="○",[5]回答表!X273,IF([5]回答表!AA44="○",[5]回答表!X290,""))</f>
        <v/>
      </c>
      <c r="BJ186" s="83"/>
      <c r="BK186" s="83"/>
      <c r="BL186" s="86"/>
      <c r="BM186" s="82" t="str">
        <f>IF([5]回答表!X44="○",[5]回答表!X274,IF([5]回答表!AA44="○",[5]回答表!X291,""))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IF([5]回答表!AD44="○","○","")</f>
        <v/>
      </c>
      <c r="O195" s="98"/>
      <c r="P195" s="98"/>
      <c r="Q195" s="99"/>
      <c r="R195" s="39"/>
      <c r="S195" s="39"/>
      <c r="T195" s="39"/>
      <c r="U195" s="106" t="str">
        <f>IF([5]回答表!AD44="○",[5]回答表!B296,"")</f>
        <v/>
      </c>
      <c r="V195" s="107"/>
      <c r="W195" s="107"/>
      <c r="X195" s="107"/>
      <c r="Y195" s="107"/>
      <c r="Z195" s="107"/>
      <c r="AA195" s="107"/>
      <c r="AB195" s="107"/>
      <c r="AC195" s="107"/>
      <c r="AD195" s="107"/>
      <c r="AE195" s="107"/>
      <c r="AF195" s="107"/>
      <c r="AG195" s="107"/>
      <c r="AH195" s="107"/>
      <c r="AI195" s="107"/>
      <c r="AJ195" s="108"/>
      <c r="AK195" s="61"/>
      <c r="AL195" s="61"/>
      <c r="AM195" s="106" t="str">
        <f>IF([5]回答表!AD44="○",[5]回答表!B302,"")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IF([5]回答表!X45="○","○","")</f>
        <v/>
      </c>
      <c r="O207" s="98"/>
      <c r="P207" s="98"/>
      <c r="Q207" s="99"/>
      <c r="R207" s="39"/>
      <c r="S207" s="39"/>
      <c r="T207" s="39"/>
      <c r="U207" s="106" t="str">
        <f>IF([5]回答表!X45="○",[5]回答表!B314,IF([5]回答表!AA45="○",[5]回答表!B337,""))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IF([5]回答表!X45="○",[5]回答表!B320,"")</f>
        <v/>
      </c>
      <c r="AO207" s="164"/>
      <c r="AP207" s="164"/>
      <c r="AQ207" s="164"/>
      <c r="AR207" s="164"/>
      <c r="AS207" s="164"/>
      <c r="AT207" s="164"/>
      <c r="AU207" s="164"/>
      <c r="AV207" s="164"/>
      <c r="AW207" s="164"/>
      <c r="AX207" s="164"/>
      <c r="AY207" s="164"/>
      <c r="AZ207" s="164"/>
      <c r="BA207" s="164"/>
      <c r="BB207" s="165"/>
      <c r="BC207" s="40"/>
      <c r="BD207" s="35"/>
      <c r="BE207" s="115" t="str">
        <f>IF([5]回答表!X45="○",[5]回答表!B326,IF([5]回答表!AA45="○",[5]回答表!B343,""))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IF([5]回答表!X45="○",[5]回答表!E326,IF([5]回答表!AA45="○",[5]回答表!E343,""))</f>
        <v/>
      </c>
      <c r="BF210" s="83"/>
      <c r="BG210" s="83"/>
      <c r="BH210" s="83"/>
      <c r="BI210" s="82" t="str">
        <f>IF([5]回答表!X45="○",[5]回答表!E327,IF([5]回答表!AA45="○",[5]回答表!E344,""))</f>
        <v/>
      </c>
      <c r="BJ210" s="83"/>
      <c r="BK210" s="83"/>
      <c r="BL210" s="86"/>
      <c r="BM210" s="82" t="str">
        <f>IF([5]回答表!X45="○",[5]回答表!E328,IF([5]回答表!AA45="○",[5]回答表!E345,""))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IF([5]回答表!AD45="○","○","")</f>
        <v/>
      </c>
      <c r="O219" s="98"/>
      <c r="P219" s="98"/>
      <c r="Q219" s="99"/>
      <c r="R219" s="39"/>
      <c r="S219" s="39"/>
      <c r="T219" s="39"/>
      <c r="U219" s="106" t="str">
        <f>IF([5]回答表!AD45="○",[5]回答表!B350,"")</f>
        <v/>
      </c>
      <c r="V219" s="107"/>
      <c r="W219" s="107"/>
      <c r="X219" s="107"/>
      <c r="Y219" s="107"/>
      <c r="Z219" s="107"/>
      <c r="AA219" s="107"/>
      <c r="AB219" s="107"/>
      <c r="AC219" s="107"/>
      <c r="AD219" s="107"/>
      <c r="AE219" s="107"/>
      <c r="AF219" s="107"/>
      <c r="AG219" s="107"/>
      <c r="AH219" s="107"/>
      <c r="AI219" s="107"/>
      <c r="AJ219" s="108"/>
      <c r="AK219" s="61"/>
      <c r="AL219" s="61"/>
      <c r="AM219" s="106" t="str">
        <f>IF([5]回答表!AD45="○",[5]回答表!B356,"")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IF([5]回答表!X46="○","○","")</f>
        <v/>
      </c>
      <c r="O231" s="98"/>
      <c r="P231" s="98"/>
      <c r="Q231" s="99"/>
      <c r="R231" s="39"/>
      <c r="S231" s="39"/>
      <c r="T231" s="39"/>
      <c r="U231" s="106" t="str">
        <f>IF([5]回答表!X46="○",[5]回答表!B368,IF([5]回答表!AA46="○",[5]回答表!B382,""))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IF([5]回答表!X46="○",[5]回答表!BC375,IF([5]回答表!AA46="○",[5]回答表!BC389,""))</f>
        <v/>
      </c>
      <c r="AR231" s="150"/>
      <c r="AS231" s="150"/>
      <c r="AT231" s="150"/>
      <c r="AU231" s="155" t="s">
        <v>63</v>
      </c>
      <c r="AV231" s="156"/>
      <c r="AW231" s="156"/>
      <c r="AX231" s="157"/>
      <c r="AY231" s="150" t="str">
        <f>IF([5]回答表!X46="○",[5]回答表!BC380,IF([5]回答表!AA46="○",[5]回答表!BC394,""))</f>
        <v/>
      </c>
      <c r="AZ231" s="150"/>
      <c r="BA231" s="150"/>
      <c r="BB231" s="150"/>
      <c r="BC231" s="40"/>
      <c r="BD231" s="35"/>
      <c r="BE231" s="115" t="str">
        <f>IF([5]回答表!X46="○",[5]回答表!S374,IF([5]回答表!AA46="○",[5]回答表!S388,""))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IF([5]回答表!X46="○",[5]回答表!BC376,IF([5]回答表!AA46="○",[5]回答表!BC390,""))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IF([5]回答表!X46="○",[5]回答表!V374,IF([5]回答表!AA46="○",[5]回答表!V388,""))</f>
        <v/>
      </c>
      <c r="BF234" s="83"/>
      <c r="BG234" s="83"/>
      <c r="BH234" s="83"/>
      <c r="BI234" s="82" t="str">
        <f>IF([5]回答表!X46="○",[5]回答表!V375,IF([5]回答表!AA46="○",[5]回答表!V389,""))</f>
        <v/>
      </c>
      <c r="BJ234" s="83"/>
      <c r="BK234" s="83"/>
      <c r="BL234" s="86"/>
      <c r="BM234" s="82" t="str">
        <f>IF([5]回答表!X46="○",[5]回答表!V376,IF([5]回答表!AA46="○",[5]回答表!V390,""))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IF([5]回答表!X46="○",[5]回答表!BC377,IF([5]回答表!AA46="○",[5]回答表!BC391,""))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IF([5]回答表!X46="○",[5]回答表!BC381,IF([5]回答表!AA46="○",[5]回答表!BC395,""))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IF([5]回答表!X46="○",[5]回答表!BC378,IF([5]回答表!AA46="○",[5]回答表!BC392,""))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IF([5]回答表!X46="○",[5]回答表!BC379,IF([5]回答表!AA46="○",[5]回答表!BC393,""))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IF([5]回答表!AD46="○","○","")</f>
        <v/>
      </c>
      <c r="O243" s="98"/>
      <c r="P243" s="98"/>
      <c r="Q243" s="99"/>
      <c r="R243" s="39"/>
      <c r="S243" s="39"/>
      <c r="T243" s="39"/>
      <c r="U243" s="106" t="str">
        <f>IF([5]回答表!AD46="○",[5]回答表!B396,"")</f>
        <v/>
      </c>
      <c r="V243" s="107"/>
      <c r="W243" s="107"/>
      <c r="X243" s="107"/>
      <c r="Y243" s="107"/>
      <c r="Z243" s="107"/>
      <c r="AA243" s="107"/>
      <c r="AB243" s="107"/>
      <c r="AC243" s="107"/>
      <c r="AD243" s="107"/>
      <c r="AE243" s="107"/>
      <c r="AF243" s="107"/>
      <c r="AG243" s="107"/>
      <c r="AH243" s="107"/>
      <c r="AI243" s="107"/>
      <c r="AJ243" s="108"/>
      <c r="AK243" s="56"/>
      <c r="AL243" s="56"/>
      <c r="AM243" s="106" t="str">
        <f>IF([5]回答表!AD46="○",[5]回答表!B402,"")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IF([5]回答表!X47="○","○","")</f>
        <v/>
      </c>
      <c r="O254" s="98"/>
      <c r="P254" s="98"/>
      <c r="Q254" s="99"/>
      <c r="R254" s="39"/>
      <c r="S254" s="39"/>
      <c r="T254" s="39"/>
      <c r="U254" s="106" t="str">
        <f>IF([5]回答表!X47="○",[5]回答表!B414,IF([5]回答表!AA47="○",[5]回答表!B431,""))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IF([5]回答表!X47="○",[5]回答表!B424,IF([5]回答表!AA47="○",[5]回答表!B441,""))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IF([5]回答表!X47="○",[5]回答表!G420,IF([5]回答表!AA47="○",[5]回答表!G437,""))</f>
        <v/>
      </c>
      <c r="AN256" s="119"/>
      <c r="AO256" s="119"/>
      <c r="AP256" s="119"/>
      <c r="AQ256" s="119"/>
      <c r="AR256" s="119"/>
      <c r="AS256" s="119"/>
      <c r="AT256" s="120"/>
      <c r="AU256" s="118" t="str">
        <f>IF([5]回答表!X47="○",[5]回答表!G421,IF([5]回答表!AA47="○",[5]回答表!G438,""))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IF([5]回答表!X47="○",[5]回答表!E424,IF([5]回答表!AA47="○",[5]回答表!E441,""))</f>
        <v/>
      </c>
      <c r="BF257" s="83"/>
      <c r="BG257" s="83"/>
      <c r="BH257" s="83"/>
      <c r="BI257" s="82" t="str">
        <f>IF([5]回答表!X47="○",[5]回答表!E425,IF([5]回答表!AA47="○",[5]回答表!E442,""))</f>
        <v/>
      </c>
      <c r="BJ257" s="83"/>
      <c r="BK257" s="83"/>
      <c r="BL257" s="86"/>
      <c r="BM257" s="82" t="str">
        <f>IF([5]回答表!X47="○",[5]回答表!E426,IF([5]回答表!AA47="○",[5]回答表!E443,""))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IF([5]回答表!AD47="○","○","")</f>
        <v/>
      </c>
      <c r="O266" s="98"/>
      <c r="P266" s="98"/>
      <c r="Q266" s="99"/>
      <c r="R266" s="39"/>
      <c r="S266" s="39"/>
      <c r="T266" s="39"/>
      <c r="U266" s="106" t="str">
        <f>IF([5]回答表!AD47="○",[5]回答表!B448,"")</f>
        <v/>
      </c>
      <c r="V266" s="107"/>
      <c r="W266" s="107"/>
      <c r="X266" s="107"/>
      <c r="Y266" s="107"/>
      <c r="Z266" s="107"/>
      <c r="AA266" s="107"/>
      <c r="AB266" s="107"/>
      <c r="AC266" s="107"/>
      <c r="AD266" s="107"/>
      <c r="AE266" s="107"/>
      <c r="AF266" s="107"/>
      <c r="AG266" s="107"/>
      <c r="AH266" s="107"/>
      <c r="AI266" s="107"/>
      <c r="AJ266" s="108"/>
      <c r="AK266" s="50"/>
      <c r="AL266" s="50"/>
      <c r="AM266" s="106" t="str">
        <f>IF([5]回答表!AD47="○",[5]回答表!B454,"")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IF([5]回答表!R48="○",[5]回答表!B467,"")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4801B-69B3-4A12-BC0E-E6678F04AA3C}">
  <sheetPr>
    <pageSetUpPr fitToPage="1"/>
  </sheetPr>
  <dimension ref="A1:CE298"/>
  <sheetViews>
    <sheetView showZeros="0" zoomScale="55" zoomScaleNormal="55" workbookViewId="0">
      <selection activeCell="CG67" sqref="CG67"/>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IF(COUNTIF([6]回答表!K15,"*")&gt;0,[6]回答表!K15,"")</f>
        <v>仙北市</v>
      </c>
      <c r="D11" s="255"/>
      <c r="E11" s="255"/>
      <c r="F11" s="255"/>
      <c r="G11" s="255"/>
      <c r="H11" s="255"/>
      <c r="I11" s="255"/>
      <c r="J11" s="255"/>
      <c r="K11" s="255"/>
      <c r="L11" s="255"/>
      <c r="M11" s="255"/>
      <c r="N11" s="255"/>
      <c r="O11" s="255"/>
      <c r="P11" s="255"/>
      <c r="Q11" s="255"/>
      <c r="R11" s="255"/>
      <c r="S11" s="255"/>
      <c r="T11" s="255"/>
      <c r="U11" s="262" t="str">
        <f>IF(COUNTIF([6]回答表!F17,"*")&gt;0,[6]回答表!F17,"")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IF(COUNTIF([6]回答表!W17,"*")&gt;0,[6]回答表!W17,"")</f>
        <v>林業集落排水施設</v>
      </c>
      <c r="AP11" s="257"/>
      <c r="AQ11" s="257"/>
      <c r="AR11" s="257"/>
      <c r="AS11" s="257"/>
      <c r="AT11" s="257"/>
      <c r="AU11" s="257"/>
      <c r="AV11" s="257"/>
      <c r="AW11" s="257"/>
      <c r="AX11" s="257"/>
      <c r="AY11" s="257"/>
      <c r="AZ11" s="257"/>
      <c r="BA11" s="257"/>
      <c r="BB11" s="257"/>
      <c r="BC11" s="257"/>
      <c r="BD11" s="257"/>
      <c r="BE11" s="258"/>
      <c r="BF11" s="261" t="str">
        <f>IF(COUNTIF([6]回答表!F19,"*")&gt;0,[6]回答表!F19,"")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IF([6]回答表!R41="○","○","")</f>
        <v/>
      </c>
      <c r="E24" s="122"/>
      <c r="F24" s="122"/>
      <c r="G24" s="122"/>
      <c r="H24" s="122"/>
      <c r="I24" s="122"/>
      <c r="J24" s="123"/>
      <c r="K24" s="121" t="str">
        <f>IF([6]回答表!R42="○","○","")</f>
        <v/>
      </c>
      <c r="L24" s="122"/>
      <c r="M24" s="122"/>
      <c r="N24" s="122"/>
      <c r="O24" s="122"/>
      <c r="P24" s="122"/>
      <c r="Q24" s="123"/>
      <c r="R24" s="121" t="str">
        <f>IF([6]回答表!R43="○","○","")</f>
        <v/>
      </c>
      <c r="S24" s="122"/>
      <c r="T24" s="122"/>
      <c r="U24" s="122"/>
      <c r="V24" s="122"/>
      <c r="W24" s="122"/>
      <c r="X24" s="123"/>
      <c r="Y24" s="121" t="str">
        <f>IF([6]回答表!R44="○","○","")</f>
        <v/>
      </c>
      <c r="Z24" s="122"/>
      <c r="AA24" s="122"/>
      <c r="AB24" s="122"/>
      <c r="AC24" s="122"/>
      <c r="AD24" s="122"/>
      <c r="AE24" s="123"/>
      <c r="AF24" s="121" t="str">
        <f>IF([6]回答表!R45="○","○","")</f>
        <v/>
      </c>
      <c r="AG24" s="122"/>
      <c r="AH24" s="122"/>
      <c r="AI24" s="122"/>
      <c r="AJ24" s="122"/>
      <c r="AK24" s="122"/>
      <c r="AL24" s="123"/>
      <c r="AM24" s="121" t="str">
        <f>IF([6]回答表!R46="○","○","")</f>
        <v/>
      </c>
      <c r="AN24" s="122"/>
      <c r="AO24" s="122"/>
      <c r="AP24" s="122"/>
      <c r="AQ24" s="122"/>
      <c r="AR24" s="122"/>
      <c r="AS24" s="123"/>
      <c r="AT24" s="121" t="str">
        <f>IF([6]回答表!R47="○","○","")</f>
        <v/>
      </c>
      <c r="AU24" s="122"/>
      <c r="AV24" s="122"/>
      <c r="AW24" s="122"/>
      <c r="AX24" s="122"/>
      <c r="AY24" s="122"/>
      <c r="AZ24" s="123"/>
      <c r="BA24" s="19"/>
      <c r="BB24" s="118" t="str">
        <f>IF([6]回答表!R48="○","○","")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IF([6]回答表!X41="○","○","")</f>
        <v/>
      </c>
      <c r="O36" s="98"/>
      <c r="P36" s="98"/>
      <c r="Q36" s="99"/>
      <c r="R36" s="39"/>
      <c r="S36" s="39"/>
      <c r="T36" s="39"/>
      <c r="U36" s="106" t="str">
        <f>IF([6]回答表!X41="○",[6]回答表!B56,IF([6]回答表!AA41="○",[6]回答表!B76,""))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IF([6]回答表!X41="○",[6]回答表!S62,IF([6]回答表!AA41="○",[6]回答表!S82,""))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IF([6]回答表!X41="○",[6]回答表!G62,IF([6]回答表!AA41="○",[6]回答表!G82,""))</f>
        <v/>
      </c>
      <c r="AN38" s="119"/>
      <c r="AO38" s="119"/>
      <c r="AP38" s="119"/>
      <c r="AQ38" s="119"/>
      <c r="AR38" s="119"/>
      <c r="AS38" s="119"/>
      <c r="AT38" s="120"/>
      <c r="AU38" s="118" t="str">
        <f>IF([6]回答表!X41="○",[6]回答表!G63,IF([6]回答表!AA41="○",[6]回答表!G83,""))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IF([6]回答表!X41="○",[6]回答表!V62,IF([6]回答表!AA41="○",[6]回答表!V82,""))</f>
        <v/>
      </c>
      <c r="BF39" s="208"/>
      <c r="BG39" s="208"/>
      <c r="BH39" s="209"/>
      <c r="BI39" s="82" t="str">
        <f>IF([6]回答表!X41="○",[6]回答表!V63,IF([6]回答表!AA41="○",[6]回答表!V83,""))</f>
        <v/>
      </c>
      <c r="BJ39" s="208"/>
      <c r="BK39" s="208"/>
      <c r="BL39" s="209"/>
      <c r="BM39" s="82" t="str">
        <f>IF([6]回答表!X41="○",[6]回答表!V64,IF([6]回答表!AA41="○",[6]回答表!V84,""))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IF([6]回答表!X41="○",[6]回答表!O68,IF([6]回答表!AA41="○",[6]回答表!O88,""))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IF([6]回答表!X41="○",[6]回答表!O69,IF([6]回答表!AA41="○",[6]回答表!O89,""))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IF([6]回答表!AA41="○","○","")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IF([6]回答表!X41="○",[6]回答表!O70,IF([6]回答表!AA41="○",[6]回答表!O90,""))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IF([6]回答表!X41="○",[6]回答表!O71,IF([6]回答表!AA41="○",[6]回答表!O91,""))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IF([6]回答表!X41="○",[6]回答表!AG68,IF([6]回答表!AA41="○",[6]回答表!AG88,""))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IF([6]回答表!X41="○",[6]回答表!AG69,IF([6]回答表!AA41="○",[6]回答表!AG89,""))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IF([6]回答表!X41="○",[6]回答表!AG70,IF([6]回答表!AA41="○",[6]回答表!AG90,""))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IF([6]回答表!AD41="○","○","")</f>
        <v/>
      </c>
      <c r="O52" s="98"/>
      <c r="P52" s="98"/>
      <c r="Q52" s="99"/>
      <c r="R52" s="39"/>
      <c r="S52" s="39"/>
      <c r="T52" s="39"/>
      <c r="U52" s="106" t="str">
        <f>IF([6]回答表!AD41="○",[6]回答表!B96,"")</f>
        <v/>
      </c>
      <c r="V52" s="107"/>
      <c r="W52" s="107"/>
      <c r="X52" s="107"/>
      <c r="Y52" s="107"/>
      <c r="Z52" s="107"/>
      <c r="AA52" s="107"/>
      <c r="AB52" s="107"/>
      <c r="AC52" s="107"/>
      <c r="AD52" s="107"/>
      <c r="AE52" s="107"/>
      <c r="AF52" s="107"/>
      <c r="AG52" s="107"/>
      <c r="AH52" s="107"/>
      <c r="AI52" s="107"/>
      <c r="AJ52" s="108"/>
      <c r="AK52" s="56"/>
      <c r="AL52" s="56"/>
      <c r="AM52" s="106" t="str">
        <f>IF([6]回答表!AD41="○",[6]回答表!B101,"")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IF([6]回答表!X42="○","○","")</f>
        <v/>
      </c>
      <c r="O63" s="98"/>
      <c r="P63" s="98"/>
      <c r="Q63" s="99"/>
      <c r="R63" s="39"/>
      <c r="S63" s="39"/>
      <c r="T63" s="39"/>
      <c r="U63" s="106" t="str">
        <f>IF([6]回答表!X42="○",[6]回答表!B111,IF([6]回答表!AA42="○",[6]回答表!B124,""))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IF([6]回答表!X42="○",[6]回答表!S117,IF([6]回答表!AA42="○",[6]回答表!S130,""))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IF([6]回答表!X42="○",[6]回答表!J117,IF([6]回答表!AA42="○",[6]回答表!J130,""))</f>
        <v/>
      </c>
      <c r="AN66" s="119"/>
      <c r="AO66" s="119"/>
      <c r="AP66" s="119"/>
      <c r="AQ66" s="119"/>
      <c r="AR66" s="119"/>
      <c r="AS66" s="119"/>
      <c r="AT66" s="120"/>
      <c r="AU66" s="118" t="str">
        <f>IF([6]回答表!X42="○",[6]回答表!J118,IF([6]回答表!AA42="○",[6]回答表!J131,""))</f>
        <v/>
      </c>
      <c r="AV66" s="119"/>
      <c r="AW66" s="119"/>
      <c r="AX66" s="119"/>
      <c r="AY66" s="119"/>
      <c r="AZ66" s="119"/>
      <c r="BA66" s="119"/>
      <c r="BB66" s="120"/>
      <c r="BC66" s="40"/>
      <c r="BD66" s="35"/>
      <c r="BE66" s="82" t="str">
        <f>IF([6]回答表!X42="○",[6]回答表!V117,IF([6]回答表!AA42="○",[6]回答表!V130,""))</f>
        <v/>
      </c>
      <c r="BF66" s="83"/>
      <c r="BG66" s="83"/>
      <c r="BH66" s="83"/>
      <c r="BI66" s="82" t="str">
        <f>IF([6]回答表!X42="○",[6]回答表!V118,IF([6]回答表!AA42="○",[6]回答表!V131,""))</f>
        <v/>
      </c>
      <c r="BJ66" s="83"/>
      <c r="BK66" s="83"/>
      <c r="BL66" s="83"/>
      <c r="BM66" s="82" t="str">
        <f>IF([6]回答表!X42="○",[6]回答表!V119,IF([6]回答表!AA42="○",[6]回答表!V132,""))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IF([6]回答表!AA42="○","○","")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IF([6]回答表!AD42="○","○","")</f>
        <v/>
      </c>
      <c r="O75" s="98"/>
      <c r="P75" s="98"/>
      <c r="Q75" s="99"/>
      <c r="R75" s="39"/>
      <c r="S75" s="39"/>
      <c r="T75" s="39"/>
      <c r="U75" s="106" t="str">
        <f>IF([6]回答表!AD42="○",[6]回答表!B137,"")</f>
        <v/>
      </c>
      <c r="V75" s="107"/>
      <c r="W75" s="107"/>
      <c r="X75" s="107"/>
      <c r="Y75" s="107"/>
      <c r="Z75" s="107"/>
      <c r="AA75" s="107"/>
      <c r="AB75" s="107"/>
      <c r="AC75" s="107"/>
      <c r="AD75" s="107"/>
      <c r="AE75" s="107"/>
      <c r="AF75" s="107"/>
      <c r="AG75" s="107"/>
      <c r="AH75" s="107"/>
      <c r="AI75" s="107"/>
      <c r="AJ75" s="108"/>
      <c r="AK75" s="56"/>
      <c r="AL75" s="56"/>
      <c r="AM75" s="106" t="str">
        <f>IF([6]回答表!AD42="○",[6]回答表!B143,"")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IF([6]回答表!F17="水道事業",IF([6]回答表!X43="○","○",""),"")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IF([6]回答表!F17="水道事業",IF([6]回答表!X43="○",[6]回答表!B154,IF([6]回答表!AA43="○",[6]回答表!B201,"")),"")</f>
        <v/>
      </c>
      <c r="AN87" s="107"/>
      <c r="AO87" s="107"/>
      <c r="AP87" s="107"/>
      <c r="AQ87" s="107"/>
      <c r="AR87" s="107"/>
      <c r="AS87" s="107"/>
      <c r="AT87" s="107"/>
      <c r="AU87" s="107"/>
      <c r="AV87" s="107"/>
      <c r="AW87" s="107"/>
      <c r="AX87" s="107"/>
      <c r="AY87" s="107"/>
      <c r="AZ87" s="107"/>
      <c r="BA87" s="107"/>
      <c r="BB87" s="108"/>
      <c r="BC87" s="40"/>
      <c r="BD87" s="35"/>
      <c r="BE87" s="115" t="str">
        <f>IF([6]回答表!F17="水道事業",IF([6]回答表!X43="○",[6]回答表!B190,IF([6]回答表!AA43="○",[6]回答表!B238,"")),"")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IF([6]回答表!F17="水道事業",IF([6]回答表!X43="○",[6]回答表!J162,IF([6]回答表!AA43="○",[6]回答表!J209,"")),"")</f>
        <v/>
      </c>
      <c r="V89" s="119"/>
      <c r="W89" s="119"/>
      <c r="X89" s="119"/>
      <c r="Y89" s="119"/>
      <c r="Z89" s="119"/>
      <c r="AA89" s="119"/>
      <c r="AB89" s="120"/>
      <c r="AC89" s="118" t="str">
        <f>IF([6]回答表!F17="水道事業",IF([6]回答表!X43="○",[6]回答表!J169,IF([6]回答表!AA43="○",[6]回答表!J216,"")),"")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IF([6]回答表!F17="水道事業",IF([6]回答表!X43="○",[6]回答表!E190,IF([6]回答表!AA43="○",[6]回答表!E238,"")),"")</f>
        <v/>
      </c>
      <c r="BF90" s="83"/>
      <c r="BG90" s="83"/>
      <c r="BH90" s="83"/>
      <c r="BI90" s="82" t="str">
        <f>IF([6]回答表!F17="水道事業",IF([6]回答表!X43="○",[6]回答表!E191,IF([6]回答表!AA43="○",[6]回答表!E239,"")),"")</f>
        <v/>
      </c>
      <c r="BJ90" s="83"/>
      <c r="BK90" s="83"/>
      <c r="BL90" s="83"/>
      <c r="BM90" s="82" t="str">
        <f>IF([6]回答表!F17="水道事業",IF([6]回答表!X43="○",[6]回答表!E192,IF([6]回答表!AA43="○",[6]回答表!E240,"")),"")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IF([6]回答表!F17="水道事業",IF([6]回答表!AA43="○","○",""),"")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IF([6]回答表!F17="水道事業",IF([6]回答表!X43="○",[6]回答表!J172,IF([6]回答表!AA43="○",[6]回答表!J219,"")),"")</f>
        <v/>
      </c>
      <c r="V94" s="119"/>
      <c r="W94" s="119"/>
      <c r="X94" s="119"/>
      <c r="Y94" s="119"/>
      <c r="Z94" s="119"/>
      <c r="AA94" s="119"/>
      <c r="AB94" s="120"/>
      <c r="AC94" s="118" t="str">
        <f>IF([6]回答表!F17="水道事業",IF([6]回答表!X43="○",[6]回答表!J176,IF([6]回答表!AA43="○",[6]回答表!J223,"")),"")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IF([6]回答表!F17="水道事業",IF([6]回答表!AD43="○","○",""),"")</f>
        <v/>
      </c>
      <c r="O99" s="98"/>
      <c r="P99" s="98"/>
      <c r="Q99" s="99"/>
      <c r="R99" s="39"/>
      <c r="S99" s="39"/>
      <c r="T99" s="39"/>
      <c r="U99" s="106" t="str">
        <f>IF([6]回答表!F17="水道事業",IF([6]回答表!AD43="○",[6]回答表!B249,""),"")</f>
        <v/>
      </c>
      <c r="V99" s="107"/>
      <c r="W99" s="107"/>
      <c r="X99" s="107"/>
      <c r="Y99" s="107"/>
      <c r="Z99" s="107"/>
      <c r="AA99" s="107"/>
      <c r="AB99" s="107"/>
      <c r="AC99" s="107"/>
      <c r="AD99" s="107"/>
      <c r="AE99" s="107"/>
      <c r="AF99" s="107"/>
      <c r="AG99" s="107"/>
      <c r="AH99" s="107"/>
      <c r="AI99" s="107"/>
      <c r="AJ99" s="108"/>
      <c r="AK99" s="56"/>
      <c r="AL99" s="56"/>
      <c r="AM99" s="106" t="str">
        <f>IF([6]回答表!F17="水道事業",IF([6]回答表!AD43="○",[6]回答表!B255,""),"")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IF([6]回答表!F17="簡易水道事業",IF([6]回答表!X43="○","○",""),"")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IF([6]回答表!F17="簡易水道事業",IF([6]回答表!X43="○",[6]回答表!B154,IF([6]回答表!AA43="○",[6]回答表!B201,"")),"")</f>
        <v/>
      </c>
      <c r="AN111" s="107"/>
      <c r="AO111" s="107"/>
      <c r="AP111" s="107"/>
      <c r="AQ111" s="107"/>
      <c r="AR111" s="107"/>
      <c r="AS111" s="107"/>
      <c r="AT111" s="107"/>
      <c r="AU111" s="107"/>
      <c r="AV111" s="107"/>
      <c r="AW111" s="107"/>
      <c r="AX111" s="107"/>
      <c r="AY111" s="107"/>
      <c r="AZ111" s="107"/>
      <c r="BA111" s="107"/>
      <c r="BB111" s="108"/>
      <c r="BC111" s="40"/>
      <c r="BD111" s="35"/>
      <c r="BE111" s="115" t="str">
        <f>IF([6]回答表!F17="簡易水道事業",IF([6]回答表!X43="○",[6]回答表!B190,IF([6]回答表!AA43="○",[6]回答表!B238,"")),"")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IF([6]回答表!F17="簡易水道事業",IF([6]回答表!X43="○",[6]回答表!Y181,IF([6]回答表!AA43="○",[6]回答表!Y229,"")),"")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IF([6]回答表!F17="簡易水道事業",IF([6]回答表!X43="○",[6]回答表!E190,IF([6]回答表!AA43="○",[6]回答表!E238,"")),"")</f>
        <v/>
      </c>
      <c r="BF114" s="83"/>
      <c r="BG114" s="83"/>
      <c r="BH114" s="83"/>
      <c r="BI114" s="82" t="str">
        <f>IF([6]回答表!F17="簡易水道事業",IF([6]回答表!X43="○",[6]回答表!E191,IF([6]回答表!AA43="○",[6]回答表!E239,"")),"")</f>
        <v/>
      </c>
      <c r="BJ114" s="83"/>
      <c r="BK114" s="83"/>
      <c r="BL114" s="83"/>
      <c r="BM114" s="82" t="str">
        <f>IF([6]回答表!F17="簡易水道事業",IF([6]回答表!X43="○",[6]回答表!E192,IF([6]回答表!AA43="○",[6]回答表!E240,"")),"")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IF([6]回答表!F17="簡易水道事業",IF([6]回答表!AA43="○","○",""),"")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IF([6]回答表!F17="簡易水道事業",IF([6]回答表!X43="○",[6]回答表!Y182,IF([6]回答表!AA43="○",[6]回答表!Y230,"")),"")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IF([6]回答表!F17="簡易水道事業",IF([6]回答表!AD43="○","○",""),"")</f>
        <v/>
      </c>
      <c r="O123" s="98"/>
      <c r="P123" s="98"/>
      <c r="Q123" s="99"/>
      <c r="R123" s="39"/>
      <c r="S123" s="39"/>
      <c r="T123" s="39"/>
      <c r="U123" s="106" t="str">
        <f>IF([6]回答表!F17="簡易水道事業",IF([6]回答表!AD43="○",[6]回答表!B249,""),"")</f>
        <v/>
      </c>
      <c r="V123" s="107"/>
      <c r="W123" s="107"/>
      <c r="X123" s="107"/>
      <c r="Y123" s="107"/>
      <c r="Z123" s="107"/>
      <c r="AA123" s="107"/>
      <c r="AB123" s="107"/>
      <c r="AC123" s="107"/>
      <c r="AD123" s="107"/>
      <c r="AE123" s="107"/>
      <c r="AF123" s="107"/>
      <c r="AG123" s="107"/>
      <c r="AH123" s="107"/>
      <c r="AI123" s="107"/>
      <c r="AJ123" s="108"/>
      <c r="AK123" s="56"/>
      <c r="AL123" s="56"/>
      <c r="AM123" s="106" t="str">
        <f>IF([6]回答表!F17="簡易水道事業",IF([6]回答表!AD43="○",[6]回答表!B255,""),"")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IF([6]回答表!F17="下水道事業",IF([6]回答表!X43="○","○",""),"")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IF([6]回答表!F17="下水道事業",IF([6]回答表!X43="○",[6]回答表!B154,IF([6]回答表!AA43="○",[6]回答表!B201,"")),"")</f>
        <v/>
      </c>
      <c r="AN135" s="107"/>
      <c r="AO135" s="107"/>
      <c r="AP135" s="107"/>
      <c r="AQ135" s="107"/>
      <c r="AR135" s="107"/>
      <c r="AS135" s="107"/>
      <c r="AT135" s="107"/>
      <c r="AU135" s="107"/>
      <c r="AV135" s="107"/>
      <c r="AW135" s="107"/>
      <c r="AX135" s="107"/>
      <c r="AY135" s="107"/>
      <c r="AZ135" s="107"/>
      <c r="BA135" s="107"/>
      <c r="BB135" s="108"/>
      <c r="BC135" s="40"/>
      <c r="BD135" s="35"/>
      <c r="BE135" s="115" t="str">
        <f>IF([6]回答表!F17="下水道事業",IF([6]回答表!X43="○",[6]回答表!B190,IF([6]回答表!AA43="○",[6]回答表!B238,"")),"")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IF([6]回答表!F17="下水道事業",IF([6]回答表!X43="○",[6]回答表!Y184,IF([6]回答表!AA43="○",[6]回答表!Y232,"")),"")</f>
        <v/>
      </c>
      <c r="V137" s="119"/>
      <c r="W137" s="119"/>
      <c r="X137" s="119"/>
      <c r="Y137" s="119"/>
      <c r="Z137" s="119"/>
      <c r="AA137" s="119"/>
      <c r="AB137" s="120"/>
      <c r="AC137" s="118" t="str">
        <f>IF([6]回答表!F17="下水道事業",IF([6]回答表!X43="○",[6]回答表!Y185,IF([6]回答表!AA43="○",[6]回答表!Y233,"")),"")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IF([6]回答表!F17="下水道事業",IF([6]回答表!X43="○",[6]回答表!E190,IF([6]回答表!AA43="○",[6]回答表!E238,"")),"")</f>
        <v/>
      </c>
      <c r="BF138" s="83"/>
      <c r="BG138" s="83"/>
      <c r="BH138" s="83"/>
      <c r="BI138" s="82" t="str">
        <f>IF([6]回答表!F17="下水道事業",IF([6]回答表!X43="○",[6]回答表!E191,IF([6]回答表!AA43="○",[6]回答表!E239,"")),"")</f>
        <v/>
      </c>
      <c r="BJ138" s="83"/>
      <c r="BK138" s="83"/>
      <c r="BL138" s="83"/>
      <c r="BM138" s="82" t="str">
        <f>IF([6]回答表!F17="下水道事業",IF([6]回答表!X43="○",[6]回答表!E192,IF([6]回答表!AA43="○",[6]回答表!E240,"")),"")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IF([6]回答表!F17="下水道事業",IF([6]回答表!AA43="○","○",""),"")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IF([6]回答表!F17="下水道事業",IF([6]回答表!X43="○",[6]回答表!Y186,IF([6]回答表!AA43="○",[6]回答表!Y234,"")),"")</f>
        <v/>
      </c>
      <c r="V142" s="119"/>
      <c r="W142" s="119"/>
      <c r="X142" s="119"/>
      <c r="Y142" s="119"/>
      <c r="Z142" s="119"/>
      <c r="AA142" s="119"/>
      <c r="AB142" s="120"/>
      <c r="AC142" s="118" t="str">
        <f>IF([6]回答表!F17="下水道事業",IF([6]回答表!X43="○",[6]回答表!Y187,IF([6]回答表!AA43="○",[6]回答表!Y235,"")),"")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IF([6]回答表!F17="下水道事業",IF([6]回答表!AD43="○","○",""),"")</f>
        <v/>
      </c>
      <c r="O147" s="98"/>
      <c r="P147" s="98"/>
      <c r="Q147" s="99"/>
      <c r="R147" s="39"/>
      <c r="S147" s="39"/>
      <c r="T147" s="39"/>
      <c r="U147" s="106" t="str">
        <f>IF([6]回答表!F17="下水道事業",IF([6]回答表!AD43="○",[6]回答表!B249,""),"")</f>
        <v/>
      </c>
      <c r="V147" s="107"/>
      <c r="W147" s="107"/>
      <c r="X147" s="107"/>
      <c r="Y147" s="107"/>
      <c r="Z147" s="107"/>
      <c r="AA147" s="107"/>
      <c r="AB147" s="107"/>
      <c r="AC147" s="107"/>
      <c r="AD147" s="107"/>
      <c r="AE147" s="107"/>
      <c r="AF147" s="107"/>
      <c r="AG147" s="107"/>
      <c r="AH147" s="107"/>
      <c r="AI147" s="107"/>
      <c r="AJ147" s="108"/>
      <c r="AK147" s="56"/>
      <c r="AL147" s="56"/>
      <c r="AM147" s="106" t="str">
        <f>IF([6]回答表!F17="下水道事業",IF([6]回答表!AD43="○",[6]回答表!B255,""),"")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IF([6]回答表!BD17="○",IF([6]回答表!X43="○","○",""),"")</f>
        <v/>
      </c>
      <c r="O159" s="98"/>
      <c r="P159" s="98"/>
      <c r="Q159" s="99"/>
      <c r="R159" s="39"/>
      <c r="S159" s="39"/>
      <c r="T159" s="39"/>
      <c r="U159" s="106" t="str">
        <f>IF([6]回答表!BD17="○",IF([6]回答表!X43="○",[6]回答表!B154,IF([6]回答表!AA43="○",[6]回答表!B201,"")),"")</f>
        <v/>
      </c>
      <c r="V159" s="107"/>
      <c r="W159" s="107"/>
      <c r="X159" s="107"/>
      <c r="Y159" s="107"/>
      <c r="Z159" s="107"/>
      <c r="AA159" s="107"/>
      <c r="AB159" s="107"/>
      <c r="AC159" s="107"/>
      <c r="AD159" s="107"/>
      <c r="AE159" s="107"/>
      <c r="AF159" s="107"/>
      <c r="AG159" s="107"/>
      <c r="AH159" s="107"/>
      <c r="AI159" s="107"/>
      <c r="AJ159" s="108"/>
      <c r="AK159" s="50"/>
      <c r="AL159" s="50"/>
      <c r="AM159" s="115" t="str">
        <f>IF([6]回答表!BD17="○",IF([6]回答表!X43="○",[6]回答表!B190,IF([6]回答表!AA43="○",[6]回答表!B238,"")),"")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IF([6]回答表!BD17="○",IF([6]回答表!X43="○",[6]回答表!E190,IF([6]回答表!AA43="○",[6]回答表!E238,"")),"")</f>
        <v/>
      </c>
      <c r="AN162" s="83"/>
      <c r="AO162" s="83"/>
      <c r="AP162" s="83"/>
      <c r="AQ162" s="82" t="str">
        <f>IF([6]回答表!BD17="○",IF([6]回答表!X43="○",[6]回答表!E191,IF([6]回答表!AA43="○",[6]回答表!E239,"")),"")</f>
        <v/>
      </c>
      <c r="AR162" s="83"/>
      <c r="AS162" s="83"/>
      <c r="AT162" s="83"/>
      <c r="AU162" s="82" t="str">
        <f>IF([6]回答表!BD17="○",IF([6]回答表!X43="○",[6]回答表!E192,IF([6]回答表!AA43="○",[6]回答表!E240,"")),"")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IF([6]回答表!BD17="○",IF([6]回答表!AA43="○","○",""),"")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IF([6]回答表!BD17="○",IF([6]回答表!AD43="○","○",""),"")</f>
        <v/>
      </c>
      <c r="O171" s="98"/>
      <c r="P171" s="98"/>
      <c r="Q171" s="99"/>
      <c r="R171" s="39"/>
      <c r="S171" s="39"/>
      <c r="T171" s="39"/>
      <c r="U171" s="106" t="str">
        <f>IF([6]回答表!BD17="○",IF([6]回答表!AD43="○",[6]回答表!B249,""),"")</f>
        <v/>
      </c>
      <c r="V171" s="107"/>
      <c r="W171" s="107"/>
      <c r="X171" s="107"/>
      <c r="Y171" s="107"/>
      <c r="Z171" s="107"/>
      <c r="AA171" s="107"/>
      <c r="AB171" s="107"/>
      <c r="AC171" s="107"/>
      <c r="AD171" s="107"/>
      <c r="AE171" s="107"/>
      <c r="AF171" s="107"/>
      <c r="AG171" s="107"/>
      <c r="AH171" s="107"/>
      <c r="AI171" s="107"/>
      <c r="AJ171" s="108"/>
      <c r="AK171" s="56"/>
      <c r="AL171" s="56"/>
      <c r="AM171" s="106" t="str">
        <f>IF([6]回答表!BD17="○",IF([6]回答表!AD43="○",[6]回答表!B255,""),"")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IF([6]回答表!X44="○","○","")</f>
        <v/>
      </c>
      <c r="O183" s="98"/>
      <c r="P183" s="98"/>
      <c r="Q183" s="99"/>
      <c r="R183" s="39"/>
      <c r="S183" s="39"/>
      <c r="T183" s="39"/>
      <c r="U183" s="106" t="str">
        <f>IF([6]回答表!X44="○",[6]回答表!B266,IF([6]回答表!AA44="○",[6]回答表!B283,""))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IF([6]回答表!X44="○",[6]回答表!U272,IF([6]回答表!AA44="○",[6]回答表!U289,""))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IF([6]回答表!X44="○",[6]回答表!G272,IF([6]回答表!AA44="○",[6]回答表!G289,""))</f>
        <v/>
      </c>
      <c r="AN186" s="119"/>
      <c r="AO186" s="119"/>
      <c r="AP186" s="119"/>
      <c r="AQ186" s="119"/>
      <c r="AR186" s="119"/>
      <c r="AS186" s="119"/>
      <c r="AT186" s="120"/>
      <c r="AU186" s="118" t="str">
        <f>IF([6]回答表!X44="○",[6]回答表!G273,IF([6]回答表!AA44="○",[6]回答表!G290,""))</f>
        <v/>
      </c>
      <c r="AV186" s="119"/>
      <c r="AW186" s="119"/>
      <c r="AX186" s="119"/>
      <c r="AY186" s="119"/>
      <c r="AZ186" s="119"/>
      <c r="BA186" s="119"/>
      <c r="BB186" s="120"/>
      <c r="BC186" s="40"/>
      <c r="BD186" s="35"/>
      <c r="BE186" s="82" t="str">
        <f>IF([6]回答表!X44="○",[6]回答表!X272,IF([6]回答表!AA44="○",[6]回答表!X289,""))</f>
        <v/>
      </c>
      <c r="BF186" s="83"/>
      <c r="BG186" s="83"/>
      <c r="BH186" s="83"/>
      <c r="BI186" s="82" t="str">
        <f>IF([6]回答表!X44="○",[6]回答表!X273,IF([6]回答表!AA44="○",[6]回答表!X290,""))</f>
        <v/>
      </c>
      <c r="BJ186" s="83"/>
      <c r="BK186" s="83"/>
      <c r="BL186" s="86"/>
      <c r="BM186" s="82" t="str">
        <f>IF([6]回答表!X44="○",[6]回答表!X274,IF([6]回答表!AA44="○",[6]回答表!X291,""))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IF([6]回答表!AA44="○","○","")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IF([6]回答表!AD44="○","○","")</f>
        <v/>
      </c>
      <c r="O195" s="98"/>
      <c r="P195" s="98"/>
      <c r="Q195" s="99"/>
      <c r="R195" s="39"/>
      <c r="S195" s="39"/>
      <c r="T195" s="39"/>
      <c r="U195" s="106" t="str">
        <f>IF([6]回答表!AD44="○",[6]回答表!B296,"")</f>
        <v/>
      </c>
      <c r="V195" s="107"/>
      <c r="W195" s="107"/>
      <c r="X195" s="107"/>
      <c r="Y195" s="107"/>
      <c r="Z195" s="107"/>
      <c r="AA195" s="107"/>
      <c r="AB195" s="107"/>
      <c r="AC195" s="107"/>
      <c r="AD195" s="107"/>
      <c r="AE195" s="107"/>
      <c r="AF195" s="107"/>
      <c r="AG195" s="107"/>
      <c r="AH195" s="107"/>
      <c r="AI195" s="107"/>
      <c r="AJ195" s="108"/>
      <c r="AK195" s="61"/>
      <c r="AL195" s="61"/>
      <c r="AM195" s="106" t="str">
        <f>IF([6]回答表!AD44="○",[6]回答表!B302,"")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IF([6]回答表!X45="○","○","")</f>
        <v/>
      </c>
      <c r="O207" s="98"/>
      <c r="P207" s="98"/>
      <c r="Q207" s="99"/>
      <c r="R207" s="39"/>
      <c r="S207" s="39"/>
      <c r="T207" s="39"/>
      <c r="U207" s="106" t="str">
        <f>IF([6]回答表!X45="○",[6]回答表!B314,IF([6]回答表!AA45="○",[6]回答表!B337,""))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IF([6]回答表!X45="○",[6]回答表!B320,"")</f>
        <v/>
      </c>
      <c r="AO207" s="164"/>
      <c r="AP207" s="164"/>
      <c r="AQ207" s="164"/>
      <c r="AR207" s="164"/>
      <c r="AS207" s="164"/>
      <c r="AT207" s="164"/>
      <c r="AU207" s="164"/>
      <c r="AV207" s="164"/>
      <c r="AW207" s="164"/>
      <c r="AX207" s="164"/>
      <c r="AY207" s="164"/>
      <c r="AZ207" s="164"/>
      <c r="BA207" s="164"/>
      <c r="BB207" s="165"/>
      <c r="BC207" s="40"/>
      <c r="BD207" s="35"/>
      <c r="BE207" s="115" t="str">
        <f>IF([6]回答表!X45="○",[6]回答表!B326,IF([6]回答表!AA45="○",[6]回答表!B343,""))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IF([6]回答表!X45="○",[6]回答表!E326,IF([6]回答表!AA45="○",[6]回答表!E343,""))</f>
        <v/>
      </c>
      <c r="BF210" s="83"/>
      <c r="BG210" s="83"/>
      <c r="BH210" s="83"/>
      <c r="BI210" s="82" t="str">
        <f>IF([6]回答表!X45="○",[6]回答表!E327,IF([6]回答表!AA45="○",[6]回答表!E344,""))</f>
        <v/>
      </c>
      <c r="BJ210" s="83"/>
      <c r="BK210" s="83"/>
      <c r="BL210" s="86"/>
      <c r="BM210" s="82" t="str">
        <f>IF([6]回答表!X45="○",[6]回答表!E328,IF([6]回答表!AA45="○",[6]回答表!E345,""))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IF([6]回答表!AA45="○","○","")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IF([6]回答表!AD45="○","○","")</f>
        <v/>
      </c>
      <c r="O219" s="98"/>
      <c r="P219" s="98"/>
      <c r="Q219" s="99"/>
      <c r="R219" s="39"/>
      <c r="S219" s="39"/>
      <c r="T219" s="39"/>
      <c r="U219" s="106" t="str">
        <f>IF([6]回答表!AD45="○",[6]回答表!B350,"")</f>
        <v/>
      </c>
      <c r="V219" s="107"/>
      <c r="W219" s="107"/>
      <c r="X219" s="107"/>
      <c r="Y219" s="107"/>
      <c r="Z219" s="107"/>
      <c r="AA219" s="107"/>
      <c r="AB219" s="107"/>
      <c r="AC219" s="107"/>
      <c r="AD219" s="107"/>
      <c r="AE219" s="107"/>
      <c r="AF219" s="107"/>
      <c r="AG219" s="107"/>
      <c r="AH219" s="107"/>
      <c r="AI219" s="107"/>
      <c r="AJ219" s="108"/>
      <c r="AK219" s="61"/>
      <c r="AL219" s="61"/>
      <c r="AM219" s="106" t="str">
        <f>IF([6]回答表!AD45="○",[6]回答表!B356,"")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IF([6]回答表!X46="○","○","")</f>
        <v/>
      </c>
      <c r="O231" s="98"/>
      <c r="P231" s="98"/>
      <c r="Q231" s="99"/>
      <c r="R231" s="39"/>
      <c r="S231" s="39"/>
      <c r="T231" s="39"/>
      <c r="U231" s="106" t="str">
        <f>IF([6]回答表!X46="○",[6]回答表!B368,IF([6]回答表!AA46="○",[6]回答表!B382,""))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IF([6]回答表!X46="○",[6]回答表!BC375,IF([6]回答表!AA46="○",[6]回答表!BC389,""))</f>
        <v/>
      </c>
      <c r="AR231" s="150"/>
      <c r="AS231" s="150"/>
      <c r="AT231" s="150"/>
      <c r="AU231" s="155" t="s">
        <v>63</v>
      </c>
      <c r="AV231" s="156"/>
      <c r="AW231" s="156"/>
      <c r="AX231" s="157"/>
      <c r="AY231" s="150" t="str">
        <f>IF([6]回答表!X46="○",[6]回答表!BC380,IF([6]回答表!AA46="○",[6]回答表!BC394,""))</f>
        <v/>
      </c>
      <c r="AZ231" s="150"/>
      <c r="BA231" s="150"/>
      <c r="BB231" s="150"/>
      <c r="BC231" s="40"/>
      <c r="BD231" s="35"/>
      <c r="BE231" s="115" t="str">
        <f>IF([6]回答表!X46="○",[6]回答表!S374,IF([6]回答表!AA46="○",[6]回答表!S388,""))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IF([6]回答表!X46="○",[6]回答表!BC376,IF([6]回答表!AA46="○",[6]回答表!BC390,""))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IF([6]回答表!X46="○",[6]回答表!V374,IF([6]回答表!AA46="○",[6]回答表!V388,""))</f>
        <v/>
      </c>
      <c r="BF234" s="83"/>
      <c r="BG234" s="83"/>
      <c r="BH234" s="83"/>
      <c r="BI234" s="82" t="str">
        <f>IF([6]回答表!X46="○",[6]回答表!V375,IF([6]回答表!AA46="○",[6]回答表!V389,""))</f>
        <v/>
      </c>
      <c r="BJ234" s="83"/>
      <c r="BK234" s="83"/>
      <c r="BL234" s="86"/>
      <c r="BM234" s="82" t="str">
        <f>IF([6]回答表!X46="○",[6]回答表!V376,IF([6]回答表!AA46="○",[6]回答表!V390,""))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IF([6]回答表!X46="○",[6]回答表!BC377,IF([6]回答表!AA46="○",[6]回答表!BC391,""))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IF([6]回答表!X46="○",[6]回答表!BC381,IF([6]回答表!AA46="○",[6]回答表!BC395,""))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IF([6]回答表!AA46="○","○","")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IF([6]回答表!X46="○",[6]回答表!BC378,IF([6]回答表!AA46="○",[6]回答表!BC392,""))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IF([6]回答表!X46="○",[6]回答表!BC379,IF([6]回答表!AA46="○",[6]回答表!BC393,""))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IF([6]回答表!AD46="○","○","")</f>
        <v/>
      </c>
      <c r="O243" s="98"/>
      <c r="P243" s="98"/>
      <c r="Q243" s="99"/>
      <c r="R243" s="39"/>
      <c r="S243" s="39"/>
      <c r="T243" s="39"/>
      <c r="U243" s="106" t="str">
        <f>IF([6]回答表!AD46="○",[6]回答表!B396,"")</f>
        <v/>
      </c>
      <c r="V243" s="107"/>
      <c r="W243" s="107"/>
      <c r="X243" s="107"/>
      <c r="Y243" s="107"/>
      <c r="Z243" s="107"/>
      <c r="AA243" s="107"/>
      <c r="AB243" s="107"/>
      <c r="AC243" s="107"/>
      <c r="AD243" s="107"/>
      <c r="AE243" s="107"/>
      <c r="AF243" s="107"/>
      <c r="AG243" s="107"/>
      <c r="AH243" s="107"/>
      <c r="AI243" s="107"/>
      <c r="AJ243" s="108"/>
      <c r="AK243" s="56"/>
      <c r="AL243" s="56"/>
      <c r="AM243" s="106" t="str">
        <f>IF([6]回答表!AD46="○",[6]回答表!B402,"")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IF([6]回答表!X47="○","○","")</f>
        <v/>
      </c>
      <c r="O254" s="98"/>
      <c r="P254" s="98"/>
      <c r="Q254" s="99"/>
      <c r="R254" s="39"/>
      <c r="S254" s="39"/>
      <c r="T254" s="39"/>
      <c r="U254" s="106" t="str">
        <f>IF([6]回答表!X47="○",[6]回答表!B414,IF([6]回答表!AA47="○",[6]回答表!B431,""))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IF([6]回答表!X47="○",[6]回答表!B424,IF([6]回答表!AA47="○",[6]回答表!B441,""))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IF([6]回答表!X47="○",[6]回答表!G420,IF([6]回答表!AA47="○",[6]回答表!G437,""))</f>
        <v/>
      </c>
      <c r="AN256" s="119"/>
      <c r="AO256" s="119"/>
      <c r="AP256" s="119"/>
      <c r="AQ256" s="119"/>
      <c r="AR256" s="119"/>
      <c r="AS256" s="119"/>
      <c r="AT256" s="120"/>
      <c r="AU256" s="118" t="str">
        <f>IF([6]回答表!X47="○",[6]回答表!G421,IF([6]回答表!AA47="○",[6]回答表!G438,""))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IF([6]回答表!X47="○",[6]回答表!E424,IF([6]回答表!AA47="○",[6]回答表!E441,""))</f>
        <v/>
      </c>
      <c r="BF257" s="83"/>
      <c r="BG257" s="83"/>
      <c r="BH257" s="83"/>
      <c r="BI257" s="82" t="str">
        <f>IF([6]回答表!X47="○",[6]回答表!E425,IF([6]回答表!AA47="○",[6]回答表!E442,""))</f>
        <v/>
      </c>
      <c r="BJ257" s="83"/>
      <c r="BK257" s="83"/>
      <c r="BL257" s="86"/>
      <c r="BM257" s="82" t="str">
        <f>IF([6]回答表!X47="○",[6]回答表!E426,IF([6]回答表!AA47="○",[6]回答表!E443,""))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IF([6]回答表!AA47="○","○","")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IF([6]回答表!AD47="○","○","")</f>
        <v/>
      </c>
      <c r="O266" s="98"/>
      <c r="P266" s="98"/>
      <c r="Q266" s="99"/>
      <c r="R266" s="39"/>
      <c r="S266" s="39"/>
      <c r="T266" s="39"/>
      <c r="U266" s="106" t="str">
        <f>IF([6]回答表!AD47="○",[6]回答表!B448,"")</f>
        <v/>
      </c>
      <c r="V266" s="107"/>
      <c r="W266" s="107"/>
      <c r="X266" s="107"/>
      <c r="Y266" s="107"/>
      <c r="Z266" s="107"/>
      <c r="AA266" s="107"/>
      <c r="AB266" s="107"/>
      <c r="AC266" s="107"/>
      <c r="AD266" s="107"/>
      <c r="AE266" s="107"/>
      <c r="AF266" s="107"/>
      <c r="AG266" s="107"/>
      <c r="AH266" s="107"/>
      <c r="AI266" s="107"/>
      <c r="AJ266" s="108"/>
      <c r="AK266" s="50"/>
      <c r="AL266" s="50"/>
      <c r="AM266" s="106" t="str">
        <f>IF([6]回答表!AD47="○",[6]回答表!B454,"")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IF([6]回答表!R48="○",[6]回答表!B467,"")</f>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A94-6EC9-4560-94C9-A9E07BBA205F}">
  <sheetPr>
    <pageSetUpPr fitToPage="1"/>
  </sheetPr>
  <dimension ref="A1:CE298"/>
  <sheetViews>
    <sheetView showZeros="0" zoomScale="55" zoomScaleNormal="55" workbookViewId="0">
      <selection activeCell="CX43" sqref="CX43"/>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54" t="s">
        <v>0</v>
      </c>
      <c r="D8" s="255"/>
      <c r="E8" s="255"/>
      <c r="F8" s="255"/>
      <c r="G8" s="255"/>
      <c r="H8" s="255"/>
      <c r="I8" s="255"/>
      <c r="J8" s="255"/>
      <c r="K8" s="255"/>
      <c r="L8" s="255"/>
      <c r="M8" s="255"/>
      <c r="N8" s="255"/>
      <c r="O8" s="255"/>
      <c r="P8" s="255"/>
      <c r="Q8" s="255"/>
      <c r="R8" s="255"/>
      <c r="S8" s="255"/>
      <c r="T8" s="255"/>
      <c r="U8" s="256" t="s">
        <v>1</v>
      </c>
      <c r="V8" s="257"/>
      <c r="W8" s="257"/>
      <c r="X8" s="257"/>
      <c r="Y8" s="257"/>
      <c r="Z8" s="257"/>
      <c r="AA8" s="257"/>
      <c r="AB8" s="257"/>
      <c r="AC8" s="257"/>
      <c r="AD8" s="257"/>
      <c r="AE8" s="257"/>
      <c r="AF8" s="257"/>
      <c r="AG8" s="257"/>
      <c r="AH8" s="257"/>
      <c r="AI8" s="257"/>
      <c r="AJ8" s="257"/>
      <c r="AK8" s="257"/>
      <c r="AL8" s="257"/>
      <c r="AM8" s="257"/>
      <c r="AN8" s="258"/>
      <c r="AO8" s="259" t="s">
        <v>2</v>
      </c>
      <c r="AP8" s="257"/>
      <c r="AQ8" s="257"/>
      <c r="AR8" s="257"/>
      <c r="AS8" s="257"/>
      <c r="AT8" s="257"/>
      <c r="AU8" s="257"/>
      <c r="AV8" s="257"/>
      <c r="AW8" s="257"/>
      <c r="AX8" s="257"/>
      <c r="AY8" s="257"/>
      <c r="AZ8" s="257"/>
      <c r="BA8" s="257"/>
      <c r="BB8" s="257"/>
      <c r="BC8" s="257"/>
      <c r="BD8" s="257"/>
      <c r="BE8" s="258"/>
      <c r="BF8" s="254" t="s">
        <v>3</v>
      </c>
      <c r="BG8" s="260"/>
      <c r="BH8" s="260"/>
      <c r="BI8" s="260"/>
      <c r="BJ8" s="260"/>
      <c r="BK8" s="260"/>
      <c r="BL8" s="260"/>
      <c r="BM8" s="260"/>
      <c r="BN8" s="260"/>
      <c r="BO8" s="260"/>
      <c r="BP8" s="260"/>
      <c r="BQ8" s="8"/>
    </row>
    <row r="9" spans="3:70" ht="15.6" customHeight="1" x14ac:dyDescent="0.4">
      <c r="C9" s="255"/>
      <c r="D9" s="255"/>
      <c r="E9" s="255"/>
      <c r="F9" s="255"/>
      <c r="G9" s="255"/>
      <c r="H9" s="255"/>
      <c r="I9" s="255"/>
      <c r="J9" s="255"/>
      <c r="K9" s="255"/>
      <c r="L9" s="255"/>
      <c r="M9" s="255"/>
      <c r="N9" s="255"/>
      <c r="O9" s="255"/>
      <c r="P9" s="255"/>
      <c r="Q9" s="255"/>
      <c r="R9" s="255"/>
      <c r="S9" s="255"/>
      <c r="T9" s="255"/>
      <c r="U9" s="210"/>
      <c r="V9" s="208"/>
      <c r="W9" s="208"/>
      <c r="X9" s="208"/>
      <c r="Y9" s="208"/>
      <c r="Z9" s="208"/>
      <c r="AA9" s="208"/>
      <c r="AB9" s="208"/>
      <c r="AC9" s="208"/>
      <c r="AD9" s="208"/>
      <c r="AE9" s="208"/>
      <c r="AF9" s="208"/>
      <c r="AG9" s="208"/>
      <c r="AH9" s="208"/>
      <c r="AI9" s="208"/>
      <c r="AJ9" s="208"/>
      <c r="AK9" s="208"/>
      <c r="AL9" s="208"/>
      <c r="AM9" s="208"/>
      <c r="AN9" s="209"/>
      <c r="AO9" s="210"/>
      <c r="AP9" s="208"/>
      <c r="AQ9" s="208"/>
      <c r="AR9" s="208"/>
      <c r="AS9" s="208"/>
      <c r="AT9" s="208"/>
      <c r="AU9" s="208"/>
      <c r="AV9" s="208"/>
      <c r="AW9" s="208"/>
      <c r="AX9" s="208"/>
      <c r="AY9" s="208"/>
      <c r="AZ9" s="208"/>
      <c r="BA9" s="208"/>
      <c r="BB9" s="208"/>
      <c r="BC9" s="208"/>
      <c r="BD9" s="208"/>
      <c r="BE9" s="209"/>
      <c r="BF9" s="260"/>
      <c r="BG9" s="260"/>
      <c r="BH9" s="260"/>
      <c r="BI9" s="260"/>
      <c r="BJ9" s="260"/>
      <c r="BK9" s="260"/>
      <c r="BL9" s="260"/>
      <c r="BM9" s="260"/>
      <c r="BN9" s="260"/>
      <c r="BO9" s="260"/>
      <c r="BP9" s="260"/>
      <c r="BQ9" s="8"/>
    </row>
    <row r="10" spans="3:70" ht="15.6" customHeight="1" x14ac:dyDescent="0.4">
      <c r="C10" s="255"/>
      <c r="D10" s="255"/>
      <c r="E10" s="255"/>
      <c r="F10" s="255"/>
      <c r="G10" s="255"/>
      <c r="H10" s="255"/>
      <c r="I10" s="255"/>
      <c r="J10" s="255"/>
      <c r="K10" s="255"/>
      <c r="L10" s="255"/>
      <c r="M10" s="255"/>
      <c r="N10" s="255"/>
      <c r="O10" s="255"/>
      <c r="P10" s="255"/>
      <c r="Q10" s="255"/>
      <c r="R10" s="255"/>
      <c r="S10" s="255"/>
      <c r="T10" s="255"/>
      <c r="U10" s="211"/>
      <c r="V10" s="212"/>
      <c r="W10" s="212"/>
      <c r="X10" s="212"/>
      <c r="Y10" s="212"/>
      <c r="Z10" s="212"/>
      <c r="AA10" s="212"/>
      <c r="AB10" s="212"/>
      <c r="AC10" s="212"/>
      <c r="AD10" s="212"/>
      <c r="AE10" s="212"/>
      <c r="AF10" s="212"/>
      <c r="AG10" s="212"/>
      <c r="AH10" s="212"/>
      <c r="AI10" s="212"/>
      <c r="AJ10" s="212"/>
      <c r="AK10" s="212"/>
      <c r="AL10" s="212"/>
      <c r="AM10" s="212"/>
      <c r="AN10" s="213"/>
      <c r="AO10" s="211"/>
      <c r="AP10" s="212"/>
      <c r="AQ10" s="212"/>
      <c r="AR10" s="212"/>
      <c r="AS10" s="212"/>
      <c r="AT10" s="212"/>
      <c r="AU10" s="212"/>
      <c r="AV10" s="212"/>
      <c r="AW10" s="212"/>
      <c r="AX10" s="212"/>
      <c r="AY10" s="212"/>
      <c r="AZ10" s="212"/>
      <c r="BA10" s="212"/>
      <c r="BB10" s="212"/>
      <c r="BC10" s="212"/>
      <c r="BD10" s="212"/>
      <c r="BE10" s="213"/>
      <c r="BF10" s="260"/>
      <c r="BG10" s="260"/>
      <c r="BH10" s="260"/>
      <c r="BI10" s="260"/>
      <c r="BJ10" s="260"/>
      <c r="BK10" s="260"/>
      <c r="BL10" s="260"/>
      <c r="BM10" s="260"/>
      <c r="BN10" s="260"/>
      <c r="BO10" s="260"/>
      <c r="BP10" s="260"/>
      <c r="BQ10" s="8"/>
    </row>
    <row r="11" spans="3:70" ht="15.6" customHeight="1" x14ac:dyDescent="0.4">
      <c r="C11" s="261" t="str">
        <f>IF(COUNTIF([4]回答表!K15,"*")&gt;0,[4]回答表!K15,"")</f>
        <v>仙北市</v>
      </c>
      <c r="D11" s="255"/>
      <c r="E11" s="255"/>
      <c r="F11" s="255"/>
      <c r="G11" s="255"/>
      <c r="H11" s="255"/>
      <c r="I11" s="255"/>
      <c r="J11" s="255"/>
      <c r="K11" s="255"/>
      <c r="L11" s="255"/>
      <c r="M11" s="255"/>
      <c r="N11" s="255"/>
      <c r="O11" s="255"/>
      <c r="P11" s="255"/>
      <c r="Q11" s="255"/>
      <c r="R11" s="255"/>
      <c r="S11" s="255"/>
      <c r="T11" s="255"/>
      <c r="U11" s="262" t="str">
        <f>IF(COUNTIF([4]回答表!F17,"*")&gt;0,[4]回答表!F17,"")</f>
        <v>下水道事業</v>
      </c>
      <c r="V11" s="263"/>
      <c r="W11" s="263"/>
      <c r="X11" s="263"/>
      <c r="Y11" s="263"/>
      <c r="Z11" s="263"/>
      <c r="AA11" s="263"/>
      <c r="AB11" s="263"/>
      <c r="AC11" s="263"/>
      <c r="AD11" s="263"/>
      <c r="AE11" s="263"/>
      <c r="AF11" s="257"/>
      <c r="AG11" s="257"/>
      <c r="AH11" s="257"/>
      <c r="AI11" s="257"/>
      <c r="AJ11" s="257"/>
      <c r="AK11" s="257"/>
      <c r="AL11" s="257"/>
      <c r="AM11" s="257"/>
      <c r="AN11" s="258"/>
      <c r="AO11" s="268" t="str">
        <f>IF(COUNTIF([4]回答表!W17,"*")&gt;0,[4]回答表!W17,"")</f>
        <v>特定地域排水処理施設</v>
      </c>
      <c r="AP11" s="257"/>
      <c r="AQ11" s="257"/>
      <c r="AR11" s="257"/>
      <c r="AS11" s="257"/>
      <c r="AT11" s="257"/>
      <c r="AU11" s="257"/>
      <c r="AV11" s="257"/>
      <c r="AW11" s="257"/>
      <c r="AX11" s="257"/>
      <c r="AY11" s="257"/>
      <c r="AZ11" s="257"/>
      <c r="BA11" s="257"/>
      <c r="BB11" s="257"/>
      <c r="BC11" s="257"/>
      <c r="BD11" s="257"/>
      <c r="BE11" s="258"/>
      <c r="BF11" s="261" t="str">
        <f>IF(COUNTIF([4]回答表!F19,"*")&gt;0,[4]回答表!F19,"")</f>
        <v>ー</v>
      </c>
      <c r="BG11" s="260"/>
      <c r="BH11" s="260"/>
      <c r="BI11" s="260"/>
      <c r="BJ11" s="260"/>
      <c r="BK11" s="260"/>
      <c r="BL11" s="260"/>
      <c r="BM11" s="260"/>
      <c r="BN11" s="260"/>
      <c r="BO11" s="260"/>
      <c r="BP11" s="260"/>
      <c r="BQ11" s="6"/>
    </row>
    <row r="12" spans="3:70" ht="15.6" customHeight="1" x14ac:dyDescent="0.4">
      <c r="C12" s="255"/>
      <c r="D12" s="255"/>
      <c r="E12" s="255"/>
      <c r="F12" s="255"/>
      <c r="G12" s="255"/>
      <c r="H12" s="255"/>
      <c r="I12" s="255"/>
      <c r="J12" s="255"/>
      <c r="K12" s="255"/>
      <c r="L12" s="255"/>
      <c r="M12" s="255"/>
      <c r="N12" s="255"/>
      <c r="O12" s="255"/>
      <c r="P12" s="255"/>
      <c r="Q12" s="255"/>
      <c r="R12" s="255"/>
      <c r="S12" s="255"/>
      <c r="T12" s="255"/>
      <c r="U12" s="264"/>
      <c r="V12" s="265"/>
      <c r="W12" s="265"/>
      <c r="X12" s="265"/>
      <c r="Y12" s="265"/>
      <c r="Z12" s="265"/>
      <c r="AA12" s="265"/>
      <c r="AB12" s="265"/>
      <c r="AC12" s="265"/>
      <c r="AD12" s="265"/>
      <c r="AE12" s="265"/>
      <c r="AF12" s="208"/>
      <c r="AG12" s="208"/>
      <c r="AH12" s="208"/>
      <c r="AI12" s="208"/>
      <c r="AJ12" s="208"/>
      <c r="AK12" s="208"/>
      <c r="AL12" s="208"/>
      <c r="AM12" s="208"/>
      <c r="AN12" s="209"/>
      <c r="AO12" s="210"/>
      <c r="AP12" s="208"/>
      <c r="AQ12" s="208"/>
      <c r="AR12" s="208"/>
      <c r="AS12" s="208"/>
      <c r="AT12" s="208"/>
      <c r="AU12" s="208"/>
      <c r="AV12" s="208"/>
      <c r="AW12" s="208"/>
      <c r="AX12" s="208"/>
      <c r="AY12" s="208"/>
      <c r="AZ12" s="208"/>
      <c r="BA12" s="208"/>
      <c r="BB12" s="208"/>
      <c r="BC12" s="208"/>
      <c r="BD12" s="208"/>
      <c r="BE12" s="209"/>
      <c r="BF12" s="260"/>
      <c r="BG12" s="260"/>
      <c r="BH12" s="260"/>
      <c r="BI12" s="260"/>
      <c r="BJ12" s="260"/>
      <c r="BK12" s="260"/>
      <c r="BL12" s="260"/>
      <c r="BM12" s="260"/>
      <c r="BN12" s="260"/>
      <c r="BO12" s="260"/>
      <c r="BP12" s="260"/>
      <c r="BQ12" s="6"/>
    </row>
    <row r="13" spans="3:70" ht="15.6" customHeight="1" x14ac:dyDescent="0.4">
      <c r="C13" s="255"/>
      <c r="D13" s="255"/>
      <c r="E13" s="255"/>
      <c r="F13" s="255"/>
      <c r="G13" s="255"/>
      <c r="H13" s="255"/>
      <c r="I13" s="255"/>
      <c r="J13" s="255"/>
      <c r="K13" s="255"/>
      <c r="L13" s="255"/>
      <c r="M13" s="255"/>
      <c r="N13" s="255"/>
      <c r="O13" s="255"/>
      <c r="P13" s="255"/>
      <c r="Q13" s="255"/>
      <c r="R13" s="255"/>
      <c r="S13" s="255"/>
      <c r="T13" s="255"/>
      <c r="U13" s="266"/>
      <c r="V13" s="267"/>
      <c r="W13" s="267"/>
      <c r="X13" s="267"/>
      <c r="Y13" s="267"/>
      <c r="Z13" s="267"/>
      <c r="AA13" s="267"/>
      <c r="AB13" s="267"/>
      <c r="AC13" s="267"/>
      <c r="AD13" s="267"/>
      <c r="AE13" s="267"/>
      <c r="AF13" s="212"/>
      <c r="AG13" s="212"/>
      <c r="AH13" s="212"/>
      <c r="AI13" s="212"/>
      <c r="AJ13" s="212"/>
      <c r="AK13" s="212"/>
      <c r="AL13" s="212"/>
      <c r="AM13" s="212"/>
      <c r="AN13" s="213"/>
      <c r="AO13" s="211"/>
      <c r="AP13" s="212"/>
      <c r="AQ13" s="212"/>
      <c r="AR13" s="212"/>
      <c r="AS13" s="212"/>
      <c r="AT13" s="212"/>
      <c r="AU13" s="212"/>
      <c r="AV13" s="212"/>
      <c r="AW13" s="212"/>
      <c r="AX13" s="212"/>
      <c r="AY13" s="212"/>
      <c r="AZ13" s="212"/>
      <c r="BA13" s="212"/>
      <c r="BB13" s="212"/>
      <c r="BC13" s="212"/>
      <c r="BD13" s="212"/>
      <c r="BE13" s="213"/>
      <c r="BF13" s="260"/>
      <c r="BG13" s="260"/>
      <c r="BH13" s="260"/>
      <c r="BI13" s="260"/>
      <c r="BJ13" s="260"/>
      <c r="BK13" s="260"/>
      <c r="BL13" s="260"/>
      <c r="BM13" s="260"/>
      <c r="BN13" s="260"/>
      <c r="BO13" s="260"/>
      <c r="BP13" s="260"/>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21" t="s">
        <v>4</v>
      </c>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3"/>
      <c r="BA18" s="15"/>
      <c r="BB18" s="15"/>
      <c r="BC18" s="15"/>
      <c r="BD18" s="15"/>
      <c r="BE18" s="15"/>
      <c r="BF18" s="15"/>
      <c r="BG18" s="15"/>
      <c r="BH18" s="15"/>
      <c r="BI18" s="15"/>
      <c r="BJ18" s="15"/>
      <c r="BK18" s="16"/>
      <c r="BR18" s="13"/>
    </row>
    <row r="19" spans="3:83" ht="15.6" customHeight="1" x14ac:dyDescent="0.4">
      <c r="C19" s="14"/>
      <c r="D19" s="224"/>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6"/>
      <c r="BA19" s="15"/>
      <c r="BB19" s="15"/>
      <c r="BC19" s="15"/>
      <c r="BD19" s="15"/>
      <c r="BE19" s="15"/>
      <c r="BF19" s="15"/>
      <c r="BG19" s="15"/>
      <c r="BH19" s="15"/>
      <c r="BI19" s="15"/>
      <c r="BJ19" s="15"/>
      <c r="BK19" s="16"/>
      <c r="BR19" s="13"/>
    </row>
    <row r="20" spans="3:83" ht="13.35" customHeight="1" x14ac:dyDescent="0.4">
      <c r="C20" s="14"/>
      <c r="D20" s="227" t="s">
        <v>5</v>
      </c>
      <c r="E20" s="228"/>
      <c r="F20" s="228"/>
      <c r="G20" s="228"/>
      <c r="H20" s="228"/>
      <c r="I20" s="228"/>
      <c r="J20" s="229"/>
      <c r="K20" s="227" t="s">
        <v>6</v>
      </c>
      <c r="L20" s="228"/>
      <c r="M20" s="228"/>
      <c r="N20" s="228"/>
      <c r="O20" s="228"/>
      <c r="P20" s="228"/>
      <c r="Q20" s="229"/>
      <c r="R20" s="227" t="s">
        <v>7</v>
      </c>
      <c r="S20" s="228"/>
      <c r="T20" s="228"/>
      <c r="U20" s="228"/>
      <c r="V20" s="228"/>
      <c r="W20" s="228"/>
      <c r="X20" s="229"/>
      <c r="Y20" s="236" t="s">
        <v>8</v>
      </c>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8"/>
      <c r="BA20" s="17"/>
      <c r="BB20" s="245" t="s">
        <v>9</v>
      </c>
      <c r="BC20" s="246"/>
      <c r="BD20" s="246"/>
      <c r="BE20" s="246"/>
      <c r="BF20" s="246"/>
      <c r="BG20" s="246"/>
      <c r="BH20" s="246"/>
      <c r="BI20" s="214"/>
      <c r="BJ20" s="215"/>
      <c r="BK20" s="16"/>
      <c r="BR20" s="18"/>
    </row>
    <row r="21" spans="3:83" ht="13.35" customHeight="1" x14ac:dyDescent="0.4">
      <c r="C21" s="14"/>
      <c r="D21" s="230"/>
      <c r="E21" s="231"/>
      <c r="F21" s="231"/>
      <c r="G21" s="231"/>
      <c r="H21" s="231"/>
      <c r="I21" s="231"/>
      <c r="J21" s="232"/>
      <c r="K21" s="230"/>
      <c r="L21" s="231"/>
      <c r="M21" s="231"/>
      <c r="N21" s="231"/>
      <c r="O21" s="231"/>
      <c r="P21" s="231"/>
      <c r="Q21" s="232"/>
      <c r="R21" s="230"/>
      <c r="S21" s="231"/>
      <c r="T21" s="231"/>
      <c r="U21" s="231"/>
      <c r="V21" s="231"/>
      <c r="W21" s="231"/>
      <c r="X21" s="232"/>
      <c r="Y21" s="239"/>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c r="AW21" s="240"/>
      <c r="AX21" s="240"/>
      <c r="AY21" s="240"/>
      <c r="AZ21" s="241"/>
      <c r="BA21" s="17"/>
      <c r="BB21" s="247"/>
      <c r="BC21" s="248"/>
      <c r="BD21" s="248"/>
      <c r="BE21" s="248"/>
      <c r="BF21" s="248"/>
      <c r="BG21" s="248"/>
      <c r="BH21" s="248"/>
      <c r="BI21" s="216"/>
      <c r="BJ21" s="217"/>
      <c r="BK21" s="16"/>
      <c r="BR21" s="18"/>
    </row>
    <row r="22" spans="3:83" ht="13.35" customHeight="1" x14ac:dyDescent="0.4">
      <c r="C22" s="14"/>
      <c r="D22" s="230"/>
      <c r="E22" s="231"/>
      <c r="F22" s="231"/>
      <c r="G22" s="231"/>
      <c r="H22" s="231"/>
      <c r="I22" s="231"/>
      <c r="J22" s="232"/>
      <c r="K22" s="230"/>
      <c r="L22" s="231"/>
      <c r="M22" s="231"/>
      <c r="N22" s="231"/>
      <c r="O22" s="231"/>
      <c r="P22" s="231"/>
      <c r="Q22" s="232"/>
      <c r="R22" s="230"/>
      <c r="S22" s="231"/>
      <c r="T22" s="231"/>
      <c r="U22" s="231"/>
      <c r="V22" s="231"/>
      <c r="W22" s="231"/>
      <c r="X22" s="232"/>
      <c r="Y22" s="242"/>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4"/>
      <c r="BA22" s="19"/>
      <c r="BB22" s="247"/>
      <c r="BC22" s="248"/>
      <c r="BD22" s="248"/>
      <c r="BE22" s="248"/>
      <c r="BF22" s="248"/>
      <c r="BG22" s="248"/>
      <c r="BH22" s="248"/>
      <c r="BI22" s="216"/>
      <c r="BJ22" s="217"/>
      <c r="BK22" s="16"/>
      <c r="BR22" s="18"/>
    </row>
    <row r="23" spans="3:83" ht="31.35" customHeight="1" x14ac:dyDescent="0.4">
      <c r="C23" s="14"/>
      <c r="D23" s="233"/>
      <c r="E23" s="234"/>
      <c r="F23" s="234"/>
      <c r="G23" s="234"/>
      <c r="H23" s="234"/>
      <c r="I23" s="234"/>
      <c r="J23" s="235"/>
      <c r="K23" s="233"/>
      <c r="L23" s="234"/>
      <c r="M23" s="234"/>
      <c r="N23" s="234"/>
      <c r="O23" s="234"/>
      <c r="P23" s="234"/>
      <c r="Q23" s="235"/>
      <c r="R23" s="233"/>
      <c r="S23" s="234"/>
      <c r="T23" s="234"/>
      <c r="U23" s="234"/>
      <c r="V23" s="234"/>
      <c r="W23" s="234"/>
      <c r="X23" s="235"/>
      <c r="Y23" s="251" t="s">
        <v>10</v>
      </c>
      <c r="Z23" s="252"/>
      <c r="AA23" s="252"/>
      <c r="AB23" s="252"/>
      <c r="AC23" s="252"/>
      <c r="AD23" s="252"/>
      <c r="AE23" s="253"/>
      <c r="AF23" s="251" t="s">
        <v>11</v>
      </c>
      <c r="AG23" s="252"/>
      <c r="AH23" s="252"/>
      <c r="AI23" s="252"/>
      <c r="AJ23" s="252"/>
      <c r="AK23" s="252"/>
      <c r="AL23" s="253"/>
      <c r="AM23" s="251" t="s">
        <v>12</v>
      </c>
      <c r="AN23" s="252"/>
      <c r="AO23" s="252"/>
      <c r="AP23" s="252"/>
      <c r="AQ23" s="252"/>
      <c r="AR23" s="252"/>
      <c r="AS23" s="253"/>
      <c r="AT23" s="251" t="s">
        <v>13</v>
      </c>
      <c r="AU23" s="252"/>
      <c r="AV23" s="252"/>
      <c r="AW23" s="252"/>
      <c r="AX23" s="252"/>
      <c r="AY23" s="252"/>
      <c r="AZ23" s="253"/>
      <c r="BA23" s="19"/>
      <c r="BB23" s="249"/>
      <c r="BC23" s="250"/>
      <c r="BD23" s="250"/>
      <c r="BE23" s="250"/>
      <c r="BF23" s="250"/>
      <c r="BG23" s="250"/>
      <c r="BH23" s="250"/>
      <c r="BI23" s="218"/>
      <c r="BJ23" s="219"/>
      <c r="BK23" s="16"/>
      <c r="BR23" s="18"/>
    </row>
    <row r="24" spans="3:83" ht="15.6" customHeight="1" x14ac:dyDescent="0.4">
      <c r="C24" s="14"/>
      <c r="D24" s="121" t="str">
        <f>IF([4]回答表!R41="○","○","")</f>
        <v/>
      </c>
      <c r="E24" s="122"/>
      <c r="F24" s="122"/>
      <c r="G24" s="122"/>
      <c r="H24" s="122"/>
      <c r="I24" s="122"/>
      <c r="J24" s="123"/>
      <c r="K24" s="121" t="str">
        <f>IF([4]回答表!R42="○","○","")</f>
        <v/>
      </c>
      <c r="L24" s="122"/>
      <c r="M24" s="122"/>
      <c r="N24" s="122"/>
      <c r="O24" s="122"/>
      <c r="P24" s="122"/>
      <c r="Q24" s="123"/>
      <c r="R24" s="121" t="str">
        <f>IF([4]回答表!R43="○","○","")</f>
        <v/>
      </c>
      <c r="S24" s="122"/>
      <c r="T24" s="122"/>
      <c r="U24" s="122"/>
      <c r="V24" s="122"/>
      <c r="W24" s="122"/>
      <c r="X24" s="123"/>
      <c r="Y24" s="121" t="str">
        <f>IF([4]回答表!R44="○","○","")</f>
        <v/>
      </c>
      <c r="Z24" s="122"/>
      <c r="AA24" s="122"/>
      <c r="AB24" s="122"/>
      <c r="AC24" s="122"/>
      <c r="AD24" s="122"/>
      <c r="AE24" s="123"/>
      <c r="AF24" s="121" t="str">
        <f>IF([4]回答表!R45="○","○","")</f>
        <v/>
      </c>
      <c r="AG24" s="122"/>
      <c r="AH24" s="122"/>
      <c r="AI24" s="122"/>
      <c r="AJ24" s="122"/>
      <c r="AK24" s="122"/>
      <c r="AL24" s="123"/>
      <c r="AM24" s="121" t="str">
        <f>IF([4]回答表!R46="○","○","")</f>
        <v/>
      </c>
      <c r="AN24" s="122"/>
      <c r="AO24" s="122"/>
      <c r="AP24" s="122"/>
      <c r="AQ24" s="122"/>
      <c r="AR24" s="122"/>
      <c r="AS24" s="123"/>
      <c r="AT24" s="121" t="str">
        <f>IF([4]回答表!R47="○","○","")</f>
        <v/>
      </c>
      <c r="AU24" s="122"/>
      <c r="AV24" s="122"/>
      <c r="AW24" s="122"/>
      <c r="AX24" s="122"/>
      <c r="AY24" s="122"/>
      <c r="AZ24" s="123"/>
      <c r="BA24" s="19"/>
      <c r="BB24" s="118" t="str">
        <f>IF([4]回答表!R48="○","○","")</f>
        <v>○</v>
      </c>
      <c r="BC24" s="119"/>
      <c r="BD24" s="119"/>
      <c r="BE24" s="119"/>
      <c r="BF24" s="119"/>
      <c r="BG24" s="119"/>
      <c r="BH24" s="119"/>
      <c r="BI24" s="214"/>
      <c r="BJ24" s="215"/>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16"/>
      <c r="BJ25" s="217"/>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18"/>
      <c r="BJ26" s="219"/>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IF([4]回答表!X41="○","○","")</f>
        <v/>
      </c>
      <c r="O36" s="98"/>
      <c r="P36" s="98"/>
      <c r="Q36" s="99"/>
      <c r="R36" s="39"/>
      <c r="S36" s="39"/>
      <c r="T36" s="39"/>
      <c r="U36" s="106" t="str">
        <f>IF([4]回答表!X41="○",[4]回答表!B56,IF([4]回答表!AA41="○",[4]回答表!B76,""))</f>
        <v/>
      </c>
      <c r="V36" s="107"/>
      <c r="W36" s="107"/>
      <c r="X36" s="107"/>
      <c r="Y36" s="107"/>
      <c r="Z36" s="107"/>
      <c r="AA36" s="107"/>
      <c r="AB36" s="107"/>
      <c r="AC36" s="107"/>
      <c r="AD36" s="107"/>
      <c r="AE36" s="107"/>
      <c r="AF36" s="107"/>
      <c r="AG36" s="107"/>
      <c r="AH36" s="107"/>
      <c r="AI36" s="107"/>
      <c r="AJ36" s="108"/>
      <c r="AK36" s="50"/>
      <c r="AL36" s="50"/>
      <c r="AM36" s="220" t="s">
        <v>19</v>
      </c>
      <c r="AN36" s="220"/>
      <c r="AO36" s="220"/>
      <c r="AP36" s="220"/>
      <c r="AQ36" s="220"/>
      <c r="AR36" s="220"/>
      <c r="AS36" s="220"/>
      <c r="AT36" s="220"/>
      <c r="AU36" s="220" t="s">
        <v>20</v>
      </c>
      <c r="AV36" s="220"/>
      <c r="AW36" s="220"/>
      <c r="AX36" s="220"/>
      <c r="AY36" s="220"/>
      <c r="AZ36" s="220"/>
      <c r="BA36" s="220"/>
      <c r="BB36" s="220"/>
      <c r="BC36" s="40"/>
      <c r="BD36" s="35"/>
      <c r="BE36" s="115" t="str">
        <f>IF([4]回答表!X41="○",[4]回答表!S62,IF([4]回答表!AA41="○",[4]回答表!S82,""))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20"/>
      <c r="AN37" s="220"/>
      <c r="AO37" s="220"/>
      <c r="AP37" s="220"/>
      <c r="AQ37" s="220"/>
      <c r="AR37" s="220"/>
      <c r="AS37" s="220"/>
      <c r="AT37" s="220"/>
      <c r="AU37" s="220"/>
      <c r="AV37" s="220"/>
      <c r="AW37" s="220"/>
      <c r="AX37" s="220"/>
      <c r="AY37" s="220"/>
      <c r="AZ37" s="220"/>
      <c r="BA37" s="220"/>
      <c r="BB37" s="220"/>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IF([4]回答表!X41="○",[4]回答表!G62,IF([4]回答表!AA41="○",[4]回答表!G82,""))</f>
        <v/>
      </c>
      <c r="AN38" s="119"/>
      <c r="AO38" s="119"/>
      <c r="AP38" s="119"/>
      <c r="AQ38" s="119"/>
      <c r="AR38" s="119"/>
      <c r="AS38" s="119"/>
      <c r="AT38" s="120"/>
      <c r="AU38" s="118" t="str">
        <f>IF([4]回答表!X41="○",[4]回答表!G63,IF([4]回答表!AA41="○",[4]回答表!G83,""))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IF([4]回答表!X41="○",[4]回答表!V62,IF([4]回答表!AA41="○",[4]回答表!V82,""))</f>
        <v/>
      </c>
      <c r="BF39" s="208"/>
      <c r="BG39" s="208"/>
      <c r="BH39" s="209"/>
      <c r="BI39" s="82" t="str">
        <f>IF([4]回答表!X41="○",[4]回答表!V63,IF([4]回答表!AA41="○",[4]回答表!V83,""))</f>
        <v/>
      </c>
      <c r="BJ39" s="208"/>
      <c r="BK39" s="208"/>
      <c r="BL39" s="209"/>
      <c r="BM39" s="82" t="str">
        <f>IF([4]回答表!X41="○",[4]回答表!V64,IF([4]回答表!AA41="○",[4]回答表!V84,""))</f>
        <v/>
      </c>
      <c r="BN39" s="208"/>
      <c r="BO39" s="208"/>
      <c r="BP39" s="209"/>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10"/>
      <c r="BF40" s="208"/>
      <c r="BG40" s="208"/>
      <c r="BH40" s="209"/>
      <c r="BI40" s="210"/>
      <c r="BJ40" s="208"/>
      <c r="BK40" s="208"/>
      <c r="BL40" s="209"/>
      <c r="BM40" s="210"/>
      <c r="BN40" s="208"/>
      <c r="BO40" s="208"/>
      <c r="BP40" s="209"/>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10"/>
      <c r="BF41" s="208"/>
      <c r="BG41" s="208"/>
      <c r="BH41" s="209"/>
      <c r="BI41" s="210"/>
      <c r="BJ41" s="208"/>
      <c r="BK41" s="208"/>
      <c r="BL41" s="209"/>
      <c r="BM41" s="210"/>
      <c r="BN41" s="208"/>
      <c r="BO41" s="208"/>
      <c r="BP41" s="209"/>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206" t="str">
        <f>IF([4]回答表!X41="○",[4]回答表!O68,IF([4]回答表!AA41="○",[4]回答表!O88,""))</f>
        <v/>
      </c>
      <c r="AN42" s="207"/>
      <c r="AO42" s="204" t="s">
        <v>21</v>
      </c>
      <c r="AP42" s="204"/>
      <c r="AQ42" s="204"/>
      <c r="AR42" s="204"/>
      <c r="AS42" s="204"/>
      <c r="AT42" s="204"/>
      <c r="AU42" s="204"/>
      <c r="AV42" s="204"/>
      <c r="AW42" s="204"/>
      <c r="AX42" s="204"/>
      <c r="AY42" s="204"/>
      <c r="AZ42" s="204"/>
      <c r="BA42" s="204"/>
      <c r="BB42" s="205"/>
      <c r="BC42" s="40"/>
      <c r="BD42" s="40"/>
      <c r="BE42" s="210"/>
      <c r="BF42" s="208"/>
      <c r="BG42" s="208"/>
      <c r="BH42" s="209"/>
      <c r="BI42" s="210"/>
      <c r="BJ42" s="208"/>
      <c r="BK42" s="208"/>
      <c r="BL42" s="209"/>
      <c r="BM42" s="210"/>
      <c r="BN42" s="208"/>
      <c r="BO42" s="208"/>
      <c r="BP42" s="209"/>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206" t="str">
        <f>IF([4]回答表!X41="○",[4]回答表!O69,IF([4]回答表!AA41="○",[4]回答表!O89,""))</f>
        <v/>
      </c>
      <c r="AN43" s="207"/>
      <c r="AO43" s="204" t="s">
        <v>22</v>
      </c>
      <c r="AP43" s="204"/>
      <c r="AQ43" s="204"/>
      <c r="AR43" s="204"/>
      <c r="AS43" s="204"/>
      <c r="AT43" s="204"/>
      <c r="AU43" s="204"/>
      <c r="AV43" s="204"/>
      <c r="AW43" s="204"/>
      <c r="AX43" s="204"/>
      <c r="AY43" s="204"/>
      <c r="AZ43" s="204"/>
      <c r="BA43" s="204"/>
      <c r="BB43" s="205"/>
      <c r="BC43" s="40"/>
      <c r="BD43" s="35"/>
      <c r="BE43" s="82" t="s">
        <v>23</v>
      </c>
      <c r="BF43" s="208"/>
      <c r="BG43" s="208"/>
      <c r="BH43" s="209"/>
      <c r="BI43" s="82" t="s">
        <v>24</v>
      </c>
      <c r="BJ43" s="208"/>
      <c r="BK43" s="208"/>
      <c r="BL43" s="209"/>
      <c r="BM43" s="82" t="s">
        <v>25</v>
      </c>
      <c r="BN43" s="208"/>
      <c r="BO43" s="208"/>
      <c r="BP43" s="209"/>
      <c r="BQ43" s="38"/>
      <c r="BR43" s="25"/>
    </row>
    <row r="44" spans="1:70" ht="15.6" customHeight="1" x14ac:dyDescent="0.4">
      <c r="A44" s="25"/>
      <c r="B44" s="25"/>
      <c r="C44" s="33"/>
      <c r="D44" s="140" t="s">
        <v>26</v>
      </c>
      <c r="E44" s="141"/>
      <c r="F44" s="141"/>
      <c r="G44" s="141"/>
      <c r="H44" s="141"/>
      <c r="I44" s="141"/>
      <c r="J44" s="141"/>
      <c r="K44" s="141"/>
      <c r="L44" s="141"/>
      <c r="M44" s="142"/>
      <c r="N44" s="97" t="str">
        <f>IF([4]回答表!AA41="○","○","")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206" t="str">
        <f>IF([4]回答表!X41="○",[4]回答表!O70,IF([4]回答表!AA41="○",[4]回答表!O90,""))</f>
        <v/>
      </c>
      <c r="AN44" s="207"/>
      <c r="AO44" s="204" t="s">
        <v>27</v>
      </c>
      <c r="AP44" s="204"/>
      <c r="AQ44" s="204"/>
      <c r="AR44" s="204"/>
      <c r="AS44" s="204"/>
      <c r="AT44" s="204"/>
      <c r="AU44" s="204"/>
      <c r="AV44" s="204"/>
      <c r="AW44" s="204"/>
      <c r="AX44" s="204"/>
      <c r="AY44" s="204"/>
      <c r="AZ44" s="204"/>
      <c r="BA44" s="204"/>
      <c r="BB44" s="205"/>
      <c r="BC44" s="40"/>
      <c r="BD44" s="54"/>
      <c r="BE44" s="210"/>
      <c r="BF44" s="208"/>
      <c r="BG44" s="208"/>
      <c r="BH44" s="209"/>
      <c r="BI44" s="210"/>
      <c r="BJ44" s="208"/>
      <c r="BK44" s="208"/>
      <c r="BL44" s="209"/>
      <c r="BM44" s="210"/>
      <c r="BN44" s="208"/>
      <c r="BO44" s="208"/>
      <c r="BP44" s="209"/>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206" t="str">
        <f>IF([4]回答表!X41="○",[4]回答表!O71,IF([4]回答表!AA41="○",[4]回答表!O91,""))</f>
        <v/>
      </c>
      <c r="AN45" s="207"/>
      <c r="AO45" s="204" t="s">
        <v>28</v>
      </c>
      <c r="AP45" s="204"/>
      <c r="AQ45" s="204"/>
      <c r="AR45" s="204"/>
      <c r="AS45" s="204"/>
      <c r="AT45" s="204"/>
      <c r="AU45" s="204"/>
      <c r="AV45" s="204"/>
      <c r="AW45" s="204"/>
      <c r="AX45" s="204"/>
      <c r="AY45" s="204"/>
      <c r="AZ45" s="204"/>
      <c r="BA45" s="204"/>
      <c r="BB45" s="205"/>
      <c r="BC45" s="40"/>
      <c r="BD45" s="54"/>
      <c r="BE45" s="211"/>
      <c r="BF45" s="212"/>
      <c r="BG45" s="212"/>
      <c r="BH45" s="213"/>
      <c r="BI45" s="211"/>
      <c r="BJ45" s="212"/>
      <c r="BK45" s="212"/>
      <c r="BL45" s="213"/>
      <c r="BM45" s="211"/>
      <c r="BN45" s="212"/>
      <c r="BO45" s="212"/>
      <c r="BP45" s="213"/>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206" t="str">
        <f>IF([4]回答表!X41="○",[4]回答表!AG68,IF([4]回答表!AA41="○",[4]回答表!AG88,""))</f>
        <v/>
      </c>
      <c r="AN46" s="207"/>
      <c r="AO46" s="204" t="s">
        <v>29</v>
      </c>
      <c r="AP46" s="204"/>
      <c r="AQ46" s="204"/>
      <c r="AR46" s="204"/>
      <c r="AS46" s="204"/>
      <c r="AT46" s="204"/>
      <c r="AU46" s="204"/>
      <c r="AV46" s="204"/>
      <c r="AW46" s="204"/>
      <c r="AX46" s="204"/>
      <c r="AY46" s="204"/>
      <c r="AZ46" s="204"/>
      <c r="BA46" s="204"/>
      <c r="BB46" s="205"/>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206" t="str">
        <f>IF([4]回答表!X41="○",[4]回答表!AG69,IF([4]回答表!AA41="○",[4]回答表!AG89,""))</f>
        <v/>
      </c>
      <c r="AN47" s="207"/>
      <c r="AO47" s="204" t="s">
        <v>30</v>
      </c>
      <c r="AP47" s="204"/>
      <c r="AQ47" s="204"/>
      <c r="AR47" s="204"/>
      <c r="AS47" s="204"/>
      <c r="AT47" s="204"/>
      <c r="AU47" s="204"/>
      <c r="AV47" s="204"/>
      <c r="AW47" s="204"/>
      <c r="AX47" s="204"/>
      <c r="AY47" s="204"/>
      <c r="AZ47" s="204"/>
      <c r="BA47" s="204"/>
      <c r="BB47" s="205"/>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206" t="str">
        <f>IF([4]回答表!X41="○",[4]回答表!AG70,IF([4]回答表!AA41="○",[4]回答表!AG90,""))</f>
        <v/>
      </c>
      <c r="AN48" s="207"/>
      <c r="AO48" s="204" t="s">
        <v>31</v>
      </c>
      <c r="AP48" s="204"/>
      <c r="AQ48" s="204"/>
      <c r="AR48" s="204"/>
      <c r="AS48" s="204"/>
      <c r="AT48" s="204"/>
      <c r="AU48" s="204"/>
      <c r="AV48" s="204"/>
      <c r="AW48" s="204"/>
      <c r="AX48" s="204"/>
      <c r="AY48" s="204"/>
      <c r="AZ48" s="204"/>
      <c r="BA48" s="204"/>
      <c r="BB48" s="205"/>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IF([4]回答表!AD41="○","○","")</f>
        <v/>
      </c>
      <c r="O52" s="98"/>
      <c r="P52" s="98"/>
      <c r="Q52" s="99"/>
      <c r="R52" s="39"/>
      <c r="S52" s="39"/>
      <c r="T52" s="39"/>
      <c r="U52" s="106" t="str">
        <f>IF([4]回答表!AD41="○",[4]回答表!B96,"")</f>
        <v/>
      </c>
      <c r="V52" s="107"/>
      <c r="W52" s="107"/>
      <c r="X52" s="107"/>
      <c r="Y52" s="107"/>
      <c r="Z52" s="107"/>
      <c r="AA52" s="107"/>
      <c r="AB52" s="107"/>
      <c r="AC52" s="107"/>
      <c r="AD52" s="107"/>
      <c r="AE52" s="107"/>
      <c r="AF52" s="107"/>
      <c r="AG52" s="107"/>
      <c r="AH52" s="107"/>
      <c r="AI52" s="107"/>
      <c r="AJ52" s="108"/>
      <c r="AK52" s="56"/>
      <c r="AL52" s="56"/>
      <c r="AM52" s="106" t="str">
        <f>IF([4]回答表!AD41="○",[4]回答表!B101,"")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IF([4]回答表!X42="○","○","")</f>
        <v/>
      </c>
      <c r="O63" s="98"/>
      <c r="P63" s="98"/>
      <c r="Q63" s="99"/>
      <c r="R63" s="39"/>
      <c r="S63" s="39"/>
      <c r="T63" s="39"/>
      <c r="U63" s="106" t="str">
        <f>IF([4]回答表!X42="○",[4]回答表!B111,IF([4]回答表!AA42="○",[4]回答表!B124,""))</f>
        <v/>
      </c>
      <c r="V63" s="107"/>
      <c r="W63" s="107"/>
      <c r="X63" s="107"/>
      <c r="Y63" s="107"/>
      <c r="Z63" s="107"/>
      <c r="AA63" s="107"/>
      <c r="AB63" s="107"/>
      <c r="AC63" s="107"/>
      <c r="AD63" s="107"/>
      <c r="AE63" s="107"/>
      <c r="AF63" s="107"/>
      <c r="AG63" s="107"/>
      <c r="AH63" s="107"/>
      <c r="AI63" s="107"/>
      <c r="AJ63" s="108"/>
      <c r="AK63" s="50"/>
      <c r="AL63" s="50"/>
      <c r="AM63" s="203" t="s">
        <v>37</v>
      </c>
      <c r="AN63" s="203"/>
      <c r="AO63" s="203"/>
      <c r="AP63" s="203"/>
      <c r="AQ63" s="203"/>
      <c r="AR63" s="203"/>
      <c r="AS63" s="203"/>
      <c r="AT63" s="203"/>
      <c r="AU63" s="203" t="s">
        <v>38</v>
      </c>
      <c r="AV63" s="203"/>
      <c r="AW63" s="203"/>
      <c r="AX63" s="203"/>
      <c r="AY63" s="203"/>
      <c r="AZ63" s="203"/>
      <c r="BA63" s="203"/>
      <c r="BB63" s="203"/>
      <c r="BC63" s="40"/>
      <c r="BD63" s="35"/>
      <c r="BE63" s="115" t="str">
        <f>IF([4]回答表!X42="○",[4]回答表!S117,IF([4]回答表!AA42="○",[4]回答表!S130,""))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203"/>
      <c r="AN64" s="203"/>
      <c r="AO64" s="203"/>
      <c r="AP64" s="203"/>
      <c r="AQ64" s="203"/>
      <c r="AR64" s="203"/>
      <c r="AS64" s="203"/>
      <c r="AT64" s="203"/>
      <c r="AU64" s="203"/>
      <c r="AV64" s="203"/>
      <c r="AW64" s="203"/>
      <c r="AX64" s="203"/>
      <c r="AY64" s="203"/>
      <c r="AZ64" s="203"/>
      <c r="BA64" s="203"/>
      <c r="BB64" s="203"/>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203"/>
      <c r="AN65" s="203"/>
      <c r="AO65" s="203"/>
      <c r="AP65" s="203"/>
      <c r="AQ65" s="203"/>
      <c r="AR65" s="203"/>
      <c r="AS65" s="203"/>
      <c r="AT65" s="203"/>
      <c r="AU65" s="203"/>
      <c r="AV65" s="203"/>
      <c r="AW65" s="203"/>
      <c r="AX65" s="203"/>
      <c r="AY65" s="203"/>
      <c r="AZ65" s="203"/>
      <c r="BA65" s="203"/>
      <c r="BB65" s="203"/>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IF([4]回答表!X42="○",[4]回答表!J117,IF([4]回答表!AA42="○",[4]回答表!J130,""))</f>
        <v/>
      </c>
      <c r="AN66" s="119"/>
      <c r="AO66" s="119"/>
      <c r="AP66" s="119"/>
      <c r="AQ66" s="119"/>
      <c r="AR66" s="119"/>
      <c r="AS66" s="119"/>
      <c r="AT66" s="120"/>
      <c r="AU66" s="118" t="str">
        <f>IF([4]回答表!X42="○",[4]回答表!J118,IF([4]回答表!AA42="○",[4]回答表!J131,""))</f>
        <v/>
      </c>
      <c r="AV66" s="119"/>
      <c r="AW66" s="119"/>
      <c r="AX66" s="119"/>
      <c r="AY66" s="119"/>
      <c r="AZ66" s="119"/>
      <c r="BA66" s="119"/>
      <c r="BB66" s="120"/>
      <c r="BC66" s="40"/>
      <c r="BD66" s="35"/>
      <c r="BE66" s="82" t="str">
        <f>IF([4]回答表!X42="○",[4]回答表!V117,IF([4]回答表!AA42="○",[4]回答表!V130,""))</f>
        <v/>
      </c>
      <c r="BF66" s="83"/>
      <c r="BG66" s="83"/>
      <c r="BH66" s="83"/>
      <c r="BI66" s="82" t="str">
        <f>IF([4]回答表!X42="○",[4]回答表!V118,IF([4]回答表!AA42="○",[4]回答表!V131,""))</f>
        <v/>
      </c>
      <c r="BJ66" s="83"/>
      <c r="BK66" s="83"/>
      <c r="BL66" s="83"/>
      <c r="BM66" s="82" t="str">
        <f>IF([4]回答表!X42="○",[4]回答表!V119,IF([4]回答表!AA42="○",[4]回答表!V132,""))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IF([4]回答表!AD42="○","○","")</f>
        <v/>
      </c>
      <c r="O75" s="98"/>
      <c r="P75" s="98"/>
      <c r="Q75" s="99"/>
      <c r="R75" s="39"/>
      <c r="S75" s="39"/>
      <c r="T75" s="39"/>
      <c r="U75" s="106" t="str">
        <f>IF([4]回答表!AD42="○",[4]回答表!B137,"")</f>
        <v/>
      </c>
      <c r="V75" s="107"/>
      <c r="W75" s="107"/>
      <c r="X75" s="107"/>
      <c r="Y75" s="107"/>
      <c r="Z75" s="107"/>
      <c r="AA75" s="107"/>
      <c r="AB75" s="107"/>
      <c r="AC75" s="107"/>
      <c r="AD75" s="107"/>
      <c r="AE75" s="107"/>
      <c r="AF75" s="107"/>
      <c r="AG75" s="107"/>
      <c r="AH75" s="107"/>
      <c r="AI75" s="107"/>
      <c r="AJ75" s="108"/>
      <c r="AK75" s="56"/>
      <c r="AL75" s="56"/>
      <c r="AM75" s="106" t="str">
        <f>IF([4]回答表!AD42="○",[4]回答表!B143,"")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IF([4]回答表!F17="水道事業",IF([4]回答表!X43="○","○",""),"")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IF([4]回答表!F17="水道事業",IF([4]回答表!X43="○",[4]回答表!B154,IF([4]回答表!AA43="○",[4]回答表!B201,"")),"")</f>
        <v/>
      </c>
      <c r="AN87" s="107"/>
      <c r="AO87" s="107"/>
      <c r="AP87" s="107"/>
      <c r="AQ87" s="107"/>
      <c r="AR87" s="107"/>
      <c r="AS87" s="107"/>
      <c r="AT87" s="107"/>
      <c r="AU87" s="107"/>
      <c r="AV87" s="107"/>
      <c r="AW87" s="107"/>
      <c r="AX87" s="107"/>
      <c r="AY87" s="107"/>
      <c r="AZ87" s="107"/>
      <c r="BA87" s="107"/>
      <c r="BB87" s="108"/>
      <c r="BC87" s="40"/>
      <c r="BD87" s="35"/>
      <c r="BE87" s="115" t="str">
        <f>IF([4]回答表!F17="水道事業",IF([4]回答表!X43="○",[4]回答表!B190,IF([4]回答表!AA43="○",[4]回答表!B238,"")),"")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IF([4]回答表!F17="水道事業",IF([4]回答表!X43="○",[4]回答表!J162,IF([4]回答表!AA43="○",[4]回答表!J209,"")),"")</f>
        <v/>
      </c>
      <c r="V89" s="119"/>
      <c r="W89" s="119"/>
      <c r="X89" s="119"/>
      <c r="Y89" s="119"/>
      <c r="Z89" s="119"/>
      <c r="AA89" s="119"/>
      <c r="AB89" s="120"/>
      <c r="AC89" s="118" t="str">
        <f>IF([4]回答表!F17="水道事業",IF([4]回答表!X43="○",[4]回答表!J169,IF([4]回答表!AA43="○",[4]回答表!J216,"")),"")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IF([4]回答表!F17="水道事業",IF([4]回答表!X43="○",[4]回答表!E190,IF([4]回答表!AA43="○",[4]回答表!E238,"")),"")</f>
        <v/>
      </c>
      <c r="BF90" s="83"/>
      <c r="BG90" s="83"/>
      <c r="BH90" s="83"/>
      <c r="BI90" s="82" t="str">
        <f>IF([4]回答表!F17="水道事業",IF([4]回答表!X43="○",[4]回答表!E191,IF([4]回答表!AA43="○",[4]回答表!E239,"")),"")</f>
        <v/>
      </c>
      <c r="BJ90" s="83"/>
      <c r="BK90" s="83"/>
      <c r="BL90" s="83"/>
      <c r="BM90" s="82" t="str">
        <f>IF([4]回答表!F17="水道事業",IF([4]回答表!X43="○",[4]回答表!E192,IF([4]回答表!AA43="○",[4]回答表!E240,"")),"")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IF([4]回答表!F17="水道事業",IF([4]回答表!AA43="○","○",""),"")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IF([4]回答表!F17="水道事業",IF([4]回答表!X43="○",[4]回答表!J172,IF([4]回答表!AA43="○",[4]回答表!J219,"")),"")</f>
        <v/>
      </c>
      <c r="V94" s="119"/>
      <c r="W94" s="119"/>
      <c r="X94" s="119"/>
      <c r="Y94" s="119"/>
      <c r="Z94" s="119"/>
      <c r="AA94" s="119"/>
      <c r="AB94" s="120"/>
      <c r="AC94" s="118" t="str">
        <f>IF([4]回答表!F17="水道事業",IF([4]回答表!X43="○",[4]回答表!J176,IF([4]回答表!AA43="○",[4]回答表!J223,"")),"")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IF([4]回答表!F17="水道事業",IF([4]回答表!AD43="○","○",""),"")</f>
        <v/>
      </c>
      <c r="O99" s="98"/>
      <c r="P99" s="98"/>
      <c r="Q99" s="99"/>
      <c r="R99" s="39"/>
      <c r="S99" s="39"/>
      <c r="T99" s="39"/>
      <c r="U99" s="106" t="str">
        <f>IF([4]回答表!F17="水道事業",IF([4]回答表!AD43="○",[4]回答表!B249,""),"")</f>
        <v/>
      </c>
      <c r="V99" s="107"/>
      <c r="W99" s="107"/>
      <c r="X99" s="107"/>
      <c r="Y99" s="107"/>
      <c r="Z99" s="107"/>
      <c r="AA99" s="107"/>
      <c r="AB99" s="107"/>
      <c r="AC99" s="107"/>
      <c r="AD99" s="107"/>
      <c r="AE99" s="107"/>
      <c r="AF99" s="107"/>
      <c r="AG99" s="107"/>
      <c r="AH99" s="107"/>
      <c r="AI99" s="107"/>
      <c r="AJ99" s="108"/>
      <c r="AK99" s="56"/>
      <c r="AL99" s="56"/>
      <c r="AM99" s="106" t="str">
        <f>IF([4]回答表!F17="水道事業",IF([4]回答表!AD43="○",[4]回答表!B255,""),"")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IF([4]回答表!F17="簡易水道事業",IF([4]回答表!X43="○","○",""),"")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IF([4]回答表!F17="簡易水道事業",IF([4]回答表!X43="○",[4]回答表!B154,IF([4]回答表!AA43="○",[4]回答表!B201,"")),"")</f>
        <v/>
      </c>
      <c r="AN111" s="107"/>
      <c r="AO111" s="107"/>
      <c r="AP111" s="107"/>
      <c r="AQ111" s="107"/>
      <c r="AR111" s="107"/>
      <c r="AS111" s="107"/>
      <c r="AT111" s="107"/>
      <c r="AU111" s="107"/>
      <c r="AV111" s="107"/>
      <c r="AW111" s="107"/>
      <c r="AX111" s="107"/>
      <c r="AY111" s="107"/>
      <c r="AZ111" s="107"/>
      <c r="BA111" s="107"/>
      <c r="BB111" s="108"/>
      <c r="BC111" s="40"/>
      <c r="BD111" s="35"/>
      <c r="BE111" s="115" t="str">
        <f>IF([4]回答表!F17="簡易水道事業",IF([4]回答表!X43="○",[4]回答表!B190,IF([4]回答表!AA43="○",[4]回答表!B238,"")),"")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IF([4]回答表!F17="簡易水道事業",IF([4]回答表!X43="○",[4]回答表!Y181,IF([4]回答表!AA43="○",[4]回答表!Y229,"")),"")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IF([4]回答表!F17="簡易水道事業",IF([4]回答表!X43="○",[4]回答表!E190,IF([4]回答表!AA43="○",[4]回答表!E238,"")),"")</f>
        <v/>
      </c>
      <c r="BF114" s="83"/>
      <c r="BG114" s="83"/>
      <c r="BH114" s="83"/>
      <c r="BI114" s="82" t="str">
        <f>IF([4]回答表!F17="簡易水道事業",IF([4]回答表!X43="○",[4]回答表!E191,IF([4]回答表!AA43="○",[4]回答表!E239,"")),"")</f>
        <v/>
      </c>
      <c r="BJ114" s="83"/>
      <c r="BK114" s="83"/>
      <c r="BL114" s="83"/>
      <c r="BM114" s="82" t="str">
        <f>IF([4]回答表!F17="簡易水道事業",IF([4]回答表!X43="○",[4]回答表!E192,IF([4]回答表!AA43="○",[4]回答表!E240,"")),"")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IF([4]回答表!F17="簡易水道事業",IF([4]回答表!AA43="○","○",""),"")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IF([4]回答表!F17="簡易水道事業",IF([4]回答表!X43="○",[4]回答表!Y182,IF([4]回答表!AA43="○",[4]回答表!Y230,"")),"")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IF([4]回答表!F17="簡易水道事業",IF([4]回答表!AD43="○","○",""),"")</f>
        <v/>
      </c>
      <c r="O123" s="98"/>
      <c r="P123" s="98"/>
      <c r="Q123" s="99"/>
      <c r="R123" s="39"/>
      <c r="S123" s="39"/>
      <c r="T123" s="39"/>
      <c r="U123" s="106" t="str">
        <f>IF([4]回答表!F17="簡易水道事業",IF([4]回答表!AD43="○",[4]回答表!B249,""),"")</f>
        <v/>
      </c>
      <c r="V123" s="107"/>
      <c r="W123" s="107"/>
      <c r="X123" s="107"/>
      <c r="Y123" s="107"/>
      <c r="Z123" s="107"/>
      <c r="AA123" s="107"/>
      <c r="AB123" s="107"/>
      <c r="AC123" s="107"/>
      <c r="AD123" s="107"/>
      <c r="AE123" s="107"/>
      <c r="AF123" s="107"/>
      <c r="AG123" s="107"/>
      <c r="AH123" s="107"/>
      <c r="AI123" s="107"/>
      <c r="AJ123" s="108"/>
      <c r="AK123" s="56"/>
      <c r="AL123" s="56"/>
      <c r="AM123" s="106" t="str">
        <f>IF([4]回答表!F17="簡易水道事業",IF([4]回答表!AD43="○",[4]回答表!B255,""),"")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IF([4]回答表!F17="下水道事業",IF([4]回答表!X43="○","○",""),"")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IF([4]回答表!F17="下水道事業",IF([4]回答表!X43="○",[4]回答表!B154,IF([4]回答表!AA43="○",[4]回答表!B201,"")),"")</f>
        <v/>
      </c>
      <c r="AN135" s="107"/>
      <c r="AO135" s="107"/>
      <c r="AP135" s="107"/>
      <c r="AQ135" s="107"/>
      <c r="AR135" s="107"/>
      <c r="AS135" s="107"/>
      <c r="AT135" s="107"/>
      <c r="AU135" s="107"/>
      <c r="AV135" s="107"/>
      <c r="AW135" s="107"/>
      <c r="AX135" s="107"/>
      <c r="AY135" s="107"/>
      <c r="AZ135" s="107"/>
      <c r="BA135" s="107"/>
      <c r="BB135" s="108"/>
      <c r="BC135" s="40"/>
      <c r="BD135" s="35"/>
      <c r="BE135" s="115" t="str">
        <f>IF([4]回答表!F17="下水道事業",IF([4]回答表!X43="○",[4]回答表!B190,IF([4]回答表!AA43="○",[4]回答表!B238,"")),"")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IF([4]回答表!F17="下水道事業",IF([4]回答表!X43="○",[4]回答表!Y184,IF([4]回答表!AA43="○",[4]回答表!Y232,"")),"")</f>
        <v/>
      </c>
      <c r="V137" s="119"/>
      <c r="W137" s="119"/>
      <c r="X137" s="119"/>
      <c r="Y137" s="119"/>
      <c r="Z137" s="119"/>
      <c r="AA137" s="119"/>
      <c r="AB137" s="120"/>
      <c r="AC137" s="118" t="str">
        <f>IF([4]回答表!F17="下水道事業",IF([4]回答表!X43="○",[4]回答表!Y185,IF([4]回答表!AA43="○",[4]回答表!Y233,"")),"")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IF([4]回答表!F17="下水道事業",IF([4]回答表!X43="○",[4]回答表!E190,IF([4]回答表!AA43="○",[4]回答表!E238,"")),"")</f>
        <v/>
      </c>
      <c r="BF138" s="83"/>
      <c r="BG138" s="83"/>
      <c r="BH138" s="83"/>
      <c r="BI138" s="82" t="str">
        <f>IF([4]回答表!F17="下水道事業",IF([4]回答表!X43="○",[4]回答表!E191,IF([4]回答表!AA43="○",[4]回答表!E239,"")),"")</f>
        <v/>
      </c>
      <c r="BJ138" s="83"/>
      <c r="BK138" s="83"/>
      <c r="BL138" s="83"/>
      <c r="BM138" s="82" t="str">
        <f>IF([4]回答表!F17="下水道事業",IF([4]回答表!X43="○",[4]回答表!E192,IF([4]回答表!AA43="○",[4]回答表!E240,"")),"")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IF([4]回答表!F17="下水道事業",IF([4]回答表!AA43="○","○",""),"")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IF([4]回答表!F17="下水道事業",IF([4]回答表!X43="○",[4]回答表!Y186,IF([4]回答表!AA43="○",[4]回答表!Y234,"")),"")</f>
        <v/>
      </c>
      <c r="V142" s="119"/>
      <c r="W142" s="119"/>
      <c r="X142" s="119"/>
      <c r="Y142" s="119"/>
      <c r="Z142" s="119"/>
      <c r="AA142" s="119"/>
      <c r="AB142" s="120"/>
      <c r="AC142" s="118" t="str">
        <f>IF([4]回答表!F17="下水道事業",IF([4]回答表!X43="○",[4]回答表!Y187,IF([4]回答表!AA43="○",[4]回答表!Y235,"")),"")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IF([4]回答表!F17="下水道事業",IF([4]回答表!AD43="○","○",""),"")</f>
        <v/>
      </c>
      <c r="O147" s="98"/>
      <c r="P147" s="98"/>
      <c r="Q147" s="99"/>
      <c r="R147" s="39"/>
      <c r="S147" s="39"/>
      <c r="T147" s="39"/>
      <c r="U147" s="106" t="str">
        <f>IF([4]回答表!F17="下水道事業",IF([4]回答表!AD43="○",[4]回答表!B249,""),"")</f>
        <v/>
      </c>
      <c r="V147" s="107"/>
      <c r="W147" s="107"/>
      <c r="X147" s="107"/>
      <c r="Y147" s="107"/>
      <c r="Z147" s="107"/>
      <c r="AA147" s="107"/>
      <c r="AB147" s="107"/>
      <c r="AC147" s="107"/>
      <c r="AD147" s="107"/>
      <c r="AE147" s="107"/>
      <c r="AF147" s="107"/>
      <c r="AG147" s="107"/>
      <c r="AH147" s="107"/>
      <c r="AI147" s="107"/>
      <c r="AJ147" s="108"/>
      <c r="AK147" s="56"/>
      <c r="AL147" s="56"/>
      <c r="AM147" s="106" t="str">
        <f>IF([4]回答表!F17="下水道事業",IF([4]回答表!AD43="○",[4]回答表!B255,""),"")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IF([4]回答表!BD17="○",IF([4]回答表!X43="○","○",""),"")</f>
        <v/>
      </c>
      <c r="O159" s="98"/>
      <c r="P159" s="98"/>
      <c r="Q159" s="99"/>
      <c r="R159" s="39"/>
      <c r="S159" s="39"/>
      <c r="T159" s="39"/>
      <c r="U159" s="106" t="str">
        <f>IF([4]回答表!BD17="○",IF([4]回答表!X43="○",[4]回答表!B154,IF([4]回答表!AA43="○",[4]回答表!B201,"")),"")</f>
        <v/>
      </c>
      <c r="V159" s="107"/>
      <c r="W159" s="107"/>
      <c r="X159" s="107"/>
      <c r="Y159" s="107"/>
      <c r="Z159" s="107"/>
      <c r="AA159" s="107"/>
      <c r="AB159" s="107"/>
      <c r="AC159" s="107"/>
      <c r="AD159" s="107"/>
      <c r="AE159" s="107"/>
      <c r="AF159" s="107"/>
      <c r="AG159" s="107"/>
      <c r="AH159" s="107"/>
      <c r="AI159" s="107"/>
      <c r="AJ159" s="108"/>
      <c r="AK159" s="50"/>
      <c r="AL159" s="50"/>
      <c r="AM159" s="115" t="str">
        <f>IF([4]回答表!BD17="○",IF([4]回答表!X43="○",[4]回答表!B190,IF([4]回答表!AA43="○",[4]回答表!B238,"")),"")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IF([4]回答表!BD17="○",IF([4]回答表!X43="○",[4]回答表!E190,IF([4]回答表!AA43="○",[4]回答表!E238,"")),"")</f>
        <v/>
      </c>
      <c r="AN162" s="83"/>
      <c r="AO162" s="83"/>
      <c r="AP162" s="83"/>
      <c r="AQ162" s="82" t="str">
        <f>IF([4]回答表!BD17="○",IF([4]回答表!X43="○",[4]回答表!E191,IF([4]回答表!AA43="○",[4]回答表!E239,"")),"")</f>
        <v/>
      </c>
      <c r="AR162" s="83"/>
      <c r="AS162" s="83"/>
      <c r="AT162" s="83"/>
      <c r="AU162" s="82" t="str">
        <f>IF([4]回答表!BD17="○",IF([4]回答表!X43="○",[4]回答表!E192,IF([4]回答表!AA43="○",[4]回答表!E240,"")),"")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IF([4]回答表!BD17="○",IF([4]回答表!AA43="○","○",""),"")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IF([4]回答表!BD17="○",IF([4]回答表!AD43="○","○",""),"")</f>
        <v/>
      </c>
      <c r="O171" s="98"/>
      <c r="P171" s="98"/>
      <c r="Q171" s="99"/>
      <c r="R171" s="39"/>
      <c r="S171" s="39"/>
      <c r="T171" s="39"/>
      <c r="U171" s="106" t="str">
        <f>IF([4]回答表!BD17="○",IF([4]回答表!AD43="○",[4]回答表!B249,""),"")</f>
        <v/>
      </c>
      <c r="V171" s="107"/>
      <c r="W171" s="107"/>
      <c r="X171" s="107"/>
      <c r="Y171" s="107"/>
      <c r="Z171" s="107"/>
      <c r="AA171" s="107"/>
      <c r="AB171" s="107"/>
      <c r="AC171" s="107"/>
      <c r="AD171" s="107"/>
      <c r="AE171" s="107"/>
      <c r="AF171" s="107"/>
      <c r="AG171" s="107"/>
      <c r="AH171" s="107"/>
      <c r="AI171" s="107"/>
      <c r="AJ171" s="108"/>
      <c r="AK171" s="56"/>
      <c r="AL171" s="56"/>
      <c r="AM171" s="106" t="str">
        <f>IF([4]回答表!BD17="○",IF([4]回答表!AD43="○",[4]回答表!B255,""),"")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IF([4]回答表!X44="○","○","")</f>
        <v/>
      </c>
      <c r="O183" s="98"/>
      <c r="P183" s="98"/>
      <c r="Q183" s="99"/>
      <c r="R183" s="39"/>
      <c r="S183" s="39"/>
      <c r="T183" s="39"/>
      <c r="U183" s="106" t="str">
        <f>IF([4]回答表!X44="○",[4]回答表!B266,IF([4]回答表!AA44="○",[4]回答表!B283,""))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IF([4]回答表!X44="○",[4]回答表!U272,IF([4]回答表!AA44="○",[4]回答表!U289,""))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IF([4]回答表!X44="○",[4]回答表!G272,IF([4]回答表!AA44="○",[4]回答表!G289,""))</f>
        <v/>
      </c>
      <c r="AN186" s="119"/>
      <c r="AO186" s="119"/>
      <c r="AP186" s="119"/>
      <c r="AQ186" s="119"/>
      <c r="AR186" s="119"/>
      <c r="AS186" s="119"/>
      <c r="AT186" s="120"/>
      <c r="AU186" s="118" t="str">
        <f>IF([4]回答表!X44="○",[4]回答表!G273,IF([4]回答表!AA44="○",[4]回答表!G290,""))</f>
        <v/>
      </c>
      <c r="AV186" s="119"/>
      <c r="AW186" s="119"/>
      <c r="AX186" s="119"/>
      <c r="AY186" s="119"/>
      <c r="AZ186" s="119"/>
      <c r="BA186" s="119"/>
      <c r="BB186" s="120"/>
      <c r="BC186" s="40"/>
      <c r="BD186" s="35"/>
      <c r="BE186" s="82" t="str">
        <f>IF([4]回答表!X44="○",[4]回答表!X272,IF([4]回答表!AA44="○",[4]回答表!X289,""))</f>
        <v/>
      </c>
      <c r="BF186" s="83"/>
      <c r="BG186" s="83"/>
      <c r="BH186" s="83"/>
      <c r="BI186" s="82" t="str">
        <f>IF([4]回答表!X44="○",[4]回答表!X273,IF([4]回答表!AA44="○",[4]回答表!X290,""))</f>
        <v/>
      </c>
      <c r="BJ186" s="83"/>
      <c r="BK186" s="83"/>
      <c r="BL186" s="86"/>
      <c r="BM186" s="82" t="str">
        <f>IF([4]回答表!X44="○",[4]回答表!X274,IF([4]回答表!AA44="○",[4]回答表!X291,""))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IF([4]回答表!AD44="○","○","")</f>
        <v/>
      </c>
      <c r="O195" s="98"/>
      <c r="P195" s="98"/>
      <c r="Q195" s="99"/>
      <c r="R195" s="39"/>
      <c r="S195" s="39"/>
      <c r="T195" s="39"/>
      <c r="U195" s="106" t="str">
        <f>IF([4]回答表!AD44="○",[4]回答表!B296,"")</f>
        <v/>
      </c>
      <c r="V195" s="107"/>
      <c r="W195" s="107"/>
      <c r="X195" s="107"/>
      <c r="Y195" s="107"/>
      <c r="Z195" s="107"/>
      <c r="AA195" s="107"/>
      <c r="AB195" s="107"/>
      <c r="AC195" s="107"/>
      <c r="AD195" s="107"/>
      <c r="AE195" s="107"/>
      <c r="AF195" s="107"/>
      <c r="AG195" s="107"/>
      <c r="AH195" s="107"/>
      <c r="AI195" s="107"/>
      <c r="AJ195" s="108"/>
      <c r="AK195" s="61"/>
      <c r="AL195" s="61"/>
      <c r="AM195" s="106" t="str">
        <f>IF([4]回答表!AD44="○",[4]回答表!B302,"")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IF([4]回答表!X45="○","○","")</f>
        <v/>
      </c>
      <c r="O207" s="98"/>
      <c r="P207" s="98"/>
      <c r="Q207" s="99"/>
      <c r="R207" s="39"/>
      <c r="S207" s="39"/>
      <c r="T207" s="39"/>
      <c r="U207" s="106" t="str">
        <f>IF([4]回答表!X45="○",[4]回答表!B314,IF([4]回答表!AA45="○",[4]回答表!B337,""))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IF([4]回答表!X45="○",[4]回答表!B320,"")</f>
        <v/>
      </c>
      <c r="AO207" s="164"/>
      <c r="AP207" s="164"/>
      <c r="AQ207" s="164"/>
      <c r="AR207" s="164"/>
      <c r="AS207" s="164"/>
      <c r="AT207" s="164"/>
      <c r="AU207" s="164"/>
      <c r="AV207" s="164"/>
      <c r="AW207" s="164"/>
      <c r="AX207" s="164"/>
      <c r="AY207" s="164"/>
      <c r="AZ207" s="164"/>
      <c r="BA207" s="164"/>
      <c r="BB207" s="165"/>
      <c r="BC207" s="40"/>
      <c r="BD207" s="35"/>
      <c r="BE207" s="115" t="str">
        <f>IF([4]回答表!X45="○",[4]回答表!B326,IF([4]回答表!AA45="○",[4]回答表!B343,""))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IF([4]回答表!X45="○",[4]回答表!E326,IF([4]回答表!AA45="○",[4]回答表!E343,""))</f>
        <v/>
      </c>
      <c r="BF210" s="83"/>
      <c r="BG210" s="83"/>
      <c r="BH210" s="83"/>
      <c r="BI210" s="82" t="str">
        <f>IF([4]回答表!X45="○",[4]回答表!E327,IF([4]回答表!AA45="○",[4]回答表!E344,""))</f>
        <v/>
      </c>
      <c r="BJ210" s="83"/>
      <c r="BK210" s="83"/>
      <c r="BL210" s="86"/>
      <c r="BM210" s="82" t="str">
        <f>IF([4]回答表!X45="○",[4]回答表!E328,IF([4]回答表!AA45="○",[4]回答表!E345,""))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IF([4]回答表!AD45="○","○","")</f>
        <v/>
      </c>
      <c r="O219" s="98"/>
      <c r="P219" s="98"/>
      <c r="Q219" s="99"/>
      <c r="R219" s="39"/>
      <c r="S219" s="39"/>
      <c r="T219" s="39"/>
      <c r="U219" s="106" t="str">
        <f>IF([4]回答表!AD45="○",[4]回答表!B350,"")</f>
        <v/>
      </c>
      <c r="V219" s="107"/>
      <c r="W219" s="107"/>
      <c r="X219" s="107"/>
      <c r="Y219" s="107"/>
      <c r="Z219" s="107"/>
      <c r="AA219" s="107"/>
      <c r="AB219" s="107"/>
      <c r="AC219" s="107"/>
      <c r="AD219" s="107"/>
      <c r="AE219" s="107"/>
      <c r="AF219" s="107"/>
      <c r="AG219" s="107"/>
      <c r="AH219" s="107"/>
      <c r="AI219" s="107"/>
      <c r="AJ219" s="108"/>
      <c r="AK219" s="61"/>
      <c r="AL219" s="61"/>
      <c r="AM219" s="106" t="str">
        <f>IF([4]回答表!AD45="○",[4]回答表!B356,"")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IF([4]回答表!X46="○","○","")</f>
        <v/>
      </c>
      <c r="O231" s="98"/>
      <c r="P231" s="98"/>
      <c r="Q231" s="99"/>
      <c r="R231" s="39"/>
      <c r="S231" s="39"/>
      <c r="T231" s="39"/>
      <c r="U231" s="106" t="str">
        <f>IF([4]回答表!X46="○",[4]回答表!B368,IF([4]回答表!AA46="○",[4]回答表!B382,""))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IF([4]回答表!X46="○",[4]回答表!BC375,IF([4]回答表!AA46="○",[4]回答表!BC389,""))</f>
        <v/>
      </c>
      <c r="AR231" s="150"/>
      <c r="AS231" s="150"/>
      <c r="AT231" s="150"/>
      <c r="AU231" s="155" t="s">
        <v>63</v>
      </c>
      <c r="AV231" s="156"/>
      <c r="AW231" s="156"/>
      <c r="AX231" s="157"/>
      <c r="AY231" s="150" t="str">
        <f>IF([4]回答表!X46="○",[4]回答表!BC380,IF([4]回答表!AA46="○",[4]回答表!BC394,""))</f>
        <v/>
      </c>
      <c r="AZ231" s="150"/>
      <c r="BA231" s="150"/>
      <c r="BB231" s="150"/>
      <c r="BC231" s="40"/>
      <c r="BD231" s="35"/>
      <c r="BE231" s="115" t="str">
        <f>IF([4]回答表!X46="○",[4]回答表!S374,IF([4]回答表!AA46="○",[4]回答表!S388,""))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IF([4]回答表!X46="○",[4]回答表!BC376,IF([4]回答表!AA46="○",[4]回答表!BC390,""))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IF([4]回答表!X46="○",[4]回答表!V374,IF([4]回答表!AA46="○",[4]回答表!V388,""))</f>
        <v/>
      </c>
      <c r="BF234" s="83"/>
      <c r="BG234" s="83"/>
      <c r="BH234" s="83"/>
      <c r="BI234" s="82" t="str">
        <f>IF([4]回答表!X46="○",[4]回答表!V375,IF([4]回答表!AA46="○",[4]回答表!V389,""))</f>
        <v/>
      </c>
      <c r="BJ234" s="83"/>
      <c r="BK234" s="83"/>
      <c r="BL234" s="86"/>
      <c r="BM234" s="82" t="str">
        <f>IF([4]回答表!X46="○",[4]回答表!V376,IF([4]回答表!AA46="○",[4]回答表!V390,""))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IF([4]回答表!X46="○",[4]回答表!BC377,IF([4]回答表!AA46="○",[4]回答表!BC391,""))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IF([4]回答表!X46="○",[4]回答表!BC381,IF([4]回答表!AA46="○",[4]回答表!BC395,""))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IF([4]回答表!X46="○",[4]回答表!BC378,IF([4]回答表!AA46="○",[4]回答表!BC392,""))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IF([4]回答表!X46="○",[4]回答表!BC379,IF([4]回答表!AA46="○",[4]回答表!BC393,""))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IF([4]回答表!AD46="○","○","")</f>
        <v/>
      </c>
      <c r="O243" s="98"/>
      <c r="P243" s="98"/>
      <c r="Q243" s="99"/>
      <c r="R243" s="39"/>
      <c r="S243" s="39"/>
      <c r="T243" s="39"/>
      <c r="U243" s="106" t="str">
        <f>IF([4]回答表!AD46="○",[4]回答表!B396,"")</f>
        <v/>
      </c>
      <c r="V243" s="107"/>
      <c r="W243" s="107"/>
      <c r="X243" s="107"/>
      <c r="Y243" s="107"/>
      <c r="Z243" s="107"/>
      <c r="AA243" s="107"/>
      <c r="AB243" s="107"/>
      <c r="AC243" s="107"/>
      <c r="AD243" s="107"/>
      <c r="AE243" s="107"/>
      <c r="AF243" s="107"/>
      <c r="AG243" s="107"/>
      <c r="AH243" s="107"/>
      <c r="AI243" s="107"/>
      <c r="AJ243" s="108"/>
      <c r="AK243" s="56"/>
      <c r="AL243" s="56"/>
      <c r="AM243" s="106" t="str">
        <f>IF([4]回答表!AD46="○",[4]回答表!B402,"")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IF([4]回答表!X47="○","○","")</f>
        <v/>
      </c>
      <c r="O254" s="98"/>
      <c r="P254" s="98"/>
      <c r="Q254" s="99"/>
      <c r="R254" s="39"/>
      <c r="S254" s="39"/>
      <c r="T254" s="39"/>
      <c r="U254" s="106" t="str">
        <f>IF([4]回答表!X47="○",[4]回答表!B414,IF([4]回答表!AA47="○",[4]回答表!B431,""))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IF([4]回答表!X47="○",[4]回答表!B424,IF([4]回答表!AA47="○",[4]回答表!B441,""))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IF([4]回答表!X47="○",[4]回答表!G420,IF([4]回答表!AA47="○",[4]回答表!G437,""))</f>
        <v/>
      </c>
      <c r="AN256" s="119"/>
      <c r="AO256" s="119"/>
      <c r="AP256" s="119"/>
      <c r="AQ256" s="119"/>
      <c r="AR256" s="119"/>
      <c r="AS256" s="119"/>
      <c r="AT256" s="120"/>
      <c r="AU256" s="118" t="str">
        <f>IF([4]回答表!X47="○",[4]回答表!G421,IF([4]回答表!AA47="○",[4]回答表!G438,""))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IF([4]回答表!X47="○",[4]回答表!E424,IF([4]回答表!AA47="○",[4]回答表!E441,""))</f>
        <v/>
      </c>
      <c r="BF257" s="83"/>
      <c r="BG257" s="83"/>
      <c r="BH257" s="83"/>
      <c r="BI257" s="82" t="str">
        <f>IF([4]回答表!X47="○",[4]回答表!E425,IF([4]回答表!AA47="○",[4]回答表!E442,""))</f>
        <v/>
      </c>
      <c r="BJ257" s="83"/>
      <c r="BK257" s="83"/>
      <c r="BL257" s="86"/>
      <c r="BM257" s="82" t="str">
        <f>IF([4]回答表!X47="○",[4]回答表!E426,IF([4]回答表!AA47="○",[4]回答表!E443,""))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IF([4]回答表!AD47="○","○","")</f>
        <v/>
      </c>
      <c r="O266" s="98"/>
      <c r="P266" s="98"/>
      <c r="Q266" s="99"/>
      <c r="R266" s="39"/>
      <c r="S266" s="39"/>
      <c r="T266" s="39"/>
      <c r="U266" s="106" t="str">
        <f>IF([4]回答表!AD47="○",[4]回答表!B448,"")</f>
        <v/>
      </c>
      <c r="V266" s="107"/>
      <c r="W266" s="107"/>
      <c r="X266" s="107"/>
      <c r="Y266" s="107"/>
      <c r="Z266" s="107"/>
      <c r="AA266" s="107"/>
      <c r="AB266" s="107"/>
      <c r="AC266" s="107"/>
      <c r="AD266" s="107"/>
      <c r="AE266" s="107"/>
      <c r="AF266" s="107"/>
      <c r="AG266" s="107"/>
      <c r="AH266" s="107"/>
      <c r="AI266" s="107"/>
      <c r="AJ266" s="108"/>
      <c r="AK266" s="50"/>
      <c r="AL266" s="50"/>
      <c r="AM266" s="106" t="str">
        <f>IF([4]回答表!AD47="○",[4]回答表!B454,"")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IF([4]回答表!R48="○",[4]回答表!B467,"")</f>
        <v>民営化や民間活用等については、知見やノウハウ不足により検討までに至らなく、広域化については、地形的な問題等抱えており、資本的な面でも今後の人口減少等収入の減が見込まれる中で現実的ではないと思われます。</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水道</vt:lpstr>
      <vt:lpstr>簡易水道</vt:lpstr>
      <vt:lpstr>病院</vt:lpstr>
      <vt:lpstr>観光</vt:lpstr>
      <vt:lpstr>下水道（公共下水道）</vt:lpstr>
      <vt:lpstr>下水道（特定環境保全公共下水道）</vt:lpstr>
      <vt:lpstr>下水道（農業集落排水施設）</vt:lpstr>
      <vt:lpstr>下水道（林業集落排水施設）</vt:lpstr>
      <vt:lpstr>下水道（特定地域排水処理施設）</vt:lpstr>
      <vt:lpstr>下水道（個別排水処理施設）</vt:lpstr>
      <vt:lpstr>介護サービス（介護老人保健施設）</vt:lpstr>
      <vt:lpstr>介護サービス（指定介護老人福祉施設）</vt:lpstr>
      <vt:lpstr>介護サービス（老人短期入所施設）</vt:lpstr>
      <vt:lpstr>介護サービス（老人デイサービスセンター）</vt:lpstr>
      <vt:lpstr>'下水道（個別排水処理施設）'!Print_Area</vt:lpstr>
      <vt:lpstr>'下水道（公共下水道）'!Print_Area</vt:lpstr>
      <vt:lpstr>'下水道（特定環境保全公共下水道）'!Print_Area</vt:lpstr>
      <vt:lpstr>'下水道（特定地域排水処理施設）'!Print_Area</vt:lpstr>
      <vt:lpstr>'下水道（農業集落排水施設）'!Print_Area</vt:lpstr>
      <vt:lpstr>'下水道（林業集落排水施設）'!Print_Area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2020-11-16T07:35:54Z</cp:lastPrinted>
  <dcterms:created xsi:type="dcterms:W3CDTF">2015-06-05T18:17:20Z</dcterms:created>
  <dcterms:modified xsi:type="dcterms:W3CDTF">2020-11-17T07:00:58Z</dcterms:modified>
</cp:coreProperties>
</file>