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10.18.11.9\home\02koueikigyo\02 業務\01 共通業務\03 各種調査・照会\07 経営総点検調査・抜本的改革取組状況調査\R02年度作業\01 抜本的な改革の取組状況調査\07 公開用ファイル\"/>
    </mc:Choice>
  </mc:AlternateContent>
  <xr:revisionPtr revIDLastSave="0" documentId="13_ncr:1_{ACD9FF8A-11BA-474F-A605-9BD668D58CFA}" xr6:coauthVersionLast="45" xr6:coauthVersionMax="45" xr10:uidLastSave="{00000000-0000-0000-0000-000000000000}"/>
  <bookViews>
    <workbookView xWindow="-120" yWindow="-120" windowWidth="29040" windowHeight="15840" tabRatio="781" firstSheet="7" activeTab="14" xr2:uid="{00000000-000D-0000-FFFF-FFFF00000000}"/>
  </bookViews>
  <sheets>
    <sheet name="水道" sheetId="11" r:id="rId1"/>
    <sheet name="簡易水道" sheetId="9" r:id="rId2"/>
    <sheet name="病院" sheetId="12" r:id="rId3"/>
    <sheet name="下水道（公共下水道）" sheetId="2" r:id="rId4"/>
    <sheet name="下水道（特定環境保全公共下水道）" sheetId="6" r:id="rId5"/>
    <sheet name="下水道（農業集落排水施設）" sheetId="8" r:id="rId6"/>
    <sheet name="下水道（特定地域排水処理施設）" sheetId="7" r:id="rId7"/>
    <sheet name="電気（太陽光）" sheetId="4" r:id="rId8"/>
    <sheet name="電気（小水力）" sheetId="3" r:id="rId9"/>
    <sheet name="観光" sheetId="10" r:id="rId10"/>
    <sheet name="宅地造成" sheetId="5" r:id="rId11"/>
    <sheet name="介護サービス（指定介護老人福祉施設）" sheetId="14" r:id="rId12"/>
    <sheet name="介護サービス（介護老人保健施設）" sheetId="13" r:id="rId13"/>
    <sheet name="介護サービス（老人短期入所施設）" sheetId="16" r:id="rId14"/>
    <sheet name="介護サービス（老人デイサービスセンター）"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Print_Area" localSheetId="3">'下水道（公共下水道）'!$A$1:$BR$298</definedName>
    <definedName name="_xlnm.Print_Area" localSheetId="4">'下水道（特定環境保全公共下水道）'!$A$1:$BR$298</definedName>
    <definedName name="_xlnm.Print_Area" localSheetId="6">'下水道（特定地域排水処理施設）'!$A$1:$BR$298</definedName>
    <definedName name="_xlnm.Print_Area" localSheetId="5">'下水道（農業集落排水施設）'!$A$1:$BR$298</definedName>
    <definedName name="_xlnm.Print_Area" localSheetId="12">'介護サービス（介護老人保健施設）'!$A$1:$BR$298</definedName>
    <definedName name="_xlnm.Print_Area" localSheetId="11">'介護サービス（指定介護老人福祉施設）'!$A$1:$BR$298</definedName>
    <definedName name="_xlnm.Print_Area" localSheetId="14">'介護サービス（老人デイサービスセンター）'!$A$1:$BR$298</definedName>
    <definedName name="_xlnm.Print_Area" localSheetId="13">'介護サービス（老人短期入所施設）'!$A$1:$BR$298</definedName>
    <definedName name="_xlnm.Print_Area" localSheetId="1">簡易水道!$A$1:$BR$298</definedName>
    <definedName name="_xlnm.Print_Area" localSheetId="9">観光!$A$1:$BR$298</definedName>
    <definedName name="_xlnm.Print_Area" localSheetId="0">水道!$A$1:$BR$298</definedName>
    <definedName name="_xlnm.Print_Area" localSheetId="10">宅地造成!$A$1:$BR$298</definedName>
    <definedName name="_xlnm.Print_Area" localSheetId="8">'電気（小水力）'!$A$1:$BR$298</definedName>
    <definedName name="_xlnm.Print_Area" localSheetId="7">'電気（太陽光）'!$A$1:$BR$298</definedName>
    <definedName name="_xlnm.Print_Area" localSheetId="2">病院!$A$1:$BR$298</definedName>
    <definedName name="業種名" localSheetId="4">[1]選択肢!$K$2:$K$19</definedName>
    <definedName name="業種名" localSheetId="6">[2]選択肢!$K$2:$K$19</definedName>
    <definedName name="業種名" localSheetId="5">[3]選択肢!$K$2:$K$19</definedName>
    <definedName name="業種名" localSheetId="12">[7]選択肢!$K$2:$K$19</definedName>
    <definedName name="業種名" localSheetId="11">[5]選択肢!$K$2:$K$19</definedName>
    <definedName name="業種名" localSheetId="14">[4]選択肢!$K$2:$K$19</definedName>
    <definedName name="業種名" localSheetId="13">[6]選択肢!$K$2:$K$19</definedName>
    <definedName name="業種名" localSheetId="1">[8]選択肢!$K$2:$K$19</definedName>
    <definedName name="業種名" localSheetId="9">[9]選択肢!$K$2:$K$19</definedName>
    <definedName name="業種名" localSheetId="0">[10]選択肢!$K$2:$K$19</definedName>
    <definedName name="業種名" localSheetId="10">[11]選択肢!$K$2:$K$19</definedName>
    <definedName name="業種名" localSheetId="8">[12]選択肢!$K$2:$K$19</definedName>
    <definedName name="業種名" localSheetId="7">[13]選択肢!$K$2:$K$19</definedName>
    <definedName name="業種名" localSheetId="2">[14]選択肢!$K$2:$K$19</definedName>
    <definedName name="業種名">[15]選択肢!$K$2:$K$19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16" l="1"/>
  <c r="U11" i="16"/>
  <c r="AO11" i="16"/>
  <c r="BF11" i="16"/>
  <c r="D24" i="16"/>
  <c r="K24" i="16"/>
  <c r="R24" i="16"/>
  <c r="Y24" i="16"/>
  <c r="AF24" i="16"/>
  <c r="AM24" i="16"/>
  <c r="AT24" i="16"/>
  <c r="BB24" i="16"/>
  <c r="N36" i="16"/>
  <c r="U36" i="16"/>
  <c r="BE36" i="16"/>
  <c r="AM38" i="16"/>
  <c r="AU38" i="16"/>
  <c r="BE39" i="16"/>
  <c r="BI39" i="16"/>
  <c r="BM39" i="16"/>
  <c r="AM42" i="16"/>
  <c r="AM43" i="16"/>
  <c r="N44" i="16"/>
  <c r="AM44" i="16"/>
  <c r="AM45" i="16"/>
  <c r="AM46" i="16"/>
  <c r="AM47" i="16"/>
  <c r="AM48" i="16"/>
  <c r="N52" i="16"/>
  <c r="U52" i="16"/>
  <c r="AM52" i="16"/>
  <c r="N63" i="16"/>
  <c r="U63" i="16"/>
  <c r="BE63" i="16"/>
  <c r="AM66" i="16"/>
  <c r="AU66" i="16"/>
  <c r="BE66" i="16"/>
  <c r="BI66" i="16"/>
  <c r="BM66" i="16"/>
  <c r="N69" i="16"/>
  <c r="N75" i="16"/>
  <c r="U75" i="16"/>
  <c r="AM75" i="16"/>
  <c r="N87" i="16"/>
  <c r="AM87" i="16"/>
  <c r="BE87" i="16"/>
  <c r="U89" i="16"/>
  <c r="AC89" i="16"/>
  <c r="BE90" i="16"/>
  <c r="BI90" i="16"/>
  <c r="BM90" i="16"/>
  <c r="N93" i="16"/>
  <c r="U94" i="16"/>
  <c r="AC94" i="16"/>
  <c r="N99" i="16"/>
  <c r="U99" i="16"/>
  <c r="AM99" i="16"/>
  <c r="N111" i="16"/>
  <c r="AM111" i="16"/>
  <c r="BE111" i="16"/>
  <c r="U113" i="16"/>
  <c r="BE114" i="16"/>
  <c r="BI114" i="16"/>
  <c r="BM114" i="16"/>
  <c r="N117" i="16"/>
  <c r="U118" i="16"/>
  <c r="N123" i="16"/>
  <c r="U123" i="16"/>
  <c r="AM123" i="16"/>
  <c r="N135" i="16"/>
  <c r="AM135" i="16"/>
  <c r="BE135" i="16"/>
  <c r="U137" i="16"/>
  <c r="AC137" i="16"/>
  <c r="BE138" i="16"/>
  <c r="BI138" i="16"/>
  <c r="BM138" i="16"/>
  <c r="N141" i="16"/>
  <c r="U142" i="16"/>
  <c r="AC142" i="16"/>
  <c r="N147" i="16"/>
  <c r="U147" i="16"/>
  <c r="AM147" i="16"/>
  <c r="N159" i="16"/>
  <c r="U159" i="16"/>
  <c r="AM159" i="16"/>
  <c r="AM162" i="16"/>
  <c r="AQ162" i="16"/>
  <c r="AU162" i="16"/>
  <c r="N165" i="16"/>
  <c r="N171" i="16"/>
  <c r="U171" i="16"/>
  <c r="AM171" i="16"/>
  <c r="N183" i="16"/>
  <c r="U183" i="16"/>
  <c r="BE183" i="16"/>
  <c r="AM186" i="16"/>
  <c r="AU186" i="16"/>
  <c r="BE186" i="16"/>
  <c r="BI186" i="16"/>
  <c r="BM186" i="16"/>
  <c r="N189" i="16"/>
  <c r="N195" i="16"/>
  <c r="U195" i="16"/>
  <c r="AM195" i="16"/>
  <c r="N207" i="16"/>
  <c r="U207" i="16"/>
  <c r="AN207" i="16"/>
  <c r="BE207" i="16"/>
  <c r="BE210" i="16"/>
  <c r="BI210" i="16"/>
  <c r="BM210" i="16"/>
  <c r="N213" i="16"/>
  <c r="N219" i="16"/>
  <c r="U219" i="16"/>
  <c r="AM219" i="16"/>
  <c r="N231" i="16"/>
  <c r="U231" i="16"/>
  <c r="AQ231" i="16"/>
  <c r="AY231" i="16"/>
  <c r="BE231" i="16"/>
  <c r="AQ233" i="16"/>
  <c r="BE234" i="16"/>
  <c r="BI234" i="16"/>
  <c r="BM234" i="16"/>
  <c r="AQ235" i="16"/>
  <c r="AY236" i="16"/>
  <c r="N237" i="16"/>
  <c r="AQ237" i="16"/>
  <c r="AQ239" i="16"/>
  <c r="N243" i="16"/>
  <c r="U243" i="16"/>
  <c r="AM243" i="16"/>
  <c r="N254" i="16"/>
  <c r="U254" i="16"/>
  <c r="BE254" i="16"/>
  <c r="AM256" i="16"/>
  <c r="AU256" i="16"/>
  <c r="BE257" i="16"/>
  <c r="BI257" i="16"/>
  <c r="BM257" i="16"/>
  <c r="N260" i="16"/>
  <c r="N266" i="16"/>
  <c r="U266" i="16"/>
  <c r="AM266" i="16"/>
  <c r="D279" i="16"/>
  <c r="D279" i="15" l="1"/>
  <c r="AM266" i="15"/>
  <c r="U266" i="15"/>
  <c r="N266" i="15"/>
  <c r="N260" i="15"/>
  <c r="BM257" i="15"/>
  <c r="BI257" i="15"/>
  <c r="BE257" i="15"/>
  <c r="AU256" i="15"/>
  <c r="AM256" i="15"/>
  <c r="BE254" i="15"/>
  <c r="U254" i="15"/>
  <c r="N254" i="15"/>
  <c r="AM243" i="15"/>
  <c r="U243" i="15"/>
  <c r="N243" i="15"/>
  <c r="AQ239" i="15"/>
  <c r="AQ237" i="15"/>
  <c r="N237" i="15"/>
  <c r="AY236" i="15"/>
  <c r="AQ235" i="15"/>
  <c r="BM234" i="15"/>
  <c r="BI234" i="15"/>
  <c r="BE234" i="15"/>
  <c r="AQ233" i="15"/>
  <c r="BE231" i="15"/>
  <c r="AY231" i="15"/>
  <c r="AQ231" i="15"/>
  <c r="U231" i="15"/>
  <c r="N231" i="15"/>
  <c r="AM219" i="15"/>
  <c r="U219" i="15"/>
  <c r="N219" i="15"/>
  <c r="N213" i="15"/>
  <c r="BM210" i="15"/>
  <c r="BI210" i="15"/>
  <c r="BE210" i="15"/>
  <c r="BE207" i="15"/>
  <c r="AN207" i="15"/>
  <c r="U207" i="15"/>
  <c r="N207" i="15"/>
  <c r="AM195" i="15"/>
  <c r="U195" i="15"/>
  <c r="N195" i="15"/>
  <c r="N189" i="15"/>
  <c r="BM186" i="15"/>
  <c r="BI186" i="15"/>
  <c r="BE186" i="15"/>
  <c r="AU186" i="15"/>
  <c r="AM186" i="15"/>
  <c r="BE183" i="15"/>
  <c r="U183" i="15"/>
  <c r="N183" i="15"/>
  <c r="AM171" i="15"/>
  <c r="U171" i="15"/>
  <c r="N171" i="15"/>
  <c r="N165" i="15"/>
  <c r="AU162" i="15"/>
  <c r="AQ162" i="15"/>
  <c r="AM162" i="15"/>
  <c r="AM159" i="15"/>
  <c r="U159" i="15"/>
  <c r="N159" i="15"/>
  <c r="AM147" i="15"/>
  <c r="U147" i="15"/>
  <c r="N147" i="15"/>
  <c r="AC142" i="15"/>
  <c r="U142" i="15"/>
  <c r="N141" i="15"/>
  <c r="BM138" i="15"/>
  <c r="BI138" i="15"/>
  <c r="BE138" i="15"/>
  <c r="AC137" i="15"/>
  <c r="U137" i="15"/>
  <c r="BE135" i="15"/>
  <c r="AM135" i="15"/>
  <c r="N135" i="15"/>
  <c r="AM123" i="15"/>
  <c r="U123" i="15"/>
  <c r="N123" i="15"/>
  <c r="U118" i="15"/>
  <c r="N117" i="15"/>
  <c r="BM114" i="15"/>
  <c r="BI114" i="15"/>
  <c r="BE114" i="15"/>
  <c r="U113" i="15"/>
  <c r="BE111" i="15"/>
  <c r="AM111" i="15"/>
  <c r="N111" i="15"/>
  <c r="AM99" i="15"/>
  <c r="U99" i="15"/>
  <c r="N99" i="15"/>
  <c r="AC94" i="15"/>
  <c r="U94" i="15"/>
  <c r="N93" i="15"/>
  <c r="BM90" i="15"/>
  <c r="BI90" i="15"/>
  <c r="BE90" i="15"/>
  <c r="AC89" i="15"/>
  <c r="U89" i="15"/>
  <c r="BE87" i="15"/>
  <c r="AM87" i="15"/>
  <c r="N87" i="15"/>
  <c r="AM75" i="15"/>
  <c r="U75" i="15"/>
  <c r="N75" i="15"/>
  <c r="N69" i="15"/>
  <c r="BM66" i="15"/>
  <c r="BI66" i="15"/>
  <c r="BE66" i="15"/>
  <c r="AU66" i="15"/>
  <c r="AM66" i="15"/>
  <c r="BE63" i="15"/>
  <c r="U63" i="15"/>
  <c r="N63" i="15"/>
  <c r="AM52" i="15"/>
  <c r="U52" i="15"/>
  <c r="N52" i="15"/>
  <c r="AM48" i="15"/>
  <c r="AM47" i="15"/>
  <c r="AM46" i="15"/>
  <c r="AM45" i="15"/>
  <c r="AM44" i="15"/>
  <c r="N44" i="15"/>
  <c r="AM43" i="15"/>
  <c r="AM42" i="15"/>
  <c r="BM39" i="15"/>
  <c r="BI39" i="15"/>
  <c r="BE39" i="15"/>
  <c r="AU38" i="15"/>
  <c r="AM38" i="15"/>
  <c r="BE36" i="15"/>
  <c r="U36" i="15"/>
  <c r="N36" i="15"/>
  <c r="BB24" i="15"/>
  <c r="AT24" i="15"/>
  <c r="AM24" i="15"/>
  <c r="AF24" i="15"/>
  <c r="Y24" i="15"/>
  <c r="R24" i="15"/>
  <c r="K24" i="15"/>
  <c r="D24" i="15"/>
  <c r="BF11" i="15"/>
  <c r="AO11" i="15"/>
  <c r="U11" i="15"/>
  <c r="C11" i="15"/>
  <c r="C11" i="14" l="1"/>
  <c r="U11" i="14"/>
  <c r="AO11" i="14"/>
  <c r="BF11" i="14"/>
  <c r="D24" i="14"/>
  <c r="K24" i="14"/>
  <c r="R24" i="14"/>
  <c r="Y24" i="14"/>
  <c r="AF24" i="14"/>
  <c r="AM24" i="14"/>
  <c r="AT24" i="14"/>
  <c r="BB24" i="14"/>
  <c r="N36" i="14"/>
  <c r="U36" i="14"/>
  <c r="BE36" i="14"/>
  <c r="AM38" i="14"/>
  <c r="AU38" i="14"/>
  <c r="BE39" i="14"/>
  <c r="BI39" i="14"/>
  <c r="BM39" i="14"/>
  <c r="AM42" i="14"/>
  <c r="AM43" i="14"/>
  <c r="N44" i="14"/>
  <c r="AM44" i="14"/>
  <c r="AM45" i="14"/>
  <c r="AM46" i="14"/>
  <c r="AM47" i="14"/>
  <c r="AM48" i="14"/>
  <c r="N52" i="14"/>
  <c r="U52" i="14"/>
  <c r="AM52" i="14"/>
  <c r="N63" i="14"/>
  <c r="U63" i="14"/>
  <c r="BE63" i="14"/>
  <c r="AM66" i="14"/>
  <c r="AU66" i="14"/>
  <c r="BE66" i="14"/>
  <c r="BI66" i="14"/>
  <c r="BM66" i="14"/>
  <c r="N69" i="14"/>
  <c r="N75" i="14"/>
  <c r="U75" i="14"/>
  <c r="AM75" i="14"/>
  <c r="N87" i="14"/>
  <c r="AM87" i="14"/>
  <c r="BE87" i="14"/>
  <c r="U89" i="14"/>
  <c r="AC89" i="14"/>
  <c r="BE90" i="14"/>
  <c r="BI90" i="14"/>
  <c r="BM90" i="14"/>
  <c r="N93" i="14"/>
  <c r="U94" i="14"/>
  <c r="AC94" i="14"/>
  <c r="N99" i="14"/>
  <c r="U99" i="14"/>
  <c r="AM99" i="14"/>
  <c r="N111" i="14"/>
  <c r="AM111" i="14"/>
  <c r="BE111" i="14"/>
  <c r="U113" i="14"/>
  <c r="BE114" i="14"/>
  <c r="BI114" i="14"/>
  <c r="BM114" i="14"/>
  <c r="N117" i="14"/>
  <c r="U118" i="14"/>
  <c r="N123" i="14"/>
  <c r="U123" i="14"/>
  <c r="AM123" i="14"/>
  <c r="N135" i="14"/>
  <c r="AM135" i="14"/>
  <c r="BE135" i="14"/>
  <c r="U137" i="14"/>
  <c r="AC137" i="14"/>
  <c r="BE138" i="14"/>
  <c r="BI138" i="14"/>
  <c r="BM138" i="14"/>
  <c r="N141" i="14"/>
  <c r="U142" i="14"/>
  <c r="AC142" i="14"/>
  <c r="N147" i="14"/>
  <c r="U147" i="14"/>
  <c r="AM147" i="14"/>
  <c r="N159" i="14"/>
  <c r="U159" i="14"/>
  <c r="AM159" i="14"/>
  <c r="AM162" i="14"/>
  <c r="AQ162" i="14"/>
  <c r="AU162" i="14"/>
  <c r="N165" i="14"/>
  <c r="N171" i="14"/>
  <c r="U171" i="14"/>
  <c r="AM171" i="14"/>
  <c r="N183" i="14"/>
  <c r="U183" i="14"/>
  <c r="BE183" i="14"/>
  <c r="AM186" i="14"/>
  <c r="AU186" i="14"/>
  <c r="BE186" i="14"/>
  <c r="BI186" i="14"/>
  <c r="BM186" i="14"/>
  <c r="N189" i="14"/>
  <c r="N195" i="14"/>
  <c r="U195" i="14"/>
  <c r="AM195" i="14"/>
  <c r="N207" i="14"/>
  <c r="U207" i="14"/>
  <c r="AN207" i="14"/>
  <c r="BE207" i="14"/>
  <c r="BE210" i="14"/>
  <c r="BI210" i="14"/>
  <c r="BM210" i="14"/>
  <c r="N213" i="14"/>
  <c r="N219" i="14"/>
  <c r="U219" i="14"/>
  <c r="AM219" i="14"/>
  <c r="N231" i="14"/>
  <c r="U231" i="14"/>
  <c r="AQ231" i="14"/>
  <c r="AY231" i="14"/>
  <c r="BE231" i="14"/>
  <c r="AQ233" i="14"/>
  <c r="BE234" i="14"/>
  <c r="BI234" i="14"/>
  <c r="BM234" i="14"/>
  <c r="AQ235" i="14"/>
  <c r="AY236" i="14"/>
  <c r="N237" i="14"/>
  <c r="AQ237" i="14"/>
  <c r="AQ239" i="14"/>
  <c r="N243" i="14"/>
  <c r="U243" i="14"/>
  <c r="AM243" i="14"/>
  <c r="N254" i="14"/>
  <c r="U254" i="14"/>
  <c r="BE254" i="14"/>
  <c r="AM256" i="14"/>
  <c r="AU256" i="14"/>
  <c r="BE257" i="14"/>
  <c r="BI257" i="14"/>
  <c r="BM257" i="14"/>
  <c r="N260" i="14"/>
  <c r="N266" i="14"/>
  <c r="U266" i="14"/>
  <c r="AM266" i="14"/>
  <c r="D279" i="14"/>
  <c r="C11" i="13" l="1"/>
  <c r="U11" i="13"/>
  <c r="AO11" i="13"/>
  <c r="BF11" i="13"/>
  <c r="D24" i="13"/>
  <c r="K24" i="13"/>
  <c r="R24" i="13"/>
  <c r="Y24" i="13"/>
  <c r="AF24" i="13"/>
  <c r="AM24" i="13"/>
  <c r="AT24" i="13"/>
  <c r="BB24" i="13"/>
  <c r="N36" i="13"/>
  <c r="U36" i="13"/>
  <c r="BE36" i="13"/>
  <c r="AM38" i="13"/>
  <c r="AU38" i="13"/>
  <c r="BE39" i="13"/>
  <c r="BI39" i="13"/>
  <c r="BM39" i="13"/>
  <c r="AM42" i="13"/>
  <c r="AM43" i="13"/>
  <c r="N44" i="13"/>
  <c r="AM44" i="13"/>
  <c r="AM45" i="13"/>
  <c r="AM46" i="13"/>
  <c r="AM47" i="13"/>
  <c r="AM48" i="13"/>
  <c r="N52" i="13"/>
  <c r="U52" i="13"/>
  <c r="AM52" i="13"/>
  <c r="N63" i="13"/>
  <c r="U63" i="13"/>
  <c r="BE63" i="13"/>
  <c r="AM66" i="13"/>
  <c r="AU66" i="13"/>
  <c r="BE66" i="13"/>
  <c r="BI66" i="13"/>
  <c r="BM66" i="13"/>
  <c r="N69" i="13"/>
  <c r="N75" i="13"/>
  <c r="U75" i="13"/>
  <c r="AM75" i="13"/>
  <c r="N87" i="13"/>
  <c r="AM87" i="13"/>
  <c r="BE87" i="13"/>
  <c r="U89" i="13"/>
  <c r="AC89" i="13"/>
  <c r="BE90" i="13"/>
  <c r="BI90" i="13"/>
  <c r="BM90" i="13"/>
  <c r="N93" i="13"/>
  <c r="U94" i="13"/>
  <c r="AC94" i="13"/>
  <c r="N99" i="13"/>
  <c r="U99" i="13"/>
  <c r="AM99" i="13"/>
  <c r="N111" i="13"/>
  <c r="AM111" i="13"/>
  <c r="BE111" i="13"/>
  <c r="U113" i="13"/>
  <c r="BE114" i="13"/>
  <c r="BI114" i="13"/>
  <c r="BM114" i="13"/>
  <c r="N117" i="13"/>
  <c r="U118" i="13"/>
  <c r="N123" i="13"/>
  <c r="U123" i="13"/>
  <c r="AM123" i="13"/>
  <c r="N135" i="13"/>
  <c r="AM135" i="13"/>
  <c r="BE135" i="13"/>
  <c r="U137" i="13"/>
  <c r="AC137" i="13"/>
  <c r="BE138" i="13"/>
  <c r="BI138" i="13"/>
  <c r="BM138" i="13"/>
  <c r="N141" i="13"/>
  <c r="U142" i="13"/>
  <c r="AC142" i="13"/>
  <c r="N147" i="13"/>
  <c r="U147" i="13"/>
  <c r="AM147" i="13"/>
  <c r="N159" i="13"/>
  <c r="U159" i="13"/>
  <c r="AM159" i="13"/>
  <c r="AM162" i="13"/>
  <c r="AQ162" i="13"/>
  <c r="AU162" i="13"/>
  <c r="N165" i="13"/>
  <c r="N171" i="13"/>
  <c r="U171" i="13"/>
  <c r="AM171" i="13"/>
  <c r="N183" i="13"/>
  <c r="U183" i="13"/>
  <c r="BE183" i="13"/>
  <c r="AM186" i="13"/>
  <c r="AU186" i="13"/>
  <c r="BE186" i="13"/>
  <c r="BI186" i="13"/>
  <c r="BM186" i="13"/>
  <c r="N189" i="13"/>
  <c r="N195" i="13"/>
  <c r="U195" i="13"/>
  <c r="AM195" i="13"/>
  <c r="N207" i="13"/>
  <c r="U207" i="13"/>
  <c r="AN207" i="13"/>
  <c r="BE207" i="13"/>
  <c r="BE210" i="13"/>
  <c r="BI210" i="13"/>
  <c r="BM210" i="13"/>
  <c r="N213" i="13"/>
  <c r="N219" i="13"/>
  <c r="U219" i="13"/>
  <c r="AM219" i="13"/>
  <c r="N231" i="13"/>
  <c r="U231" i="13"/>
  <c r="AQ231" i="13"/>
  <c r="AY231" i="13"/>
  <c r="BE231" i="13"/>
  <c r="AQ233" i="13"/>
  <c r="BE234" i="13"/>
  <c r="BI234" i="13"/>
  <c r="BM234" i="13"/>
  <c r="AQ235" i="13"/>
  <c r="AY236" i="13"/>
  <c r="N237" i="13"/>
  <c r="AQ237" i="13"/>
  <c r="AQ239" i="13"/>
  <c r="N243" i="13"/>
  <c r="U243" i="13"/>
  <c r="AM243" i="13"/>
  <c r="N254" i="13"/>
  <c r="U254" i="13"/>
  <c r="BE254" i="13"/>
  <c r="AM256" i="13"/>
  <c r="AU256" i="13"/>
  <c r="BE257" i="13"/>
  <c r="BI257" i="13"/>
  <c r="BM257" i="13"/>
  <c r="N260" i="13"/>
  <c r="N266" i="13"/>
  <c r="U266" i="13"/>
  <c r="AM266" i="13"/>
  <c r="D279" i="13"/>
  <c r="D279" i="12" l="1"/>
  <c r="AM266" i="12"/>
  <c r="U266" i="12"/>
  <c r="N266" i="12"/>
  <c r="N260" i="12"/>
  <c r="BM257" i="12"/>
  <c r="BI257" i="12"/>
  <c r="BE257" i="12"/>
  <c r="AU256" i="12"/>
  <c r="AM256" i="12"/>
  <c r="BE254" i="12"/>
  <c r="U254" i="12"/>
  <c r="N254" i="12"/>
  <c r="AM243" i="12"/>
  <c r="U243" i="12"/>
  <c r="N243" i="12"/>
  <c r="AQ239" i="12"/>
  <c r="AQ237" i="12"/>
  <c r="N237" i="12"/>
  <c r="AY236" i="12"/>
  <c r="AQ235" i="12"/>
  <c r="BM234" i="12"/>
  <c r="BI234" i="12"/>
  <c r="BE234" i="12"/>
  <c r="AQ233" i="12"/>
  <c r="BE231" i="12"/>
  <c r="AY231" i="12"/>
  <c r="AQ231" i="12"/>
  <c r="U231" i="12"/>
  <c r="N231" i="12"/>
  <c r="AM219" i="12"/>
  <c r="U219" i="12"/>
  <c r="N219" i="12"/>
  <c r="N213" i="12"/>
  <c r="BM210" i="12"/>
  <c r="BI210" i="12"/>
  <c r="BE210" i="12"/>
  <c r="BE207" i="12"/>
  <c r="AN207" i="12"/>
  <c r="U207" i="12"/>
  <c r="N207" i="12"/>
  <c r="AM195" i="12"/>
  <c r="U195" i="12"/>
  <c r="N195" i="12"/>
  <c r="N189" i="12"/>
  <c r="BM186" i="12"/>
  <c r="BI186" i="12"/>
  <c r="BE186" i="12"/>
  <c r="AU186" i="12"/>
  <c r="AM186" i="12"/>
  <c r="BE183" i="12"/>
  <c r="U183" i="12"/>
  <c r="N183" i="12"/>
  <c r="AM171" i="12"/>
  <c r="U171" i="12"/>
  <c r="N171" i="12"/>
  <c r="N165" i="12"/>
  <c r="AU162" i="12"/>
  <c r="AQ162" i="12"/>
  <c r="AM162" i="12"/>
  <c r="AM159" i="12"/>
  <c r="U159" i="12"/>
  <c r="N159" i="12"/>
  <c r="AM147" i="12"/>
  <c r="U147" i="12"/>
  <c r="N147" i="12"/>
  <c r="AC142" i="12"/>
  <c r="U142" i="12"/>
  <c r="N141" i="12"/>
  <c r="BM138" i="12"/>
  <c r="BI138" i="12"/>
  <c r="BE138" i="12"/>
  <c r="AC137" i="12"/>
  <c r="U137" i="12"/>
  <c r="BE135" i="12"/>
  <c r="AM135" i="12"/>
  <c r="N135" i="12"/>
  <c r="AM123" i="12"/>
  <c r="U123" i="12"/>
  <c r="N123" i="12"/>
  <c r="U118" i="12"/>
  <c r="N117" i="12"/>
  <c r="BM114" i="12"/>
  <c r="BI114" i="12"/>
  <c r="BE114" i="12"/>
  <c r="U113" i="12"/>
  <c r="BE111" i="12"/>
  <c r="AM111" i="12"/>
  <c r="N111" i="12"/>
  <c r="AM99" i="12"/>
  <c r="U99" i="12"/>
  <c r="N99" i="12"/>
  <c r="AC94" i="12"/>
  <c r="U94" i="12"/>
  <c r="N93" i="12"/>
  <c r="BM90" i="12"/>
  <c r="BI90" i="12"/>
  <c r="BE90" i="12"/>
  <c r="AC89" i="12"/>
  <c r="U89" i="12"/>
  <c r="BE87" i="12"/>
  <c r="AM87" i="12"/>
  <c r="N87" i="12"/>
  <c r="AM75" i="12"/>
  <c r="U75" i="12"/>
  <c r="N75" i="12"/>
  <c r="N69" i="12"/>
  <c r="BM66" i="12"/>
  <c r="BI66" i="12"/>
  <c r="BE66" i="12"/>
  <c r="AU66" i="12"/>
  <c r="AM66" i="12"/>
  <c r="BE63" i="12"/>
  <c r="U63" i="12"/>
  <c r="N63" i="12"/>
  <c r="AM52" i="12"/>
  <c r="U52" i="12"/>
  <c r="N52" i="12"/>
  <c r="AM48" i="12"/>
  <c r="AM47" i="12"/>
  <c r="AM46" i="12"/>
  <c r="AM45" i="12"/>
  <c r="AM44" i="12"/>
  <c r="N44" i="12"/>
  <c r="AM43" i="12"/>
  <c r="AM42" i="12"/>
  <c r="BM39" i="12"/>
  <c r="BI39" i="12"/>
  <c r="BE39" i="12"/>
  <c r="AU38" i="12"/>
  <c r="AM38" i="12"/>
  <c r="BE36" i="12"/>
  <c r="U36" i="12"/>
  <c r="N36" i="12"/>
  <c r="BB24" i="12"/>
  <c r="AT24" i="12"/>
  <c r="AM24" i="12"/>
  <c r="AF24" i="12"/>
  <c r="Y24" i="12"/>
  <c r="R24" i="12"/>
  <c r="K24" i="12"/>
  <c r="D24" i="12"/>
  <c r="BF11" i="12"/>
  <c r="AO11" i="12"/>
  <c r="U11" i="12"/>
  <c r="C11" i="12"/>
  <c r="D279" i="11" l="1"/>
  <c r="AM266" i="11"/>
  <c r="U266" i="11"/>
  <c r="N266" i="11"/>
  <c r="N260" i="11"/>
  <c r="BM257" i="11"/>
  <c r="BI257" i="11"/>
  <c r="BE257" i="11"/>
  <c r="AU256" i="11"/>
  <c r="AM256" i="11"/>
  <c r="BE254" i="11"/>
  <c r="U254" i="11"/>
  <c r="N254" i="11"/>
  <c r="AM243" i="11"/>
  <c r="U243" i="11"/>
  <c r="N243" i="11"/>
  <c r="AQ239" i="11"/>
  <c r="AQ237" i="11"/>
  <c r="N237" i="11"/>
  <c r="AY236" i="11"/>
  <c r="AQ235" i="11"/>
  <c r="BM234" i="11"/>
  <c r="BI234" i="11"/>
  <c r="BE234" i="11"/>
  <c r="AQ233" i="11"/>
  <c r="BE231" i="11"/>
  <c r="AY231" i="11"/>
  <c r="AQ231" i="11"/>
  <c r="U231" i="11"/>
  <c r="N231" i="11"/>
  <c r="AM219" i="11"/>
  <c r="U219" i="11"/>
  <c r="N219" i="11"/>
  <c r="N213" i="11"/>
  <c r="BM210" i="11"/>
  <c r="BI210" i="11"/>
  <c r="BE210" i="11"/>
  <c r="BE207" i="11"/>
  <c r="AN207" i="11"/>
  <c r="U207" i="11"/>
  <c r="N207" i="11"/>
  <c r="AM195" i="11"/>
  <c r="U195" i="11"/>
  <c r="N195" i="11"/>
  <c r="N189" i="11"/>
  <c r="BM186" i="11"/>
  <c r="BI186" i="11"/>
  <c r="BE186" i="11"/>
  <c r="AU186" i="11"/>
  <c r="AM186" i="11"/>
  <c r="BE183" i="11"/>
  <c r="U183" i="11"/>
  <c r="N183" i="11"/>
  <c r="AM171" i="11"/>
  <c r="U171" i="11"/>
  <c r="N171" i="11"/>
  <c r="N165" i="11"/>
  <c r="AU162" i="11"/>
  <c r="AQ162" i="11"/>
  <c r="AM162" i="11"/>
  <c r="AM159" i="11"/>
  <c r="U159" i="11"/>
  <c r="N159" i="11"/>
  <c r="AM147" i="11"/>
  <c r="U147" i="11"/>
  <c r="N147" i="11"/>
  <c r="AC142" i="11"/>
  <c r="U142" i="11"/>
  <c r="N141" i="11"/>
  <c r="BM138" i="11"/>
  <c r="BI138" i="11"/>
  <c r="BE138" i="11"/>
  <c r="AC137" i="11"/>
  <c r="U137" i="11"/>
  <c r="BE135" i="11"/>
  <c r="AM135" i="11"/>
  <c r="N135" i="11"/>
  <c r="AM123" i="11"/>
  <c r="U123" i="11"/>
  <c r="N123" i="11"/>
  <c r="U118" i="11"/>
  <c r="N117" i="11"/>
  <c r="BM114" i="11"/>
  <c r="BI114" i="11"/>
  <c r="BE114" i="11"/>
  <c r="U113" i="11"/>
  <c r="BE111" i="11"/>
  <c r="AM111" i="11"/>
  <c r="N111" i="11"/>
  <c r="AM99" i="11"/>
  <c r="U99" i="11"/>
  <c r="N99" i="11"/>
  <c r="AC94" i="11"/>
  <c r="U94" i="11"/>
  <c r="N93" i="11"/>
  <c r="BM90" i="11"/>
  <c r="BI90" i="11"/>
  <c r="BE90" i="11"/>
  <c r="AC89" i="11"/>
  <c r="U89" i="11"/>
  <c r="BE87" i="11"/>
  <c r="AM87" i="11"/>
  <c r="N87" i="11"/>
  <c r="AM75" i="11"/>
  <c r="U75" i="11"/>
  <c r="N75" i="11"/>
  <c r="N69" i="11"/>
  <c r="BM66" i="11"/>
  <c r="BI66" i="11"/>
  <c r="BE66" i="11"/>
  <c r="AU66" i="11"/>
  <c r="AM66" i="11"/>
  <c r="BE63" i="11"/>
  <c r="U63" i="11"/>
  <c r="N63" i="11"/>
  <c r="AM52" i="11"/>
  <c r="U52" i="11"/>
  <c r="N52" i="11"/>
  <c r="AM48" i="11"/>
  <c r="AM47" i="11"/>
  <c r="AM46" i="11"/>
  <c r="AM45" i="11"/>
  <c r="AM44" i="11"/>
  <c r="N44" i="11"/>
  <c r="AM43" i="11"/>
  <c r="AM42" i="11"/>
  <c r="BM39" i="11"/>
  <c r="BI39" i="11"/>
  <c r="BE39" i="11"/>
  <c r="AU38" i="11"/>
  <c r="AM38" i="11"/>
  <c r="BE36" i="11"/>
  <c r="U36" i="11"/>
  <c r="N36" i="11"/>
  <c r="BB24" i="11"/>
  <c r="AT24" i="11"/>
  <c r="AM24" i="11"/>
  <c r="AF24" i="11"/>
  <c r="Y24" i="11"/>
  <c r="R24" i="11"/>
  <c r="K24" i="11"/>
  <c r="D24" i="11"/>
  <c r="BF11" i="11"/>
  <c r="AO11" i="11"/>
  <c r="U11" i="11"/>
  <c r="C11" i="11"/>
  <c r="D279" i="10" l="1"/>
  <c r="AM266" i="10"/>
  <c r="U266" i="10"/>
  <c r="N266" i="10"/>
  <c r="N260" i="10"/>
  <c r="BM257" i="10"/>
  <c r="BI257" i="10"/>
  <c r="BE257" i="10"/>
  <c r="AU256" i="10"/>
  <c r="AM256" i="10"/>
  <c r="BE254" i="10"/>
  <c r="U254" i="10"/>
  <c r="N254" i="10"/>
  <c r="AM243" i="10"/>
  <c r="U243" i="10"/>
  <c r="N243" i="10"/>
  <c r="AQ239" i="10"/>
  <c r="AQ237" i="10"/>
  <c r="N237" i="10"/>
  <c r="AY236" i="10"/>
  <c r="AQ235" i="10"/>
  <c r="BM234" i="10"/>
  <c r="BI234" i="10"/>
  <c r="BE234" i="10"/>
  <c r="AQ233" i="10"/>
  <c r="BE231" i="10"/>
  <c r="AY231" i="10"/>
  <c r="AQ231" i="10"/>
  <c r="U231" i="10"/>
  <c r="N231" i="10"/>
  <c r="AM219" i="10"/>
  <c r="U219" i="10"/>
  <c r="N219" i="10"/>
  <c r="N213" i="10"/>
  <c r="BM210" i="10"/>
  <c r="BI210" i="10"/>
  <c r="BE210" i="10"/>
  <c r="BE207" i="10"/>
  <c r="AN207" i="10"/>
  <c r="U207" i="10"/>
  <c r="N207" i="10"/>
  <c r="AM195" i="10"/>
  <c r="U195" i="10"/>
  <c r="N195" i="10"/>
  <c r="N189" i="10"/>
  <c r="BM186" i="10"/>
  <c r="BI186" i="10"/>
  <c r="BE186" i="10"/>
  <c r="AU186" i="10"/>
  <c r="AM186" i="10"/>
  <c r="BE183" i="10"/>
  <c r="U183" i="10"/>
  <c r="N183" i="10"/>
  <c r="AM171" i="10"/>
  <c r="U171" i="10"/>
  <c r="N171" i="10"/>
  <c r="N165" i="10"/>
  <c r="AU162" i="10"/>
  <c r="AQ162" i="10"/>
  <c r="AM162" i="10"/>
  <c r="AM159" i="10"/>
  <c r="U159" i="10"/>
  <c r="N159" i="10"/>
  <c r="AM147" i="10"/>
  <c r="U147" i="10"/>
  <c r="N147" i="10"/>
  <c r="AC142" i="10"/>
  <c r="U142" i="10"/>
  <c r="N141" i="10"/>
  <c r="BM138" i="10"/>
  <c r="BI138" i="10"/>
  <c r="BE138" i="10"/>
  <c r="AC137" i="10"/>
  <c r="U137" i="10"/>
  <c r="BE135" i="10"/>
  <c r="AM135" i="10"/>
  <c r="N135" i="10"/>
  <c r="AM123" i="10"/>
  <c r="U123" i="10"/>
  <c r="N123" i="10"/>
  <c r="U118" i="10"/>
  <c r="N117" i="10"/>
  <c r="BM114" i="10"/>
  <c r="BI114" i="10"/>
  <c r="BE114" i="10"/>
  <c r="U113" i="10"/>
  <c r="BE111" i="10"/>
  <c r="AM111" i="10"/>
  <c r="N111" i="10"/>
  <c r="AM99" i="10"/>
  <c r="U99" i="10"/>
  <c r="N99" i="10"/>
  <c r="AC94" i="10"/>
  <c r="U94" i="10"/>
  <c r="N93" i="10"/>
  <c r="BM90" i="10"/>
  <c r="BI90" i="10"/>
  <c r="BE90" i="10"/>
  <c r="AC89" i="10"/>
  <c r="U89" i="10"/>
  <c r="BE87" i="10"/>
  <c r="AM87" i="10"/>
  <c r="N87" i="10"/>
  <c r="AM75" i="10"/>
  <c r="U75" i="10"/>
  <c r="N75" i="10"/>
  <c r="N69" i="10"/>
  <c r="BM66" i="10"/>
  <c r="BI66" i="10"/>
  <c r="BE66" i="10"/>
  <c r="AU66" i="10"/>
  <c r="AM66" i="10"/>
  <c r="BE63" i="10"/>
  <c r="U63" i="10"/>
  <c r="N63" i="10"/>
  <c r="AM52" i="10"/>
  <c r="U52" i="10"/>
  <c r="N52" i="10"/>
  <c r="AM48" i="10"/>
  <c r="AM47" i="10"/>
  <c r="AM46" i="10"/>
  <c r="AM45" i="10"/>
  <c r="AM44" i="10"/>
  <c r="N44" i="10"/>
  <c r="AM43" i="10"/>
  <c r="AM42" i="10"/>
  <c r="BM39" i="10"/>
  <c r="BI39" i="10"/>
  <c r="BE39" i="10"/>
  <c r="AU38" i="10"/>
  <c r="AM38" i="10"/>
  <c r="BE36" i="10"/>
  <c r="U36" i="10"/>
  <c r="N36" i="10"/>
  <c r="BB24" i="10"/>
  <c r="AT24" i="10"/>
  <c r="AM24" i="10"/>
  <c r="AF24" i="10"/>
  <c r="Y24" i="10"/>
  <c r="R24" i="10"/>
  <c r="K24" i="10"/>
  <c r="D24" i="10"/>
  <c r="BF11" i="10"/>
  <c r="AO11" i="10"/>
  <c r="U11" i="10"/>
  <c r="C11" i="10"/>
  <c r="D279" i="9" l="1"/>
  <c r="AM266" i="9"/>
  <c r="U266" i="9"/>
  <c r="N266" i="9"/>
  <c r="N260" i="9"/>
  <c r="BM257" i="9"/>
  <c r="BI257" i="9"/>
  <c r="BE257" i="9"/>
  <c r="AU256" i="9"/>
  <c r="AM256" i="9"/>
  <c r="BE254" i="9"/>
  <c r="U254" i="9"/>
  <c r="N254" i="9"/>
  <c r="AM243" i="9"/>
  <c r="U243" i="9"/>
  <c r="N243" i="9"/>
  <c r="AQ239" i="9"/>
  <c r="AQ237" i="9"/>
  <c r="N237" i="9"/>
  <c r="AY236" i="9"/>
  <c r="AQ235" i="9"/>
  <c r="BM234" i="9"/>
  <c r="BI234" i="9"/>
  <c r="BE234" i="9"/>
  <c r="AQ233" i="9"/>
  <c r="BE231" i="9"/>
  <c r="AY231" i="9"/>
  <c r="AQ231" i="9"/>
  <c r="U231" i="9"/>
  <c r="N231" i="9"/>
  <c r="AM219" i="9"/>
  <c r="U219" i="9"/>
  <c r="N219" i="9"/>
  <c r="N213" i="9"/>
  <c r="BM210" i="9"/>
  <c r="BI210" i="9"/>
  <c r="BE210" i="9"/>
  <c r="BE207" i="9"/>
  <c r="AN207" i="9"/>
  <c r="U207" i="9"/>
  <c r="N207" i="9"/>
  <c r="AM195" i="9"/>
  <c r="U195" i="9"/>
  <c r="N195" i="9"/>
  <c r="N189" i="9"/>
  <c r="BM186" i="9"/>
  <c r="BI186" i="9"/>
  <c r="BE186" i="9"/>
  <c r="AU186" i="9"/>
  <c r="AM186" i="9"/>
  <c r="BE183" i="9"/>
  <c r="U183" i="9"/>
  <c r="N183" i="9"/>
  <c r="AM171" i="9"/>
  <c r="U171" i="9"/>
  <c r="N171" i="9"/>
  <c r="N165" i="9"/>
  <c r="AU162" i="9"/>
  <c r="AQ162" i="9"/>
  <c r="AM162" i="9"/>
  <c r="AM159" i="9"/>
  <c r="U159" i="9"/>
  <c r="N159" i="9"/>
  <c r="AM147" i="9"/>
  <c r="U147" i="9"/>
  <c r="N147" i="9"/>
  <c r="AC142" i="9"/>
  <c r="U142" i="9"/>
  <c r="N141" i="9"/>
  <c r="BM138" i="9"/>
  <c r="BI138" i="9"/>
  <c r="BE138" i="9"/>
  <c r="AC137" i="9"/>
  <c r="U137" i="9"/>
  <c r="BE135" i="9"/>
  <c r="AM135" i="9"/>
  <c r="N135" i="9"/>
  <c r="AM123" i="9"/>
  <c r="U123" i="9"/>
  <c r="N123" i="9"/>
  <c r="U118" i="9"/>
  <c r="N117" i="9"/>
  <c r="BM114" i="9"/>
  <c r="BI114" i="9"/>
  <c r="BE114" i="9"/>
  <c r="U113" i="9"/>
  <c r="BE111" i="9"/>
  <c r="AM111" i="9"/>
  <c r="N111" i="9"/>
  <c r="AM99" i="9"/>
  <c r="U99" i="9"/>
  <c r="N99" i="9"/>
  <c r="AC94" i="9"/>
  <c r="U94" i="9"/>
  <c r="N93" i="9"/>
  <c r="BM90" i="9"/>
  <c r="BI90" i="9"/>
  <c r="BE90" i="9"/>
  <c r="AC89" i="9"/>
  <c r="U89" i="9"/>
  <c r="BE87" i="9"/>
  <c r="AM87" i="9"/>
  <c r="N87" i="9"/>
  <c r="AM75" i="9"/>
  <c r="U75" i="9"/>
  <c r="N75" i="9"/>
  <c r="N69" i="9"/>
  <c r="BM66" i="9"/>
  <c r="BI66" i="9"/>
  <c r="BE66" i="9"/>
  <c r="AU66" i="9"/>
  <c r="AM66" i="9"/>
  <c r="BE63" i="9"/>
  <c r="U63" i="9"/>
  <c r="N63" i="9"/>
  <c r="AM52" i="9"/>
  <c r="U52" i="9"/>
  <c r="N52" i="9"/>
  <c r="AM48" i="9"/>
  <c r="AM47" i="9"/>
  <c r="AM46" i="9"/>
  <c r="AM45" i="9"/>
  <c r="AM44" i="9"/>
  <c r="N44" i="9"/>
  <c r="AM43" i="9"/>
  <c r="AM42" i="9"/>
  <c r="BM39" i="9"/>
  <c r="BI39" i="9"/>
  <c r="BE39" i="9"/>
  <c r="AU38" i="9"/>
  <c r="AM38" i="9"/>
  <c r="BE36" i="9"/>
  <c r="U36" i="9"/>
  <c r="N36" i="9"/>
  <c r="BB24" i="9"/>
  <c r="AT24" i="9"/>
  <c r="AM24" i="9"/>
  <c r="AF24" i="9"/>
  <c r="Y24" i="9"/>
  <c r="R24" i="9"/>
  <c r="K24" i="9"/>
  <c r="D24" i="9"/>
  <c r="BF11" i="9"/>
  <c r="AO11" i="9"/>
  <c r="U11" i="9"/>
  <c r="C11" i="9"/>
  <c r="D279" i="8" l="1"/>
  <c r="AM266" i="8"/>
  <c r="U266" i="8"/>
  <c r="N266" i="8"/>
  <c r="N260" i="8"/>
  <c r="BM257" i="8"/>
  <c r="BI257" i="8"/>
  <c r="BE257" i="8"/>
  <c r="AU256" i="8"/>
  <c r="AM256" i="8"/>
  <c r="BE254" i="8"/>
  <c r="U254" i="8"/>
  <c r="N254" i="8"/>
  <c r="AM243" i="8"/>
  <c r="U243" i="8"/>
  <c r="N243" i="8"/>
  <c r="AQ239" i="8"/>
  <c r="AQ237" i="8"/>
  <c r="N237" i="8"/>
  <c r="AY236" i="8"/>
  <c r="AQ235" i="8"/>
  <c r="BM234" i="8"/>
  <c r="BI234" i="8"/>
  <c r="BE234" i="8"/>
  <c r="AQ233" i="8"/>
  <c r="BE231" i="8"/>
  <c r="AY231" i="8"/>
  <c r="AQ231" i="8"/>
  <c r="U231" i="8"/>
  <c r="N231" i="8"/>
  <c r="AM219" i="8"/>
  <c r="U219" i="8"/>
  <c r="N219" i="8"/>
  <c r="N213" i="8"/>
  <c r="BM210" i="8"/>
  <c r="BI210" i="8"/>
  <c r="BE210" i="8"/>
  <c r="BE207" i="8"/>
  <c r="AN207" i="8"/>
  <c r="U207" i="8"/>
  <c r="N207" i="8"/>
  <c r="AM195" i="8"/>
  <c r="U195" i="8"/>
  <c r="N195" i="8"/>
  <c r="N189" i="8"/>
  <c r="BM186" i="8"/>
  <c r="BI186" i="8"/>
  <c r="BE186" i="8"/>
  <c r="AU186" i="8"/>
  <c r="AM186" i="8"/>
  <c r="BE183" i="8"/>
  <c r="U183" i="8"/>
  <c r="N183" i="8"/>
  <c r="AM171" i="8"/>
  <c r="U171" i="8"/>
  <c r="N171" i="8"/>
  <c r="N165" i="8"/>
  <c r="AU162" i="8"/>
  <c r="AQ162" i="8"/>
  <c r="AM162" i="8"/>
  <c r="AM159" i="8"/>
  <c r="U159" i="8"/>
  <c r="N159" i="8"/>
  <c r="AM147" i="8"/>
  <c r="U147" i="8"/>
  <c r="N147" i="8"/>
  <c r="AC142" i="8"/>
  <c r="U142" i="8"/>
  <c r="N141" i="8"/>
  <c r="BM138" i="8"/>
  <c r="BI138" i="8"/>
  <c r="BE138" i="8"/>
  <c r="AC137" i="8"/>
  <c r="U137" i="8"/>
  <c r="BE135" i="8"/>
  <c r="AM135" i="8"/>
  <c r="N135" i="8"/>
  <c r="AM123" i="8"/>
  <c r="U123" i="8"/>
  <c r="N123" i="8"/>
  <c r="U118" i="8"/>
  <c r="N117" i="8"/>
  <c r="BM114" i="8"/>
  <c r="BI114" i="8"/>
  <c r="BE114" i="8"/>
  <c r="U113" i="8"/>
  <c r="BE111" i="8"/>
  <c r="AM111" i="8"/>
  <c r="N111" i="8"/>
  <c r="AM99" i="8"/>
  <c r="U99" i="8"/>
  <c r="N99" i="8"/>
  <c r="AC94" i="8"/>
  <c r="U94" i="8"/>
  <c r="N93" i="8"/>
  <c r="BM90" i="8"/>
  <c r="BI90" i="8"/>
  <c r="BE90" i="8"/>
  <c r="AC89" i="8"/>
  <c r="U89" i="8"/>
  <c r="BE87" i="8"/>
  <c r="AM87" i="8"/>
  <c r="N87" i="8"/>
  <c r="AM75" i="8"/>
  <c r="U75" i="8"/>
  <c r="N75" i="8"/>
  <c r="N69" i="8"/>
  <c r="BM66" i="8"/>
  <c r="BI66" i="8"/>
  <c r="BE66" i="8"/>
  <c r="AU66" i="8"/>
  <c r="AM66" i="8"/>
  <c r="BE63" i="8"/>
  <c r="U63" i="8"/>
  <c r="N63" i="8"/>
  <c r="AM52" i="8"/>
  <c r="U52" i="8"/>
  <c r="N52" i="8"/>
  <c r="AM48" i="8"/>
  <c r="AM47" i="8"/>
  <c r="AM46" i="8"/>
  <c r="AM45" i="8"/>
  <c r="AM44" i="8"/>
  <c r="N44" i="8"/>
  <c r="AM43" i="8"/>
  <c r="AM42" i="8"/>
  <c r="BM39" i="8"/>
  <c r="BI39" i="8"/>
  <c r="BE39" i="8"/>
  <c r="AU38" i="8"/>
  <c r="AM38" i="8"/>
  <c r="BE36" i="8"/>
  <c r="U36" i="8"/>
  <c r="N36" i="8"/>
  <c r="BB24" i="8"/>
  <c r="AT24" i="8"/>
  <c r="AM24" i="8"/>
  <c r="AF24" i="8"/>
  <c r="Y24" i="8"/>
  <c r="R24" i="8"/>
  <c r="K24" i="8"/>
  <c r="D24" i="8"/>
  <c r="BF11" i="8"/>
  <c r="AO11" i="8"/>
  <c r="U11" i="8"/>
  <c r="C11" i="8"/>
  <c r="D279" i="7" l="1"/>
  <c r="AM266" i="7"/>
  <c r="U266" i="7"/>
  <c r="N266" i="7"/>
  <c r="N260" i="7"/>
  <c r="BM257" i="7"/>
  <c r="BI257" i="7"/>
  <c r="BE257" i="7"/>
  <c r="AU256" i="7"/>
  <c r="AM256" i="7"/>
  <c r="BE254" i="7"/>
  <c r="U254" i="7"/>
  <c r="N254" i="7"/>
  <c r="AM243" i="7"/>
  <c r="U243" i="7"/>
  <c r="N243" i="7"/>
  <c r="AQ239" i="7"/>
  <c r="AQ237" i="7"/>
  <c r="N237" i="7"/>
  <c r="AY236" i="7"/>
  <c r="AQ235" i="7"/>
  <c r="BM234" i="7"/>
  <c r="BI234" i="7"/>
  <c r="BE234" i="7"/>
  <c r="AQ233" i="7"/>
  <c r="BE231" i="7"/>
  <c r="AY231" i="7"/>
  <c r="AQ231" i="7"/>
  <c r="U231" i="7"/>
  <c r="N231" i="7"/>
  <c r="AM219" i="7"/>
  <c r="U219" i="7"/>
  <c r="N219" i="7"/>
  <c r="N213" i="7"/>
  <c r="BM210" i="7"/>
  <c r="BI210" i="7"/>
  <c r="BE210" i="7"/>
  <c r="BE207" i="7"/>
  <c r="AN207" i="7"/>
  <c r="U207" i="7"/>
  <c r="N207" i="7"/>
  <c r="AM195" i="7"/>
  <c r="U195" i="7"/>
  <c r="N195" i="7"/>
  <c r="N189" i="7"/>
  <c r="BM186" i="7"/>
  <c r="BI186" i="7"/>
  <c r="BE186" i="7"/>
  <c r="AU186" i="7"/>
  <c r="AM186" i="7"/>
  <c r="BE183" i="7"/>
  <c r="U183" i="7"/>
  <c r="N183" i="7"/>
  <c r="AM171" i="7"/>
  <c r="U171" i="7"/>
  <c r="N171" i="7"/>
  <c r="N165" i="7"/>
  <c r="AU162" i="7"/>
  <c r="AQ162" i="7"/>
  <c r="AM162" i="7"/>
  <c r="AM159" i="7"/>
  <c r="U159" i="7"/>
  <c r="N159" i="7"/>
  <c r="AM147" i="7"/>
  <c r="U147" i="7"/>
  <c r="N147" i="7"/>
  <c r="AC142" i="7"/>
  <c r="U142" i="7"/>
  <c r="N141" i="7"/>
  <c r="BM138" i="7"/>
  <c r="BI138" i="7"/>
  <c r="BE138" i="7"/>
  <c r="AC137" i="7"/>
  <c r="U137" i="7"/>
  <c r="BE135" i="7"/>
  <c r="AM135" i="7"/>
  <c r="N135" i="7"/>
  <c r="AM123" i="7"/>
  <c r="U123" i="7"/>
  <c r="N123" i="7"/>
  <c r="U118" i="7"/>
  <c r="N117" i="7"/>
  <c r="BM114" i="7"/>
  <c r="BI114" i="7"/>
  <c r="BE114" i="7"/>
  <c r="U113" i="7"/>
  <c r="BE111" i="7"/>
  <c r="AM111" i="7"/>
  <c r="N111" i="7"/>
  <c r="AM99" i="7"/>
  <c r="U99" i="7"/>
  <c r="N99" i="7"/>
  <c r="AC94" i="7"/>
  <c r="U94" i="7"/>
  <c r="N93" i="7"/>
  <c r="BM90" i="7"/>
  <c r="BI90" i="7"/>
  <c r="BE90" i="7"/>
  <c r="AC89" i="7"/>
  <c r="U89" i="7"/>
  <c r="BE87" i="7"/>
  <c r="AM87" i="7"/>
  <c r="N87" i="7"/>
  <c r="AM75" i="7"/>
  <c r="U75" i="7"/>
  <c r="N75" i="7"/>
  <c r="N69" i="7"/>
  <c r="BM66" i="7"/>
  <c r="BI66" i="7"/>
  <c r="BE66" i="7"/>
  <c r="AU66" i="7"/>
  <c r="AM66" i="7"/>
  <c r="BE63" i="7"/>
  <c r="U63" i="7"/>
  <c r="N63" i="7"/>
  <c r="AM52" i="7"/>
  <c r="U52" i="7"/>
  <c r="N52" i="7"/>
  <c r="AM48" i="7"/>
  <c r="AM47" i="7"/>
  <c r="AM46" i="7"/>
  <c r="AM45" i="7"/>
  <c r="AM44" i="7"/>
  <c r="N44" i="7"/>
  <c r="AM43" i="7"/>
  <c r="AM42" i="7"/>
  <c r="BM39" i="7"/>
  <c r="BI39" i="7"/>
  <c r="BE39" i="7"/>
  <c r="AU38" i="7"/>
  <c r="AM38" i="7"/>
  <c r="BE36" i="7"/>
  <c r="U36" i="7"/>
  <c r="N36" i="7"/>
  <c r="BB24" i="7"/>
  <c r="AT24" i="7"/>
  <c r="AM24" i="7"/>
  <c r="AF24" i="7"/>
  <c r="Y24" i="7"/>
  <c r="R24" i="7"/>
  <c r="K24" i="7"/>
  <c r="D24" i="7"/>
  <c r="BF11" i="7"/>
  <c r="AO11" i="7"/>
  <c r="U11" i="7"/>
  <c r="C11" i="7"/>
  <c r="D279" i="6" l="1"/>
  <c r="AM266" i="6"/>
  <c r="U266" i="6"/>
  <c r="N266" i="6"/>
  <c r="N260" i="6"/>
  <c r="BM257" i="6"/>
  <c r="BI257" i="6"/>
  <c r="BE257" i="6"/>
  <c r="AU256" i="6"/>
  <c r="AM256" i="6"/>
  <c r="BE254" i="6"/>
  <c r="U254" i="6"/>
  <c r="N254" i="6"/>
  <c r="AM243" i="6"/>
  <c r="U243" i="6"/>
  <c r="N243" i="6"/>
  <c r="AQ239" i="6"/>
  <c r="AQ237" i="6"/>
  <c r="N237" i="6"/>
  <c r="AY236" i="6"/>
  <c r="AQ235" i="6"/>
  <c r="BM234" i="6"/>
  <c r="BI234" i="6"/>
  <c r="BE234" i="6"/>
  <c r="AQ233" i="6"/>
  <c r="BE231" i="6"/>
  <c r="AY231" i="6"/>
  <c r="AQ231" i="6"/>
  <c r="U231" i="6"/>
  <c r="N231" i="6"/>
  <c r="AM219" i="6"/>
  <c r="U219" i="6"/>
  <c r="N219" i="6"/>
  <c r="N213" i="6"/>
  <c r="BM210" i="6"/>
  <c r="BI210" i="6"/>
  <c r="BE210" i="6"/>
  <c r="BE207" i="6"/>
  <c r="AN207" i="6"/>
  <c r="U207" i="6"/>
  <c r="N207" i="6"/>
  <c r="AM195" i="6"/>
  <c r="U195" i="6"/>
  <c r="N195" i="6"/>
  <c r="N189" i="6"/>
  <c r="BM186" i="6"/>
  <c r="BI186" i="6"/>
  <c r="BE186" i="6"/>
  <c r="AU186" i="6"/>
  <c r="AM186" i="6"/>
  <c r="BE183" i="6"/>
  <c r="U183" i="6"/>
  <c r="N183" i="6"/>
  <c r="AM171" i="6"/>
  <c r="U171" i="6"/>
  <c r="N171" i="6"/>
  <c r="N165" i="6"/>
  <c r="AU162" i="6"/>
  <c r="AQ162" i="6"/>
  <c r="AM162" i="6"/>
  <c r="AM159" i="6"/>
  <c r="U159" i="6"/>
  <c r="N159" i="6"/>
  <c r="AM147" i="6"/>
  <c r="U147" i="6"/>
  <c r="N147" i="6"/>
  <c r="AC142" i="6"/>
  <c r="U142" i="6"/>
  <c r="N141" i="6"/>
  <c r="BM138" i="6"/>
  <c r="BI138" i="6"/>
  <c r="BE138" i="6"/>
  <c r="AC137" i="6"/>
  <c r="U137" i="6"/>
  <c r="BE135" i="6"/>
  <c r="AM135" i="6"/>
  <c r="N135" i="6"/>
  <c r="AM123" i="6"/>
  <c r="U123" i="6"/>
  <c r="N123" i="6"/>
  <c r="U118" i="6"/>
  <c r="N117" i="6"/>
  <c r="BM114" i="6"/>
  <c r="BI114" i="6"/>
  <c r="BE114" i="6"/>
  <c r="U113" i="6"/>
  <c r="BE111" i="6"/>
  <c r="AM111" i="6"/>
  <c r="N111" i="6"/>
  <c r="AM99" i="6"/>
  <c r="U99" i="6"/>
  <c r="N99" i="6"/>
  <c r="AC94" i="6"/>
  <c r="U94" i="6"/>
  <c r="N93" i="6"/>
  <c r="BM90" i="6"/>
  <c r="BI90" i="6"/>
  <c r="BE90" i="6"/>
  <c r="AC89" i="6"/>
  <c r="U89" i="6"/>
  <c r="BE87" i="6"/>
  <c r="AM87" i="6"/>
  <c r="N87" i="6"/>
  <c r="AM75" i="6"/>
  <c r="U75" i="6"/>
  <c r="N75" i="6"/>
  <c r="N69" i="6"/>
  <c r="BM66" i="6"/>
  <c r="BI66" i="6"/>
  <c r="BE66" i="6"/>
  <c r="AU66" i="6"/>
  <c r="AM66" i="6"/>
  <c r="BE63" i="6"/>
  <c r="U63" i="6"/>
  <c r="N63" i="6"/>
  <c r="AM52" i="6"/>
  <c r="U52" i="6"/>
  <c r="N52" i="6"/>
  <c r="AM48" i="6"/>
  <c r="AM47" i="6"/>
  <c r="AM46" i="6"/>
  <c r="AM45" i="6"/>
  <c r="AM44" i="6"/>
  <c r="N44" i="6"/>
  <c r="AM43" i="6"/>
  <c r="AM42" i="6"/>
  <c r="BM39" i="6"/>
  <c r="BI39" i="6"/>
  <c r="BE39" i="6"/>
  <c r="AU38" i="6"/>
  <c r="AM38" i="6"/>
  <c r="BE36" i="6"/>
  <c r="U36" i="6"/>
  <c r="N36" i="6"/>
  <c r="BB24" i="6"/>
  <c r="AT24" i="6"/>
  <c r="AM24" i="6"/>
  <c r="AF24" i="6"/>
  <c r="Y24" i="6"/>
  <c r="R24" i="6"/>
  <c r="K24" i="6"/>
  <c r="D24" i="6"/>
  <c r="BF11" i="6"/>
  <c r="AO11" i="6"/>
  <c r="U11" i="6"/>
  <c r="C11" i="6"/>
  <c r="D279" i="5" l="1"/>
  <c r="AM266" i="5"/>
  <c r="U266" i="5"/>
  <c r="N266" i="5"/>
  <c r="N260" i="5"/>
  <c r="BM257" i="5"/>
  <c r="BI257" i="5"/>
  <c r="BE257" i="5"/>
  <c r="AU256" i="5"/>
  <c r="AM256" i="5"/>
  <c r="BE254" i="5"/>
  <c r="U254" i="5"/>
  <c r="N254" i="5"/>
  <c r="AM243" i="5"/>
  <c r="U243" i="5"/>
  <c r="N243" i="5"/>
  <c r="AQ239" i="5"/>
  <c r="AQ237" i="5"/>
  <c r="N237" i="5"/>
  <c r="AY236" i="5"/>
  <c r="AQ235" i="5"/>
  <c r="BM234" i="5"/>
  <c r="BI234" i="5"/>
  <c r="BE234" i="5"/>
  <c r="AQ233" i="5"/>
  <c r="BE231" i="5"/>
  <c r="AY231" i="5"/>
  <c r="AQ231" i="5"/>
  <c r="U231" i="5"/>
  <c r="N231" i="5"/>
  <c r="AM219" i="5"/>
  <c r="U219" i="5"/>
  <c r="N219" i="5"/>
  <c r="N213" i="5"/>
  <c r="BM210" i="5"/>
  <c r="BI210" i="5"/>
  <c r="BE210" i="5"/>
  <c r="BE207" i="5"/>
  <c r="AN207" i="5"/>
  <c r="U207" i="5"/>
  <c r="N207" i="5"/>
  <c r="AM195" i="5"/>
  <c r="U195" i="5"/>
  <c r="N195" i="5"/>
  <c r="N189" i="5"/>
  <c r="BM186" i="5"/>
  <c r="BI186" i="5"/>
  <c r="BE186" i="5"/>
  <c r="AU186" i="5"/>
  <c r="AM186" i="5"/>
  <c r="BE183" i="5"/>
  <c r="U183" i="5"/>
  <c r="N183" i="5"/>
  <c r="AM171" i="5"/>
  <c r="U171" i="5"/>
  <c r="N171" i="5"/>
  <c r="N165" i="5"/>
  <c r="AU162" i="5"/>
  <c r="AQ162" i="5"/>
  <c r="AM162" i="5"/>
  <c r="AM159" i="5"/>
  <c r="U159" i="5"/>
  <c r="N159" i="5"/>
  <c r="AM147" i="5"/>
  <c r="U147" i="5"/>
  <c r="N147" i="5"/>
  <c r="AC142" i="5"/>
  <c r="U142" i="5"/>
  <c r="N141" i="5"/>
  <c r="BM138" i="5"/>
  <c r="BI138" i="5"/>
  <c r="BE138" i="5"/>
  <c r="AC137" i="5"/>
  <c r="U137" i="5"/>
  <c r="BE135" i="5"/>
  <c r="AM135" i="5"/>
  <c r="N135" i="5"/>
  <c r="AM123" i="5"/>
  <c r="U123" i="5"/>
  <c r="N123" i="5"/>
  <c r="U118" i="5"/>
  <c r="N117" i="5"/>
  <c r="BM114" i="5"/>
  <c r="BI114" i="5"/>
  <c r="BE114" i="5"/>
  <c r="U113" i="5"/>
  <c r="BE111" i="5"/>
  <c r="AM111" i="5"/>
  <c r="N111" i="5"/>
  <c r="AM99" i="5"/>
  <c r="U99" i="5"/>
  <c r="N99" i="5"/>
  <c r="AC94" i="5"/>
  <c r="U94" i="5"/>
  <c r="N93" i="5"/>
  <c r="BM90" i="5"/>
  <c r="BI90" i="5"/>
  <c r="BE90" i="5"/>
  <c r="AC89" i="5"/>
  <c r="U89" i="5"/>
  <c r="BE87" i="5"/>
  <c r="AM87" i="5"/>
  <c r="N87" i="5"/>
  <c r="AM75" i="5"/>
  <c r="U75" i="5"/>
  <c r="N75" i="5"/>
  <c r="N69" i="5"/>
  <c r="BM66" i="5"/>
  <c r="BI66" i="5"/>
  <c r="BE66" i="5"/>
  <c r="AU66" i="5"/>
  <c r="AM66" i="5"/>
  <c r="BE63" i="5"/>
  <c r="U63" i="5"/>
  <c r="N63" i="5"/>
  <c r="AM52" i="5"/>
  <c r="U52" i="5"/>
  <c r="N52" i="5"/>
  <c r="AM48" i="5"/>
  <c r="AM47" i="5"/>
  <c r="AM46" i="5"/>
  <c r="AM45" i="5"/>
  <c r="AM44" i="5"/>
  <c r="N44" i="5"/>
  <c r="AM43" i="5"/>
  <c r="AM42" i="5"/>
  <c r="BM39" i="5"/>
  <c r="BI39" i="5"/>
  <c r="BE39" i="5"/>
  <c r="AU38" i="5"/>
  <c r="AM38" i="5"/>
  <c r="BE36" i="5"/>
  <c r="U36" i="5"/>
  <c r="N36" i="5"/>
  <c r="BB24" i="5"/>
  <c r="AT24" i="5"/>
  <c r="AM24" i="5"/>
  <c r="AF24" i="5"/>
  <c r="Y24" i="5"/>
  <c r="R24" i="5"/>
  <c r="K24" i="5"/>
  <c r="D24" i="5"/>
  <c r="BF11" i="5"/>
  <c r="AO11" i="5"/>
  <c r="U11" i="5"/>
  <c r="C11" i="5"/>
  <c r="D279" i="4" l="1"/>
  <c r="AM266" i="4"/>
  <c r="U266" i="4"/>
  <c r="N266" i="4"/>
  <c r="N260" i="4"/>
  <c r="BM257" i="4"/>
  <c r="BI257" i="4"/>
  <c r="BE257" i="4"/>
  <c r="AU256" i="4"/>
  <c r="AM256" i="4"/>
  <c r="BE254" i="4"/>
  <c r="U254" i="4"/>
  <c r="N254" i="4"/>
  <c r="AM243" i="4"/>
  <c r="U243" i="4"/>
  <c r="N243" i="4"/>
  <c r="AQ239" i="4"/>
  <c r="AQ237" i="4"/>
  <c r="N237" i="4"/>
  <c r="AY236" i="4"/>
  <c r="AQ235" i="4"/>
  <c r="BM234" i="4"/>
  <c r="BI234" i="4"/>
  <c r="BE234" i="4"/>
  <c r="AQ233" i="4"/>
  <c r="BE231" i="4"/>
  <c r="AY231" i="4"/>
  <c r="AQ231" i="4"/>
  <c r="U231" i="4"/>
  <c r="N231" i="4"/>
  <c r="AM219" i="4"/>
  <c r="U219" i="4"/>
  <c r="N219" i="4"/>
  <c r="N213" i="4"/>
  <c r="BM210" i="4"/>
  <c r="BI210" i="4"/>
  <c r="BE210" i="4"/>
  <c r="BE207" i="4"/>
  <c r="AN207" i="4"/>
  <c r="U207" i="4"/>
  <c r="N207" i="4"/>
  <c r="AM195" i="4"/>
  <c r="U195" i="4"/>
  <c r="N195" i="4"/>
  <c r="N189" i="4"/>
  <c r="BM186" i="4"/>
  <c r="BI186" i="4"/>
  <c r="BE186" i="4"/>
  <c r="AU186" i="4"/>
  <c r="AM186" i="4"/>
  <c r="BE183" i="4"/>
  <c r="U183" i="4"/>
  <c r="N183" i="4"/>
  <c r="AM171" i="4"/>
  <c r="U171" i="4"/>
  <c r="N171" i="4"/>
  <c r="N165" i="4"/>
  <c r="AU162" i="4"/>
  <c r="AQ162" i="4"/>
  <c r="AM162" i="4"/>
  <c r="AM159" i="4"/>
  <c r="U159" i="4"/>
  <c r="N159" i="4"/>
  <c r="AM147" i="4"/>
  <c r="U147" i="4"/>
  <c r="N147" i="4"/>
  <c r="AC142" i="4"/>
  <c r="U142" i="4"/>
  <c r="N141" i="4"/>
  <c r="BM138" i="4"/>
  <c r="BI138" i="4"/>
  <c r="BE138" i="4"/>
  <c r="AC137" i="4"/>
  <c r="U137" i="4"/>
  <c r="BE135" i="4"/>
  <c r="AM135" i="4"/>
  <c r="N135" i="4"/>
  <c r="AM123" i="4"/>
  <c r="U123" i="4"/>
  <c r="N123" i="4"/>
  <c r="U118" i="4"/>
  <c r="N117" i="4"/>
  <c r="BM114" i="4"/>
  <c r="BI114" i="4"/>
  <c r="BE114" i="4"/>
  <c r="U113" i="4"/>
  <c r="BE111" i="4"/>
  <c r="AM111" i="4"/>
  <c r="N111" i="4"/>
  <c r="AM99" i="4"/>
  <c r="U99" i="4"/>
  <c r="N99" i="4"/>
  <c r="AC94" i="4"/>
  <c r="U94" i="4"/>
  <c r="N93" i="4"/>
  <c r="BM90" i="4"/>
  <c r="BI90" i="4"/>
  <c r="BE90" i="4"/>
  <c r="AC89" i="4"/>
  <c r="U89" i="4"/>
  <c r="BE87" i="4"/>
  <c r="AM87" i="4"/>
  <c r="N87" i="4"/>
  <c r="AM75" i="4"/>
  <c r="U75" i="4"/>
  <c r="N75" i="4"/>
  <c r="N69" i="4"/>
  <c r="BM66" i="4"/>
  <c r="BI66" i="4"/>
  <c r="BE66" i="4"/>
  <c r="AU66" i="4"/>
  <c r="AM66" i="4"/>
  <c r="BE63" i="4"/>
  <c r="U63" i="4"/>
  <c r="N63" i="4"/>
  <c r="AM52" i="4"/>
  <c r="U52" i="4"/>
  <c r="N52" i="4"/>
  <c r="AM48" i="4"/>
  <c r="AM47" i="4"/>
  <c r="AM46" i="4"/>
  <c r="AM45" i="4"/>
  <c r="AM44" i="4"/>
  <c r="N44" i="4"/>
  <c r="AM43" i="4"/>
  <c r="AM42" i="4"/>
  <c r="BM39" i="4"/>
  <c r="BI39" i="4"/>
  <c r="BE39" i="4"/>
  <c r="AU38" i="4"/>
  <c r="AM38" i="4"/>
  <c r="BE36" i="4"/>
  <c r="U36" i="4"/>
  <c r="N36" i="4"/>
  <c r="BB24" i="4"/>
  <c r="AT24" i="4"/>
  <c r="AM24" i="4"/>
  <c r="AF24" i="4"/>
  <c r="Y24" i="4"/>
  <c r="R24" i="4"/>
  <c r="K24" i="4"/>
  <c r="D24" i="4"/>
  <c r="BF11" i="4"/>
  <c r="AO11" i="4"/>
  <c r="U11" i="4"/>
  <c r="C11" i="4"/>
  <c r="D279" i="3" l="1"/>
  <c r="AM266" i="3"/>
  <c r="U266" i="3"/>
  <c r="N266" i="3"/>
  <c r="N260" i="3"/>
  <c r="BM257" i="3"/>
  <c r="BI257" i="3"/>
  <c r="BE257" i="3"/>
  <c r="AU256" i="3"/>
  <c r="AM256" i="3"/>
  <c r="BE254" i="3"/>
  <c r="U254" i="3"/>
  <c r="N254" i="3"/>
  <c r="AM243" i="3"/>
  <c r="U243" i="3"/>
  <c r="N243" i="3"/>
  <c r="AQ239" i="3"/>
  <c r="AQ237" i="3"/>
  <c r="N237" i="3"/>
  <c r="AY236" i="3"/>
  <c r="AQ235" i="3"/>
  <c r="BM234" i="3"/>
  <c r="BI234" i="3"/>
  <c r="BE234" i="3"/>
  <c r="AQ233" i="3"/>
  <c r="BE231" i="3"/>
  <c r="AY231" i="3"/>
  <c r="AQ231" i="3"/>
  <c r="U231" i="3"/>
  <c r="N231" i="3"/>
  <c r="AM219" i="3"/>
  <c r="U219" i="3"/>
  <c r="N219" i="3"/>
  <c r="N213" i="3"/>
  <c r="BM210" i="3"/>
  <c r="BI210" i="3"/>
  <c r="BE210" i="3"/>
  <c r="BE207" i="3"/>
  <c r="AN207" i="3"/>
  <c r="U207" i="3"/>
  <c r="N207" i="3"/>
  <c r="AM195" i="3"/>
  <c r="U195" i="3"/>
  <c r="N195" i="3"/>
  <c r="N189" i="3"/>
  <c r="BM186" i="3"/>
  <c r="BI186" i="3"/>
  <c r="BE186" i="3"/>
  <c r="AU186" i="3"/>
  <c r="AM186" i="3"/>
  <c r="BE183" i="3"/>
  <c r="U183" i="3"/>
  <c r="N183" i="3"/>
  <c r="AM171" i="3"/>
  <c r="U171" i="3"/>
  <c r="N171" i="3"/>
  <c r="N165" i="3"/>
  <c r="AU162" i="3"/>
  <c r="AQ162" i="3"/>
  <c r="AM162" i="3"/>
  <c r="AM159" i="3"/>
  <c r="U159" i="3"/>
  <c r="N159" i="3"/>
  <c r="AM147" i="3"/>
  <c r="U147" i="3"/>
  <c r="N147" i="3"/>
  <c r="AC142" i="3"/>
  <c r="U142" i="3"/>
  <c r="N141" i="3"/>
  <c r="BM138" i="3"/>
  <c r="BI138" i="3"/>
  <c r="BE138" i="3"/>
  <c r="AC137" i="3"/>
  <c r="U137" i="3"/>
  <c r="BE135" i="3"/>
  <c r="AM135" i="3"/>
  <c r="N135" i="3"/>
  <c r="AM123" i="3"/>
  <c r="U123" i="3"/>
  <c r="N123" i="3"/>
  <c r="U118" i="3"/>
  <c r="N117" i="3"/>
  <c r="BM114" i="3"/>
  <c r="BI114" i="3"/>
  <c r="BE114" i="3"/>
  <c r="U113" i="3"/>
  <c r="BE111" i="3"/>
  <c r="AM111" i="3"/>
  <c r="N111" i="3"/>
  <c r="AM99" i="3"/>
  <c r="U99" i="3"/>
  <c r="N99" i="3"/>
  <c r="AC94" i="3"/>
  <c r="U94" i="3"/>
  <c r="N93" i="3"/>
  <c r="BM90" i="3"/>
  <c r="BI90" i="3"/>
  <c r="BE90" i="3"/>
  <c r="AC89" i="3"/>
  <c r="U89" i="3"/>
  <c r="BE87" i="3"/>
  <c r="AM87" i="3"/>
  <c r="N87" i="3"/>
  <c r="AM75" i="3"/>
  <c r="U75" i="3"/>
  <c r="N75" i="3"/>
  <c r="N69" i="3"/>
  <c r="BM66" i="3"/>
  <c r="BI66" i="3"/>
  <c r="BE66" i="3"/>
  <c r="AU66" i="3"/>
  <c r="AM66" i="3"/>
  <c r="BE63" i="3"/>
  <c r="U63" i="3"/>
  <c r="N63" i="3"/>
  <c r="AM52" i="3"/>
  <c r="U52" i="3"/>
  <c r="N52" i="3"/>
  <c r="AM48" i="3"/>
  <c r="AM47" i="3"/>
  <c r="AM46" i="3"/>
  <c r="AM45" i="3"/>
  <c r="AM44" i="3"/>
  <c r="N44" i="3"/>
  <c r="AM43" i="3"/>
  <c r="AM42" i="3"/>
  <c r="BM39" i="3"/>
  <c r="BI39" i="3"/>
  <c r="BE39" i="3"/>
  <c r="AU38" i="3"/>
  <c r="AM38" i="3"/>
  <c r="BE36" i="3"/>
  <c r="U36" i="3"/>
  <c r="N36" i="3"/>
  <c r="BB24" i="3"/>
  <c r="AT24" i="3"/>
  <c r="AM24" i="3"/>
  <c r="AF24" i="3"/>
  <c r="Y24" i="3"/>
  <c r="R24" i="3"/>
  <c r="K24" i="3"/>
  <c r="D24" i="3"/>
  <c r="BF11" i="3"/>
  <c r="AO11" i="3"/>
  <c r="U11" i="3"/>
  <c r="C11" i="3"/>
  <c r="D279" i="2" l="1"/>
  <c r="AM266" i="2"/>
  <c r="U266" i="2"/>
  <c r="N266" i="2"/>
  <c r="N260" i="2"/>
  <c r="BM257" i="2"/>
  <c r="BI257" i="2"/>
  <c r="BE257" i="2"/>
  <c r="AU256" i="2"/>
  <c r="AM256" i="2"/>
  <c r="BE254" i="2"/>
  <c r="U254" i="2"/>
  <c r="N254" i="2"/>
  <c r="AM243" i="2"/>
  <c r="U243" i="2"/>
  <c r="N243" i="2"/>
  <c r="AQ239" i="2"/>
  <c r="AQ237" i="2"/>
  <c r="N237" i="2"/>
  <c r="AY236" i="2"/>
  <c r="AQ235" i="2"/>
  <c r="BM234" i="2"/>
  <c r="BI234" i="2"/>
  <c r="BE234" i="2"/>
  <c r="AQ233" i="2"/>
  <c r="BE231" i="2"/>
  <c r="AY231" i="2"/>
  <c r="AQ231" i="2"/>
  <c r="U231" i="2"/>
  <c r="N231" i="2"/>
  <c r="AM219" i="2"/>
  <c r="U219" i="2"/>
  <c r="N219" i="2"/>
  <c r="N213" i="2"/>
  <c r="BM210" i="2"/>
  <c r="BI210" i="2"/>
  <c r="BE210" i="2"/>
  <c r="BE207" i="2"/>
  <c r="AN207" i="2"/>
  <c r="U207" i="2"/>
  <c r="N207" i="2"/>
  <c r="AM195" i="2"/>
  <c r="U195" i="2"/>
  <c r="N195" i="2"/>
  <c r="N189" i="2"/>
  <c r="BM186" i="2"/>
  <c r="BI186" i="2"/>
  <c r="BE186" i="2"/>
  <c r="AU186" i="2"/>
  <c r="AM186" i="2"/>
  <c r="BE183" i="2"/>
  <c r="U183" i="2"/>
  <c r="N183" i="2"/>
  <c r="AM171" i="2"/>
  <c r="U171" i="2"/>
  <c r="N171" i="2"/>
  <c r="N165" i="2"/>
  <c r="AU162" i="2"/>
  <c r="AQ162" i="2"/>
  <c r="AM162" i="2"/>
  <c r="AM159" i="2"/>
  <c r="U159" i="2"/>
  <c r="N159" i="2"/>
  <c r="AM147" i="2"/>
  <c r="U147" i="2"/>
  <c r="N147" i="2"/>
  <c r="AC142" i="2"/>
  <c r="U142" i="2"/>
  <c r="N141" i="2"/>
  <c r="BM138" i="2"/>
  <c r="BI138" i="2"/>
  <c r="BE138" i="2"/>
  <c r="AC137" i="2"/>
  <c r="U137" i="2"/>
  <c r="BE135" i="2"/>
  <c r="AM135" i="2"/>
  <c r="N135" i="2"/>
  <c r="AM123" i="2"/>
  <c r="U123" i="2"/>
  <c r="N123" i="2"/>
  <c r="U118" i="2"/>
  <c r="N117" i="2"/>
  <c r="BM114" i="2"/>
  <c r="BI114" i="2"/>
  <c r="BE114" i="2"/>
  <c r="U113" i="2"/>
  <c r="BE111" i="2"/>
  <c r="AM111" i="2"/>
  <c r="N111" i="2"/>
  <c r="AM99" i="2"/>
  <c r="U99" i="2"/>
  <c r="N99" i="2"/>
  <c r="AC94" i="2"/>
  <c r="U94" i="2"/>
  <c r="N93" i="2"/>
  <c r="BM90" i="2"/>
  <c r="BI90" i="2"/>
  <c r="BE90" i="2"/>
  <c r="AC89" i="2"/>
  <c r="U89" i="2"/>
  <c r="BE87" i="2"/>
  <c r="AM87" i="2"/>
  <c r="N87" i="2"/>
  <c r="AM75" i="2"/>
  <c r="U75" i="2"/>
  <c r="N75" i="2"/>
  <c r="N69" i="2"/>
  <c r="BM66" i="2"/>
  <c r="BI66" i="2"/>
  <c r="BE66" i="2"/>
  <c r="AU66" i="2"/>
  <c r="AM66" i="2"/>
  <c r="BE63" i="2"/>
  <c r="U63" i="2"/>
  <c r="N63" i="2"/>
  <c r="AM52" i="2"/>
  <c r="U52" i="2"/>
  <c r="N52" i="2"/>
  <c r="AM48" i="2"/>
  <c r="AM47" i="2"/>
  <c r="AM46" i="2"/>
  <c r="AM45" i="2"/>
  <c r="AM44" i="2"/>
  <c r="N44" i="2"/>
  <c r="AM43" i="2"/>
  <c r="AM42" i="2"/>
  <c r="BM39" i="2"/>
  <c r="BI39" i="2"/>
  <c r="BE39" i="2"/>
  <c r="AU38" i="2"/>
  <c r="AM38" i="2"/>
  <c r="BE36" i="2"/>
  <c r="U36" i="2"/>
  <c r="N36" i="2"/>
  <c r="BB24" i="2"/>
  <c r="AT24" i="2"/>
  <c r="AM24" i="2"/>
  <c r="AF24" i="2"/>
  <c r="Y24" i="2"/>
  <c r="R24" i="2"/>
  <c r="K24" i="2"/>
  <c r="D24" i="2"/>
  <c r="BF11" i="2"/>
  <c r="AO11" i="2"/>
  <c r="U11" i="2"/>
  <c r="C11" i="2"/>
</calcChain>
</file>

<file path=xl/sharedStrings.xml><?xml version="1.0" encoding="utf-8"?>
<sst xmlns="http://schemas.openxmlformats.org/spreadsheetml/2006/main" count="2640" uniqueCount="75">
  <si>
    <t>団体名</t>
    <rPh sb="0" eb="3">
      <t>ダンタイメイ</t>
    </rPh>
    <phoneticPr fontId="9"/>
  </si>
  <si>
    <t>業種名</t>
    <rPh sb="0" eb="2">
      <t>ギョウシュ</t>
    </rPh>
    <rPh sb="2" eb="3">
      <t>メイ</t>
    </rPh>
    <phoneticPr fontId="9"/>
  </si>
  <si>
    <t>事業名</t>
    <rPh sb="0" eb="2">
      <t>ジギョウ</t>
    </rPh>
    <rPh sb="2" eb="3">
      <t>メイ</t>
    </rPh>
    <phoneticPr fontId="9"/>
  </si>
  <si>
    <t>施設名</t>
    <rPh sb="0" eb="2">
      <t>シセツ</t>
    </rPh>
    <rPh sb="2" eb="3">
      <t>メイ</t>
    </rPh>
    <phoneticPr fontId="9"/>
  </si>
  <si>
    <t>抜本的な改革の取組</t>
    <phoneticPr fontId="9"/>
  </si>
  <si>
    <t>事業廃止</t>
    <rPh sb="0" eb="2">
      <t>ジギョウ</t>
    </rPh>
    <rPh sb="2" eb="4">
      <t>ハイシ</t>
    </rPh>
    <phoneticPr fontId="9"/>
  </si>
  <si>
    <t>民営化・
民間譲渡</t>
    <rPh sb="0" eb="3">
      <t>ミンエイカ</t>
    </rPh>
    <rPh sb="5" eb="7">
      <t>ミンカン</t>
    </rPh>
    <rPh sb="7" eb="9">
      <t>ジョウト</t>
    </rPh>
    <phoneticPr fontId="9"/>
  </si>
  <si>
    <t>広域化等</t>
    <rPh sb="0" eb="3">
      <t>コウイキカ</t>
    </rPh>
    <rPh sb="3" eb="4">
      <t>トウ</t>
    </rPh>
    <phoneticPr fontId="9"/>
  </si>
  <si>
    <t>民間活用</t>
    <rPh sb="0" eb="2">
      <t>ミンカン</t>
    </rPh>
    <rPh sb="2" eb="4">
      <t>カツヨウ</t>
    </rPh>
    <phoneticPr fontId="9"/>
  </si>
  <si>
    <t>現行の経営
体制を継続</t>
    <rPh sb="0" eb="2">
      <t>ゲンコウ</t>
    </rPh>
    <rPh sb="3" eb="5">
      <t>ケイエイ</t>
    </rPh>
    <rPh sb="6" eb="8">
      <t>タイセイ</t>
    </rPh>
    <rPh sb="9" eb="11">
      <t>ケイゾク</t>
    </rPh>
    <phoneticPr fontId="9"/>
  </si>
  <si>
    <t>指定管理者
制度</t>
    <rPh sb="0" eb="2">
      <t>シテイ</t>
    </rPh>
    <rPh sb="2" eb="5">
      <t>カンリシャ</t>
    </rPh>
    <rPh sb="6" eb="8">
      <t>セイド</t>
    </rPh>
    <phoneticPr fontId="9"/>
  </si>
  <si>
    <t>包括的
民間委託</t>
    <rPh sb="0" eb="3">
      <t>ホウカツテキ</t>
    </rPh>
    <rPh sb="4" eb="6">
      <t>ミンカン</t>
    </rPh>
    <rPh sb="6" eb="8">
      <t>イタク</t>
    </rPh>
    <phoneticPr fontId="9"/>
  </si>
  <si>
    <t>PPP/PFI方式
の活用</t>
    <rPh sb="7" eb="9">
      <t>ホウシキ</t>
    </rPh>
    <rPh sb="11" eb="13">
      <t>カツヨウ</t>
    </rPh>
    <phoneticPr fontId="9"/>
  </si>
  <si>
    <t>地方独立行政法人への移行</t>
    <rPh sb="0" eb="2">
      <t>チホウ</t>
    </rPh>
    <rPh sb="2" eb="4">
      <t>ドクリツ</t>
    </rPh>
    <rPh sb="4" eb="6">
      <t>ギョウセイ</t>
    </rPh>
    <rPh sb="6" eb="8">
      <t>ホウジン</t>
    </rPh>
    <rPh sb="10" eb="12">
      <t>イコウ</t>
    </rPh>
    <phoneticPr fontId="9"/>
  </si>
  <si>
    <t>取組事項</t>
    <rPh sb="0" eb="2">
      <t>トリクミ</t>
    </rPh>
    <rPh sb="2" eb="4">
      <t>ジコウ</t>
    </rPh>
    <phoneticPr fontId="9"/>
  </si>
  <si>
    <t>（取組の概要及び効果）</t>
    <rPh sb="1" eb="2">
      <t>ト</t>
    </rPh>
    <rPh sb="2" eb="3">
      <t>ク</t>
    </rPh>
    <rPh sb="4" eb="6">
      <t>ガイヨウ</t>
    </rPh>
    <rPh sb="6" eb="7">
      <t>オヨ</t>
    </rPh>
    <rPh sb="8" eb="10">
      <t>コウカ</t>
    </rPh>
    <phoneticPr fontId="9"/>
  </si>
  <si>
    <t>（全部と一部の別）</t>
    <rPh sb="1" eb="3">
      <t>ゼンブ</t>
    </rPh>
    <rPh sb="4" eb="6">
      <t>イチブ</t>
    </rPh>
    <rPh sb="7" eb="8">
      <t>ベツ</t>
    </rPh>
    <phoneticPr fontId="9"/>
  </si>
  <si>
    <t>（実施（予定）時期）</t>
    <rPh sb="1" eb="3">
      <t>ジッシ</t>
    </rPh>
    <rPh sb="4" eb="6">
      <t>ヨテイ</t>
    </rPh>
    <rPh sb="7" eb="9">
      <t>ジキ</t>
    </rPh>
    <phoneticPr fontId="9"/>
  </si>
  <si>
    <t>実施済</t>
    <rPh sb="0" eb="2">
      <t>ジッシ</t>
    </rPh>
    <rPh sb="2" eb="3">
      <t>ズ</t>
    </rPh>
    <phoneticPr fontId="9"/>
  </si>
  <si>
    <t>全部廃止</t>
    <rPh sb="0" eb="2">
      <t>ゼンブ</t>
    </rPh>
    <rPh sb="2" eb="4">
      <t>ハイシ</t>
    </rPh>
    <phoneticPr fontId="9"/>
  </si>
  <si>
    <t>一部廃止</t>
    <rPh sb="0" eb="2">
      <t>イチブ</t>
    </rPh>
    <rPh sb="2" eb="4">
      <t>ハイシ</t>
    </rPh>
    <phoneticPr fontId="9"/>
  </si>
  <si>
    <t>①償還終了による廃止</t>
    <rPh sb="1" eb="3">
      <t>ショウカン</t>
    </rPh>
    <rPh sb="3" eb="5">
      <t>シュウリョウ</t>
    </rPh>
    <rPh sb="8" eb="10">
      <t>ハイシ</t>
    </rPh>
    <phoneticPr fontId="9"/>
  </si>
  <si>
    <t>②一般会計化</t>
    <rPh sb="1" eb="3">
      <t>イッパン</t>
    </rPh>
    <rPh sb="3" eb="6">
      <t>カイケイカ</t>
    </rPh>
    <phoneticPr fontId="9"/>
  </si>
  <si>
    <t>年</t>
    <rPh sb="0" eb="1">
      <t>ネン</t>
    </rPh>
    <phoneticPr fontId="9"/>
  </si>
  <si>
    <t>月</t>
    <rPh sb="0" eb="1">
      <t>ガツ</t>
    </rPh>
    <phoneticPr fontId="9"/>
  </si>
  <si>
    <t>日</t>
    <rPh sb="0" eb="1">
      <t>ニチ</t>
    </rPh>
    <phoneticPr fontId="9"/>
  </si>
  <si>
    <t>実施予定</t>
    <rPh sb="0" eb="2">
      <t>ジッシ</t>
    </rPh>
    <rPh sb="2" eb="4">
      <t>ヨテイ</t>
    </rPh>
    <phoneticPr fontId="9"/>
  </si>
  <si>
    <t>③診療所への移行</t>
    <rPh sb="1" eb="4">
      <t>シンリョウジョ</t>
    </rPh>
    <rPh sb="6" eb="8">
      <t>イコウ</t>
    </rPh>
    <phoneticPr fontId="9"/>
  </si>
  <si>
    <t>④飲料用水供給施設化</t>
    <rPh sb="1" eb="3">
      <t>インリョウ</t>
    </rPh>
    <rPh sb="3" eb="5">
      <t>ヨウスイ</t>
    </rPh>
    <rPh sb="5" eb="7">
      <t>キョウキュウ</t>
    </rPh>
    <rPh sb="7" eb="10">
      <t>シセツカ</t>
    </rPh>
    <phoneticPr fontId="9"/>
  </si>
  <si>
    <t>⑤民営化・民間譲渡による廃止</t>
    <rPh sb="1" eb="4">
      <t>ミンエイカ</t>
    </rPh>
    <rPh sb="5" eb="7">
      <t>ミンカン</t>
    </rPh>
    <rPh sb="7" eb="9">
      <t>ジョウト</t>
    </rPh>
    <rPh sb="12" eb="14">
      <t>ハイシ</t>
    </rPh>
    <phoneticPr fontId="9"/>
  </si>
  <si>
    <t>⑥広域化による廃止</t>
    <rPh sb="1" eb="4">
      <t>コウイキカ</t>
    </rPh>
    <rPh sb="7" eb="9">
      <t>ハイシ</t>
    </rPh>
    <phoneticPr fontId="9"/>
  </si>
  <si>
    <t>⑦その他</t>
    <rPh sb="3" eb="4">
      <t>タ</t>
    </rPh>
    <phoneticPr fontId="9"/>
  </si>
  <si>
    <t>（取組の概要）</t>
    <rPh sb="1" eb="2">
      <t>ト</t>
    </rPh>
    <rPh sb="2" eb="3">
      <t>ク</t>
    </rPh>
    <rPh sb="4" eb="6">
      <t>ガイヨウ</t>
    </rPh>
    <phoneticPr fontId="9"/>
  </si>
  <si>
    <t>（検討状況・課題）</t>
    <rPh sb="1" eb="3">
      <t>ケントウ</t>
    </rPh>
    <rPh sb="3" eb="5">
      <t>ジョウキョウ</t>
    </rPh>
    <rPh sb="6" eb="8">
      <t>カダイ</t>
    </rPh>
    <phoneticPr fontId="9"/>
  </si>
  <si>
    <t>検討中</t>
    <rPh sb="0" eb="3">
      <t>ケントウチュウ</t>
    </rPh>
    <phoneticPr fontId="9"/>
  </si>
  <si>
    <t>民営化・民間譲渡</t>
    <rPh sb="0" eb="3">
      <t>ミンエイカ</t>
    </rPh>
    <rPh sb="4" eb="6">
      <t>ミンカン</t>
    </rPh>
    <rPh sb="6" eb="8">
      <t>ジョウト</t>
    </rPh>
    <phoneticPr fontId="9"/>
  </si>
  <si>
    <t>（取組の概要及び効果）</t>
    <rPh sb="1" eb="2">
      <t>ト</t>
    </rPh>
    <rPh sb="2" eb="3">
      <t>ク</t>
    </rPh>
    <rPh sb="4" eb="6">
      <t>ガイヨウ</t>
    </rPh>
    <phoneticPr fontId="9"/>
  </si>
  <si>
    <t>全部民営化・
全部民間譲渡</t>
    <rPh sb="0" eb="2">
      <t>ゼンブ</t>
    </rPh>
    <rPh sb="2" eb="5">
      <t>ミンエイカ</t>
    </rPh>
    <rPh sb="7" eb="9">
      <t>ゼンブ</t>
    </rPh>
    <rPh sb="9" eb="11">
      <t>ミンカン</t>
    </rPh>
    <rPh sb="11" eb="13">
      <t>ジョウト</t>
    </rPh>
    <phoneticPr fontId="9"/>
  </si>
  <si>
    <t>一部民営化・
一部民間譲渡</t>
    <rPh sb="0" eb="2">
      <t>イチブ</t>
    </rPh>
    <rPh sb="2" eb="5">
      <t>ミンエイカ</t>
    </rPh>
    <rPh sb="7" eb="8">
      <t>イチ</t>
    </rPh>
    <rPh sb="8" eb="9">
      <t>ブ</t>
    </rPh>
    <rPh sb="9" eb="11">
      <t>ミンカン</t>
    </rPh>
    <rPh sb="11" eb="13">
      <t>ジョウト</t>
    </rPh>
    <phoneticPr fontId="9"/>
  </si>
  <si>
    <t>（水道事業）広域化等</t>
    <rPh sb="1" eb="3">
      <t>スイドウ</t>
    </rPh>
    <rPh sb="3" eb="5">
      <t>ジギョウ</t>
    </rPh>
    <phoneticPr fontId="9"/>
  </si>
  <si>
    <t>（実施類型）</t>
    <rPh sb="1" eb="3">
      <t>ジッシ</t>
    </rPh>
    <rPh sb="3" eb="5">
      <t>ルイケイ</t>
    </rPh>
    <phoneticPr fontId="9"/>
  </si>
  <si>
    <t>経営統合</t>
    <rPh sb="0" eb="2">
      <t>ケイエイ</t>
    </rPh>
    <rPh sb="2" eb="4">
      <t>トウゴウ</t>
    </rPh>
    <phoneticPr fontId="9"/>
  </si>
  <si>
    <t>施設の
共同設置・利用</t>
    <rPh sb="0" eb="2">
      <t>シセツ</t>
    </rPh>
    <rPh sb="4" eb="6">
      <t>キョウドウ</t>
    </rPh>
    <rPh sb="6" eb="8">
      <t>セッチ</t>
    </rPh>
    <rPh sb="9" eb="11">
      <t>リヨウ</t>
    </rPh>
    <phoneticPr fontId="9"/>
  </si>
  <si>
    <t>施設管理の
共同化</t>
    <rPh sb="0" eb="2">
      <t>シセツ</t>
    </rPh>
    <rPh sb="2" eb="4">
      <t>カンリ</t>
    </rPh>
    <rPh sb="6" eb="9">
      <t>キョウドウカ</t>
    </rPh>
    <phoneticPr fontId="9"/>
  </si>
  <si>
    <t>管理の一体化</t>
    <rPh sb="0" eb="2">
      <t>カンリ</t>
    </rPh>
    <rPh sb="3" eb="6">
      <t>イッタイカ</t>
    </rPh>
    <phoneticPr fontId="9"/>
  </si>
  <si>
    <t>（簡易水道事業）広域化等</t>
    <rPh sb="1" eb="3">
      <t>カンイ</t>
    </rPh>
    <rPh sb="3" eb="5">
      <t>スイドウ</t>
    </rPh>
    <rPh sb="5" eb="7">
      <t>ジギョウ</t>
    </rPh>
    <phoneticPr fontId="9"/>
  </si>
  <si>
    <t>簡易水道事業統合</t>
    <rPh sb="0" eb="2">
      <t>カンイ</t>
    </rPh>
    <rPh sb="2" eb="4">
      <t>スイドウ</t>
    </rPh>
    <rPh sb="4" eb="6">
      <t>ジギョウ</t>
    </rPh>
    <rPh sb="6" eb="8">
      <t>トウゴウ</t>
    </rPh>
    <phoneticPr fontId="9"/>
  </si>
  <si>
    <t>簡易水道事業統合以外</t>
    <rPh sb="0" eb="2">
      <t>カンイ</t>
    </rPh>
    <rPh sb="2" eb="4">
      <t>スイドウ</t>
    </rPh>
    <rPh sb="4" eb="6">
      <t>ジギョウ</t>
    </rPh>
    <rPh sb="6" eb="8">
      <t>トウゴウ</t>
    </rPh>
    <rPh sb="8" eb="10">
      <t>イガイ</t>
    </rPh>
    <phoneticPr fontId="9"/>
  </si>
  <si>
    <t>（下水道事業）広域化等</t>
    <rPh sb="1" eb="2">
      <t>シタ</t>
    </rPh>
    <rPh sb="2" eb="4">
      <t>スイドウ</t>
    </rPh>
    <rPh sb="4" eb="6">
      <t>ジギョウ</t>
    </rPh>
    <phoneticPr fontId="9"/>
  </si>
  <si>
    <t>汚水処理施設の
統廃合</t>
    <rPh sb="0" eb="2">
      <t>オスイ</t>
    </rPh>
    <rPh sb="2" eb="4">
      <t>ショリ</t>
    </rPh>
    <rPh sb="4" eb="6">
      <t>シセツ</t>
    </rPh>
    <rPh sb="8" eb="11">
      <t>トウハイゴウ</t>
    </rPh>
    <phoneticPr fontId="9"/>
  </si>
  <si>
    <t>汚泥処理の
共同化</t>
    <rPh sb="0" eb="2">
      <t>オデイ</t>
    </rPh>
    <rPh sb="2" eb="4">
      <t>ショリ</t>
    </rPh>
    <rPh sb="6" eb="9">
      <t>キョウドウカ</t>
    </rPh>
    <phoneticPr fontId="9"/>
  </si>
  <si>
    <t>維持管理・事務
の共同化</t>
    <rPh sb="0" eb="2">
      <t>イジ</t>
    </rPh>
    <rPh sb="2" eb="4">
      <t>カンリ</t>
    </rPh>
    <rPh sb="5" eb="7">
      <t>ジム</t>
    </rPh>
    <rPh sb="9" eb="12">
      <t>キョウドウカ</t>
    </rPh>
    <phoneticPr fontId="9"/>
  </si>
  <si>
    <r>
      <rPr>
        <b/>
        <sz val="12"/>
        <color theme="1"/>
        <rFont val="游ゴシック"/>
        <family val="3"/>
        <charset val="128"/>
        <scheme val="minor"/>
      </rPr>
      <t>最適な汚水処理
施設の選択</t>
    </r>
    <r>
      <rPr>
        <sz val="10"/>
        <color theme="1"/>
        <rFont val="游ゴシック"/>
        <family val="3"/>
        <charset val="128"/>
        <scheme val="minor"/>
      </rPr>
      <t>（最適化）</t>
    </r>
    <rPh sb="0" eb="2">
      <t>サイテキ</t>
    </rPh>
    <rPh sb="3" eb="5">
      <t>オスイ</t>
    </rPh>
    <rPh sb="5" eb="7">
      <t>ショリ</t>
    </rPh>
    <rPh sb="8" eb="10">
      <t>シセツ</t>
    </rPh>
    <rPh sb="11" eb="13">
      <t>センタク</t>
    </rPh>
    <rPh sb="14" eb="17">
      <t>サイテキカ</t>
    </rPh>
    <phoneticPr fontId="9"/>
  </si>
  <si>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9"/>
  </si>
  <si>
    <t>民間活用（指定管理者制度）</t>
    <rPh sb="0" eb="2">
      <t>ミンカン</t>
    </rPh>
    <rPh sb="2" eb="4">
      <t>カツヨウ</t>
    </rPh>
    <rPh sb="5" eb="7">
      <t>シテイ</t>
    </rPh>
    <rPh sb="7" eb="10">
      <t>カンリシャ</t>
    </rPh>
    <rPh sb="10" eb="12">
      <t>セイド</t>
    </rPh>
    <phoneticPr fontId="9"/>
  </si>
  <si>
    <t>（方式）</t>
    <rPh sb="1" eb="3">
      <t>ホウシキ</t>
    </rPh>
    <phoneticPr fontId="9"/>
  </si>
  <si>
    <t>代行制</t>
    <rPh sb="0" eb="3">
      <t>ダイコウセイ</t>
    </rPh>
    <phoneticPr fontId="9"/>
  </si>
  <si>
    <t>利用料金制</t>
    <rPh sb="0" eb="2">
      <t>リヨウ</t>
    </rPh>
    <rPh sb="2" eb="5">
      <t>リョウキンセイ</t>
    </rPh>
    <phoneticPr fontId="9"/>
  </si>
  <si>
    <t>民間活用（包括的民間委託）</t>
    <rPh sb="0" eb="2">
      <t>ミンカン</t>
    </rPh>
    <rPh sb="2" eb="4">
      <t>カツヨウ</t>
    </rPh>
    <rPh sb="5" eb="8">
      <t>ホウカツテキ</t>
    </rPh>
    <rPh sb="8" eb="10">
      <t>ミンカン</t>
    </rPh>
    <rPh sb="10" eb="12">
      <t>イタク</t>
    </rPh>
    <phoneticPr fontId="9"/>
  </si>
  <si>
    <t>（（実施済のみ）性能発注内容）</t>
    <rPh sb="2" eb="4">
      <t>ジッシ</t>
    </rPh>
    <rPh sb="4" eb="5">
      <t>ズ</t>
    </rPh>
    <rPh sb="8" eb="10">
      <t>セイノウ</t>
    </rPh>
    <rPh sb="10" eb="12">
      <t>ハッチュウ</t>
    </rPh>
    <rPh sb="12" eb="14">
      <t>ナイヨウ</t>
    </rPh>
    <phoneticPr fontId="9"/>
  </si>
  <si>
    <t>民間活用（ＰＰＰ/ＰＦＩ方式の活用）</t>
    <rPh sb="0" eb="2">
      <t>ミンカン</t>
    </rPh>
    <rPh sb="2" eb="4">
      <t>カツヨウ</t>
    </rPh>
    <rPh sb="12" eb="14">
      <t>ホウシキ</t>
    </rPh>
    <rPh sb="15" eb="17">
      <t>カツヨウ</t>
    </rPh>
    <phoneticPr fontId="9"/>
  </si>
  <si>
    <t>（導入・契約（予定）時期）</t>
    <rPh sb="1" eb="3">
      <t>ドウニュウ</t>
    </rPh>
    <rPh sb="4" eb="6">
      <t>ケイヤク</t>
    </rPh>
    <rPh sb="7" eb="9">
      <t>ヨテイ</t>
    </rPh>
    <rPh sb="10" eb="12">
      <t>ジキ</t>
    </rPh>
    <phoneticPr fontId="9"/>
  </si>
  <si>
    <t>BTO方式</t>
    <rPh sb="3" eb="5">
      <t>ホウシキ</t>
    </rPh>
    <phoneticPr fontId="9"/>
  </si>
  <si>
    <t>公共施設等運営権方式（コンセッション方式）</t>
    <rPh sb="0" eb="2">
      <t>コウキョウ</t>
    </rPh>
    <rPh sb="2" eb="4">
      <t>シセツ</t>
    </rPh>
    <rPh sb="4" eb="5">
      <t>トウ</t>
    </rPh>
    <rPh sb="5" eb="8">
      <t>ウンエイケン</t>
    </rPh>
    <rPh sb="8" eb="10">
      <t>ホウシキ</t>
    </rPh>
    <rPh sb="18" eb="20">
      <t>ホウシキ</t>
    </rPh>
    <phoneticPr fontId="9"/>
  </si>
  <si>
    <t>BOT方式</t>
    <rPh sb="3" eb="5">
      <t>ホウシキ</t>
    </rPh>
    <phoneticPr fontId="9"/>
  </si>
  <si>
    <t>BOO方式</t>
    <rPh sb="3" eb="5">
      <t>ホウシキ</t>
    </rPh>
    <phoneticPr fontId="9"/>
  </si>
  <si>
    <t>その他</t>
    <rPh sb="2" eb="3">
      <t>タ</t>
    </rPh>
    <phoneticPr fontId="9"/>
  </si>
  <si>
    <t>DB方式</t>
    <rPh sb="2" eb="4">
      <t>ホウシキ</t>
    </rPh>
    <phoneticPr fontId="9"/>
  </si>
  <si>
    <t>DBO方式</t>
    <rPh sb="3" eb="5">
      <t>ホウシキ</t>
    </rPh>
    <phoneticPr fontId="9"/>
  </si>
  <si>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9"/>
  </si>
  <si>
    <t>（公務員型と非公務員型の別）</t>
    <rPh sb="1" eb="5">
      <t>コウムインガタ</t>
    </rPh>
    <rPh sb="6" eb="7">
      <t>ヒ</t>
    </rPh>
    <rPh sb="7" eb="11">
      <t>コウムインガタ</t>
    </rPh>
    <rPh sb="12" eb="13">
      <t>ベツ</t>
    </rPh>
    <phoneticPr fontId="9"/>
  </si>
  <si>
    <t>公務員型</t>
    <rPh sb="0" eb="3">
      <t>コウムイン</t>
    </rPh>
    <rPh sb="3" eb="4">
      <t>ガタ</t>
    </rPh>
    <phoneticPr fontId="9"/>
  </si>
  <si>
    <t>非公務員型</t>
    <rPh sb="0" eb="1">
      <t>ヒ</t>
    </rPh>
    <rPh sb="1" eb="4">
      <t>コウムイン</t>
    </rPh>
    <rPh sb="4" eb="5">
      <t>ガタ</t>
    </rPh>
    <phoneticPr fontId="9"/>
  </si>
  <si>
    <t>抜本的な改革に取り組まず、現行の経営体制・手法を継続する理由及び現在の経営状況・経営戦略等における中長期的な将来見通しを踏まえた、今後の経営改革の方向性</t>
    <phoneticPr fontId="9"/>
  </si>
  <si>
    <t>簡易水道事業統合以外</t>
    <rPh sb="0" eb="1">
      <t>ロウ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</si>
</sst>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4"/>
      <color theme="1"/>
      <name val="游ゴシック"/>
      <family val="3"/>
      <charset val="128"/>
      <scheme val="minor"/>
    </font>
    <font>
      <b/>
      <sz val="10"/>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20"/>
      <name val="游ゴシック"/>
      <family val="2"/>
      <charset val="128"/>
      <scheme val="minor"/>
    </font>
    <font>
      <sz val="14"/>
      <color theme="1"/>
      <name val="游ゴシック"/>
      <family val="2"/>
      <charset val="128"/>
      <scheme val="minor"/>
    </font>
    <font>
      <sz val="10"/>
      <color theme="1"/>
      <name val="游ゴシック"/>
      <family val="2"/>
      <charset val="128"/>
      <scheme val="minor"/>
    </font>
    <font>
      <sz val="9"/>
      <color theme="1"/>
      <name val="游ゴシック"/>
      <family val="2"/>
      <charset val="128"/>
      <scheme val="minor"/>
    </font>
    <font>
      <sz val="6"/>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296">
    <xf numFmtId="0" fontId="0" fillId="0" borderId="0" xfId="0"/>
    <xf numFmtId="0" fontId="1" fillId="0" borderId="0" xfId="1">
      <alignment vertical="center"/>
    </xf>
    <xf numFmtId="0" fontId="3" fillId="0" borderId="0" xfId="1" applyFont="1" applyAlignment="1">
      <alignment horizontal="center" vertical="center"/>
    </xf>
    <xf numFmtId="0" fontId="4" fillId="0" borderId="0" xfId="1" applyFont="1" applyAlignment="1">
      <alignment horizontal="center" vertical="center"/>
    </xf>
    <xf numFmtId="0" fontId="5" fillId="0" borderId="0" xfId="1" applyFont="1">
      <alignment vertical="center"/>
    </xf>
    <xf numFmtId="0" fontId="6" fillId="0" borderId="0" xfId="1" applyFont="1" applyAlignment="1">
      <alignment horizontal="center" vertical="center"/>
    </xf>
    <xf numFmtId="0" fontId="7" fillId="0" borderId="0" xfId="1" applyFont="1">
      <alignment vertical="center"/>
    </xf>
    <xf numFmtId="0" fontId="7" fillId="0" borderId="0" xfId="1" applyFont="1" applyAlignment="1">
      <alignment horizontal="center" vertical="center"/>
    </xf>
    <xf numFmtId="0" fontId="8" fillId="0" borderId="0" xfId="1" applyFont="1" applyAlignment="1">
      <alignment vertical="center" shrinkToFit="1"/>
    </xf>
    <xf numFmtId="0" fontId="13" fillId="0" borderId="0" xfId="1" applyFont="1">
      <alignment vertical="center"/>
    </xf>
    <xf numFmtId="0" fontId="14" fillId="2" borderId="2" xfId="1" applyFont="1" applyFill="1" applyBorder="1" applyAlignment="1"/>
    <xf numFmtId="0" fontId="14" fillId="2" borderId="3" xfId="1" applyFont="1" applyFill="1" applyBorder="1" applyAlignment="1"/>
    <xf numFmtId="0" fontId="14" fillId="2" borderId="4" xfId="1" applyFont="1" applyFill="1" applyBorder="1" applyAlignment="1"/>
    <xf numFmtId="0" fontId="14" fillId="0" borderId="0" xfId="1" applyFont="1" applyAlignment="1"/>
    <xf numFmtId="0" fontId="14" fillId="2" borderId="5" xfId="1" applyFont="1" applyFill="1" applyBorder="1" applyAlignment="1"/>
    <xf numFmtId="0" fontId="14" fillId="2" borderId="0" xfId="1" applyFont="1" applyFill="1" applyAlignment="1"/>
    <xf numFmtId="0" fontId="14" fillId="2" borderId="6" xfId="1" applyFont="1" applyFill="1" applyBorder="1" applyAlignment="1"/>
    <xf numFmtId="0" fontId="15" fillId="2" borderId="0" xfId="1" applyFont="1" applyFill="1">
      <alignment vertical="center"/>
    </xf>
    <xf numFmtId="0" fontId="17" fillId="0" borderId="0" xfId="1" applyFont="1" applyAlignment="1"/>
    <xf numFmtId="0" fontId="18" fillId="2" borderId="0" xfId="1" applyFont="1" applyFill="1">
      <alignment vertical="center"/>
    </xf>
    <xf numFmtId="0" fontId="19" fillId="2" borderId="0" xfId="1" applyFont="1" applyFill="1">
      <alignment vertical="center"/>
    </xf>
    <xf numFmtId="0" fontId="17" fillId="2" borderId="7" xfId="1" applyFont="1" applyFill="1" applyBorder="1" applyAlignment="1"/>
    <xf numFmtId="0" fontId="17" fillId="2" borderId="8" xfId="1" applyFont="1" applyFill="1" applyBorder="1" applyAlignment="1"/>
    <xf numFmtId="0" fontId="14" fillId="2" borderId="8" xfId="1" applyFont="1" applyFill="1" applyBorder="1" applyAlignment="1"/>
    <xf numFmtId="0" fontId="14" fillId="2" borderId="9" xfId="1" applyFont="1" applyFill="1" applyBorder="1" applyAlignment="1"/>
    <xf numFmtId="0" fontId="18" fillId="0" borderId="0" xfId="1" applyFont="1">
      <alignment vertical="center"/>
    </xf>
    <xf numFmtId="0" fontId="17" fillId="0" borderId="0" xfId="1" applyFont="1">
      <alignment vertical="center"/>
    </xf>
    <xf numFmtId="0" fontId="18" fillId="2" borderId="2" xfId="1" applyFont="1" applyFill="1" applyBorder="1">
      <alignment vertical="center"/>
    </xf>
    <xf numFmtId="0" fontId="18" fillId="2" borderId="3" xfId="1" applyFont="1" applyFill="1" applyBorder="1">
      <alignment vertical="center"/>
    </xf>
    <xf numFmtId="0" fontId="17" fillId="2" borderId="3" xfId="1" applyFont="1" applyFill="1" applyBorder="1" applyAlignment="1">
      <alignment wrapText="1"/>
    </xf>
    <xf numFmtId="0" fontId="17" fillId="2" borderId="3" xfId="1" applyFont="1" applyFill="1" applyBorder="1" applyAlignment="1">
      <alignment shrinkToFit="1"/>
    </xf>
    <xf numFmtId="0" fontId="18" fillId="2" borderId="4" xfId="1" applyFont="1" applyFill="1" applyBorder="1">
      <alignment vertical="center"/>
    </xf>
    <xf numFmtId="0" fontId="20" fillId="0" borderId="0" xfId="1" applyFont="1">
      <alignment vertical="center"/>
    </xf>
    <xf numFmtId="0" fontId="18" fillId="2" borderId="5" xfId="1" applyFont="1" applyFill="1" applyBorder="1">
      <alignment vertical="center"/>
    </xf>
    <xf numFmtId="0" fontId="17" fillId="2" borderId="0" xfId="1" applyFont="1" applyFill="1" applyAlignment="1">
      <alignment wrapText="1"/>
    </xf>
    <xf numFmtId="0" fontId="17" fillId="2" borderId="0" xfId="1" applyFont="1" applyFill="1" applyAlignment="1"/>
    <xf numFmtId="0" fontId="21" fillId="2" borderId="0" xfId="1" applyFont="1" applyFill="1" applyAlignment="1"/>
    <xf numFmtId="0" fontId="4" fillId="2" borderId="0" xfId="1" applyFont="1" applyFill="1" applyAlignment="1">
      <alignment horizontal="left" vertical="center" wrapText="1"/>
    </xf>
    <xf numFmtId="0" fontId="18" fillId="2" borderId="6" xfId="1" applyFont="1" applyFill="1" applyBorder="1">
      <alignment vertical="center"/>
    </xf>
    <xf numFmtId="0" fontId="21" fillId="2" borderId="0" xfId="1" applyFont="1" applyFill="1">
      <alignment vertical="center"/>
    </xf>
    <xf numFmtId="0" fontId="17" fillId="2" borderId="0" xfId="1" applyFont="1" applyFill="1" applyAlignment="1">
      <alignment shrinkToFit="1"/>
    </xf>
    <xf numFmtId="0" fontId="4" fillId="2" borderId="0" xfId="1" applyFont="1" applyFill="1" applyAlignment="1">
      <alignment vertical="center" wrapText="1"/>
    </xf>
    <xf numFmtId="0" fontId="17" fillId="2" borderId="0" xfId="1" applyFont="1" applyFill="1" applyAlignment="1">
      <alignment horizontal="left" wrapText="1"/>
    </xf>
    <xf numFmtId="0" fontId="22" fillId="2" borderId="0" xfId="1" applyFont="1" applyFill="1">
      <alignment vertical="center"/>
    </xf>
    <xf numFmtId="0" fontId="21" fillId="2" borderId="0" xfId="1" applyFont="1" applyFill="1" applyAlignment="1">
      <alignment shrinkToFit="1"/>
    </xf>
    <xf numFmtId="0" fontId="21" fillId="2" borderId="0" xfId="1" applyFont="1" applyFill="1" applyAlignment="1">
      <alignment horizontal="left" vertical="center" wrapText="1"/>
    </xf>
    <xf numFmtId="0" fontId="21" fillId="2" borderId="0" xfId="1" applyFont="1" applyFill="1" applyAlignment="1">
      <alignment vertical="center" wrapText="1"/>
    </xf>
    <xf numFmtId="0" fontId="21" fillId="2" borderId="8" xfId="1" applyFont="1" applyFill="1" applyBorder="1" applyAlignment="1">
      <alignment wrapText="1"/>
    </xf>
    <xf numFmtId="0" fontId="21" fillId="2" borderId="0" xfId="1" applyFont="1" applyFill="1" applyAlignment="1">
      <alignment wrapText="1"/>
    </xf>
    <xf numFmtId="0" fontId="22" fillId="2" borderId="0" xfId="1" applyFont="1" applyFill="1" applyAlignment="1">
      <alignment horizontal="left" vertical="center"/>
    </xf>
    <xf numFmtId="0" fontId="24" fillId="2" borderId="0" xfId="1" applyFont="1" applyFill="1" applyAlignment="1">
      <alignment vertical="center" wrapText="1"/>
    </xf>
    <xf numFmtId="0" fontId="15" fillId="2" borderId="0" xfId="1" applyFont="1" applyFill="1" applyAlignment="1">
      <alignment horizontal="center" vertical="center"/>
    </xf>
    <xf numFmtId="0" fontId="19" fillId="2" borderId="0" xfId="1" applyFont="1" applyFill="1" applyAlignment="1">
      <alignment horizontal="center" vertical="center"/>
    </xf>
    <xf numFmtId="0" fontId="21" fillId="2" borderId="0" xfId="1" applyFont="1" applyFill="1" applyAlignment="1">
      <alignment horizontal="center" vertical="center"/>
    </xf>
    <xf numFmtId="0" fontId="27" fillId="2" borderId="0" xfId="1" applyFont="1" applyFill="1">
      <alignment vertical="center"/>
    </xf>
    <xf numFmtId="0" fontId="1" fillId="2" borderId="3" xfId="1" applyFill="1" applyBorder="1">
      <alignment vertical="center"/>
    </xf>
    <xf numFmtId="0" fontId="24" fillId="2" borderId="0" xfId="1" applyFont="1" applyFill="1">
      <alignment vertical="center"/>
    </xf>
    <xf numFmtId="0" fontId="18" fillId="2" borderId="7" xfId="1" applyFont="1" applyFill="1" applyBorder="1">
      <alignment vertical="center"/>
    </xf>
    <xf numFmtId="0" fontId="18" fillId="2" borderId="8" xfId="1" applyFont="1" applyFill="1" applyBorder="1">
      <alignment vertical="center"/>
    </xf>
    <xf numFmtId="0" fontId="18" fillId="2" borderId="9" xfId="1" applyFont="1" applyFill="1" applyBorder="1">
      <alignment vertical="center"/>
    </xf>
    <xf numFmtId="0" fontId="21" fillId="2" borderId="8" xfId="1" applyFont="1" applyFill="1" applyBorder="1" applyAlignment="1"/>
    <xf numFmtId="0" fontId="17" fillId="2" borderId="0" xfId="1" applyFont="1" applyFill="1" applyAlignment="1">
      <alignment horizontal="left" vertical="center" wrapText="1"/>
    </xf>
    <xf numFmtId="0" fontId="25" fillId="2" borderId="0" xfId="1" applyFont="1" applyFill="1" applyAlignment="1">
      <alignment horizontal="left" vertical="center"/>
    </xf>
    <xf numFmtId="0" fontId="13" fillId="2" borderId="0" xfId="1" applyFont="1" applyFill="1">
      <alignment vertical="center"/>
    </xf>
    <xf numFmtId="0" fontId="1" fillId="2" borderId="2" xfId="1" applyFill="1" applyBorder="1">
      <alignment vertical="center"/>
    </xf>
    <xf numFmtId="0" fontId="13" fillId="2" borderId="3" xfId="1" applyFont="1" applyFill="1" applyBorder="1">
      <alignment vertical="center"/>
    </xf>
    <xf numFmtId="0" fontId="1" fillId="2" borderId="4" xfId="1" applyFill="1" applyBorder="1">
      <alignment vertical="center"/>
    </xf>
    <xf numFmtId="0" fontId="1" fillId="2" borderId="5" xfId="1" applyFill="1" applyBorder="1">
      <alignment vertical="center"/>
    </xf>
    <xf numFmtId="0" fontId="1" fillId="2" borderId="6" xfId="1" applyFill="1" applyBorder="1">
      <alignment vertical="center"/>
    </xf>
    <xf numFmtId="0" fontId="1" fillId="2" borderId="7" xfId="1" applyFill="1" applyBorder="1">
      <alignment vertical="center"/>
    </xf>
    <xf numFmtId="0" fontId="1" fillId="2" borderId="8" xfId="1" applyFill="1" applyBorder="1">
      <alignment vertical="center"/>
    </xf>
    <xf numFmtId="0" fontId="1" fillId="2" borderId="9" xfId="1" applyFill="1" applyBorder="1">
      <alignment vertical="center"/>
    </xf>
    <xf numFmtId="0" fontId="31" fillId="0" borderId="0" xfId="1" applyFont="1" applyAlignment="1">
      <alignment horizontal="left" vertical="center" wrapText="1"/>
    </xf>
    <xf numFmtId="0" fontId="7" fillId="4" borderId="2" xfId="1" applyFont="1" applyFill="1" applyBorder="1" applyAlignment="1">
      <alignment horizontal="left" vertical="top" wrapText="1"/>
    </xf>
    <xf numFmtId="0" fontId="7" fillId="4" borderId="3" xfId="1" applyFont="1" applyFill="1" applyBorder="1" applyAlignment="1">
      <alignment horizontal="left" vertical="top" wrapText="1"/>
    </xf>
    <xf numFmtId="0" fontId="7" fillId="4" borderId="4" xfId="1" applyFont="1" applyFill="1" applyBorder="1" applyAlignment="1">
      <alignment horizontal="left" vertical="top" wrapText="1"/>
    </xf>
    <xf numFmtId="0" fontId="7" fillId="4" borderId="5" xfId="1" applyFont="1" applyFill="1" applyBorder="1" applyAlignment="1">
      <alignment horizontal="left" vertical="top" wrapText="1"/>
    </xf>
    <xf numFmtId="0" fontId="7" fillId="4" borderId="0" xfId="1" applyFont="1" applyFill="1" applyAlignment="1">
      <alignment horizontal="left" vertical="top" wrapText="1"/>
    </xf>
    <xf numFmtId="0" fontId="7" fillId="4" borderId="6" xfId="1" applyFont="1" applyFill="1" applyBorder="1" applyAlignment="1">
      <alignment horizontal="left" vertical="top" wrapText="1"/>
    </xf>
    <xf numFmtId="0" fontId="7" fillId="4" borderId="7" xfId="1" applyFont="1" applyFill="1" applyBorder="1" applyAlignment="1">
      <alignment horizontal="left" vertical="top" wrapText="1"/>
    </xf>
    <xf numFmtId="0" fontId="7" fillId="4" borderId="8" xfId="1" applyFont="1" applyFill="1" applyBorder="1" applyAlignment="1">
      <alignment horizontal="left" vertical="top" wrapText="1"/>
    </xf>
    <xf numFmtId="0" fontId="7" fillId="4" borderId="9" xfId="1" applyFont="1" applyFill="1" applyBorder="1" applyAlignment="1">
      <alignment horizontal="left" vertical="top" wrapText="1"/>
    </xf>
    <xf numFmtId="0" fontId="19" fillId="0" borderId="5" xfId="1" applyFont="1" applyBorder="1" applyAlignment="1">
      <alignment horizontal="center" vertical="center" shrinkToFit="1"/>
    </xf>
    <xf numFmtId="0" fontId="19" fillId="0" borderId="0" xfId="1" applyFont="1" applyAlignment="1">
      <alignment horizontal="center" vertical="center" shrinkToFit="1"/>
    </xf>
    <xf numFmtId="0" fontId="19" fillId="0" borderId="7" xfId="1" applyFont="1" applyBorder="1" applyAlignment="1">
      <alignment horizontal="center" vertical="center" shrinkToFit="1"/>
    </xf>
    <xf numFmtId="0" fontId="19" fillId="0" borderId="8" xfId="1" applyFont="1" applyBorder="1" applyAlignment="1">
      <alignment horizontal="center" vertical="center" shrinkToFit="1"/>
    </xf>
    <xf numFmtId="0" fontId="19" fillId="0" borderId="6" xfId="1" applyFont="1" applyBorder="1" applyAlignment="1">
      <alignment horizontal="center" vertical="center" shrinkToFit="1"/>
    </xf>
    <xf numFmtId="0" fontId="19" fillId="0" borderId="9" xfId="1" applyFont="1" applyBorder="1" applyAlignment="1">
      <alignment horizontal="center" vertical="center" shrinkToFit="1"/>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4" xfId="1" applyFont="1" applyBorder="1" applyAlignment="1">
      <alignment horizontal="center" vertical="center"/>
    </xf>
    <xf numFmtId="0" fontId="15" fillId="0" borderId="5"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5" fillId="0" borderId="7" xfId="1" applyFont="1" applyBorder="1" applyAlignment="1">
      <alignment horizontal="center" vertical="center"/>
    </xf>
    <xf numFmtId="0" fontId="15" fillId="0" borderId="8" xfId="1" applyFont="1" applyBorder="1" applyAlignment="1">
      <alignment horizontal="center" vertical="center"/>
    </xf>
    <xf numFmtId="0" fontId="15" fillId="0" borderId="9" xfId="1" applyFont="1" applyBorder="1" applyAlignment="1">
      <alignment horizontal="center" vertical="center"/>
    </xf>
    <xf numFmtId="0" fontId="19" fillId="0" borderId="2" xfId="1" applyFont="1" applyBorder="1" applyAlignment="1">
      <alignment horizontal="center" vertical="center"/>
    </xf>
    <xf numFmtId="0" fontId="19" fillId="0" borderId="3" xfId="1" applyFont="1" applyBorder="1" applyAlignment="1">
      <alignment horizontal="center" vertical="center"/>
    </xf>
    <xf numFmtId="0" fontId="19" fillId="0" borderId="4" xfId="1" applyFont="1" applyBorder="1" applyAlignment="1">
      <alignment horizontal="center" vertical="center"/>
    </xf>
    <xf numFmtId="0" fontId="19" fillId="0" borderId="5"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8" xfId="1" applyFont="1" applyBorder="1" applyAlignment="1">
      <alignment horizontal="center" vertical="center"/>
    </xf>
    <xf numFmtId="0" fontId="19" fillId="0" borderId="9" xfId="1" applyFont="1" applyBorder="1" applyAlignment="1">
      <alignment horizontal="center" vertical="center"/>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3" fillId="0" borderId="4" xfId="1" applyFont="1" applyBorder="1" applyAlignment="1">
      <alignment horizontal="left" vertical="center" wrapText="1"/>
    </xf>
    <xf numFmtId="0" fontId="23" fillId="0" borderId="5" xfId="1" applyFont="1" applyBorder="1" applyAlignment="1">
      <alignment horizontal="left" vertical="center" wrapText="1"/>
    </xf>
    <xf numFmtId="0" fontId="23" fillId="0" borderId="0" xfId="1" applyFont="1" applyAlignment="1">
      <alignment horizontal="left" vertical="center" wrapText="1"/>
    </xf>
    <xf numFmtId="0" fontId="23" fillId="0" borderId="6" xfId="1" applyFont="1" applyBorder="1" applyAlignment="1">
      <alignment horizontal="left" vertical="center" wrapText="1"/>
    </xf>
    <xf numFmtId="0" fontId="23" fillId="0" borderId="7" xfId="1" applyFont="1" applyBorder="1" applyAlignment="1">
      <alignment horizontal="left" vertical="center" wrapText="1"/>
    </xf>
    <xf numFmtId="0" fontId="23" fillId="0" borderId="8" xfId="1" applyFont="1" applyBorder="1" applyAlignment="1">
      <alignment horizontal="left" vertical="center" wrapText="1"/>
    </xf>
    <xf numFmtId="0" fontId="23" fillId="0" borderId="9" xfId="1" applyFont="1" applyBorder="1" applyAlignment="1">
      <alignment horizontal="left" vertical="center" wrapText="1"/>
    </xf>
    <xf numFmtId="0" fontId="19" fillId="0" borderId="2" xfId="1" applyFont="1" applyBorder="1" applyAlignment="1">
      <alignment horizontal="center" vertical="center" shrinkToFit="1"/>
    </xf>
    <xf numFmtId="0" fontId="19" fillId="0" borderId="3" xfId="1" applyFont="1" applyBorder="1" applyAlignment="1">
      <alignment horizontal="center" vertical="center" shrinkToFit="1"/>
    </xf>
    <xf numFmtId="0" fontId="19" fillId="0" borderId="4" xfId="1" applyFont="1" applyBorder="1" applyAlignment="1">
      <alignment horizontal="center" vertical="center" shrinkToFi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0" xfId="1" applyFont="1" applyAlignment="1">
      <alignment horizontal="center" vertical="center" wrapText="1"/>
    </xf>
    <xf numFmtId="0" fontId="19" fillId="0" borderId="6"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17" fillId="2" borderId="10" xfId="1" applyFont="1" applyFill="1" applyBorder="1" applyAlignment="1">
      <alignment horizontal="left" wrapText="1"/>
    </xf>
    <xf numFmtId="0" fontId="15" fillId="3" borderId="2" xfId="1" applyFont="1" applyFill="1" applyBorder="1" applyAlignment="1">
      <alignment horizontal="center" vertical="center"/>
    </xf>
    <xf numFmtId="0" fontId="15" fillId="3" borderId="3" xfId="1" applyFont="1" applyFill="1" applyBorder="1" applyAlignment="1">
      <alignment horizontal="center" vertical="center"/>
    </xf>
    <xf numFmtId="0" fontId="15" fillId="3" borderId="4" xfId="1" applyFont="1" applyFill="1" applyBorder="1" applyAlignment="1">
      <alignment horizontal="center" vertical="center"/>
    </xf>
    <xf numFmtId="0" fontId="15" fillId="3" borderId="7" xfId="1" applyFont="1" applyFill="1" applyBorder="1" applyAlignment="1">
      <alignment horizontal="center" vertical="center"/>
    </xf>
    <xf numFmtId="0" fontId="15" fillId="3" borderId="8" xfId="1" applyFont="1" applyFill="1" applyBorder="1" applyAlignment="1">
      <alignment horizontal="center" vertical="center"/>
    </xf>
    <xf numFmtId="0" fontId="15" fillId="3" borderId="9" xfId="1" applyFont="1" applyFill="1" applyBorder="1" applyAlignment="1">
      <alignment horizontal="center" vertical="center"/>
    </xf>
    <xf numFmtId="0" fontId="25" fillId="0" borderId="2" xfId="1" applyFont="1" applyBorder="1" applyAlignment="1">
      <alignment horizontal="center" vertical="center" shrinkToFit="1"/>
    </xf>
    <xf numFmtId="0" fontId="25" fillId="0" borderId="3" xfId="1" applyFont="1" applyBorder="1" applyAlignment="1">
      <alignment horizontal="center" vertical="center" shrinkToFit="1"/>
    </xf>
    <xf numFmtId="0" fontId="25" fillId="0" borderId="4" xfId="1" applyFont="1" applyBorder="1" applyAlignment="1">
      <alignment horizontal="center" vertical="center" shrinkToFit="1"/>
    </xf>
    <xf numFmtId="0" fontId="25" fillId="0" borderId="7" xfId="1" applyFont="1" applyBorder="1" applyAlignment="1">
      <alignment horizontal="center" vertical="center" shrinkToFit="1"/>
    </xf>
    <xf numFmtId="0" fontId="25" fillId="0" borderId="8" xfId="1" applyFont="1" applyBorder="1" applyAlignment="1">
      <alignment horizontal="center" vertical="center" shrinkToFit="1"/>
    </xf>
    <xf numFmtId="0" fontId="25" fillId="0" borderId="9" xfId="1" applyFont="1" applyBorder="1" applyAlignment="1">
      <alignment horizontal="center" vertical="center" shrinkToFit="1"/>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0" xfId="1" applyFont="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9" xfId="1" applyFont="1" applyBorder="1" applyAlignment="1">
      <alignment horizontal="center" vertical="center" wrapText="1"/>
    </xf>
    <xf numFmtId="0" fontId="30"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29" fillId="0" borderId="1" xfId="1" applyFont="1" applyBorder="1" applyAlignment="1">
      <alignment horizontal="center" vertical="center" wrapText="1"/>
    </xf>
    <xf numFmtId="0" fontId="18" fillId="0" borderId="1" xfId="1" quotePrefix="1" applyFont="1" applyBorder="1" applyAlignment="1">
      <alignment horizontal="center" vertical="center" wrapText="1"/>
    </xf>
    <xf numFmtId="0" fontId="17" fillId="2" borderId="3" xfId="1" applyFont="1" applyFill="1" applyBorder="1" applyAlignment="1">
      <alignment horizontal="left" wrapText="1"/>
    </xf>
    <xf numFmtId="0" fontId="17" fillId="2" borderId="8" xfId="1" applyFont="1" applyFill="1" applyBorder="1" applyAlignment="1">
      <alignment horizontal="left" wrapText="1"/>
    </xf>
    <xf numFmtId="0" fontId="28" fillId="0" borderId="2" xfId="1" applyFont="1" applyBorder="1" applyAlignment="1">
      <alignment horizontal="left" vertical="center" wrapText="1"/>
    </xf>
    <xf numFmtId="0" fontId="28" fillId="0" borderId="3" xfId="1" applyFont="1" applyBorder="1" applyAlignment="1">
      <alignment horizontal="left" vertical="center" wrapText="1"/>
    </xf>
    <xf numFmtId="0" fontId="28" fillId="0" borderId="4" xfId="1" applyFont="1" applyBorder="1" applyAlignment="1">
      <alignment horizontal="left" vertical="center" wrapText="1"/>
    </xf>
    <xf numFmtId="0" fontId="28" fillId="0" borderId="5" xfId="1" applyFont="1" applyBorder="1" applyAlignment="1">
      <alignment horizontal="left" vertical="center" wrapText="1"/>
    </xf>
    <xf numFmtId="0" fontId="28" fillId="0" borderId="0" xfId="1" applyFont="1" applyAlignment="1">
      <alignment horizontal="left" vertical="center" wrapText="1"/>
    </xf>
    <xf numFmtId="0" fontId="28" fillId="0" borderId="6" xfId="1" applyFont="1" applyBorder="1" applyAlignment="1">
      <alignment horizontal="left" vertical="center" wrapText="1"/>
    </xf>
    <xf numFmtId="0" fontId="28" fillId="0" borderId="7" xfId="1" applyFont="1" applyBorder="1" applyAlignment="1">
      <alignment horizontal="left" vertical="center" wrapText="1"/>
    </xf>
    <xf numFmtId="0" fontId="28" fillId="0" borderId="8" xfId="1" applyFont="1" applyBorder="1" applyAlignment="1">
      <alignment horizontal="left" vertical="center" wrapText="1"/>
    </xf>
    <xf numFmtId="0" fontId="28" fillId="0" borderId="9" xfId="1" applyFont="1" applyBorder="1" applyAlignment="1">
      <alignment horizontal="left" vertical="center" wrapText="1"/>
    </xf>
    <xf numFmtId="0" fontId="23" fillId="0" borderId="3" xfId="1" applyFont="1" applyBorder="1" applyAlignment="1">
      <alignment horizontal="left" vertical="center"/>
    </xf>
    <xf numFmtId="0" fontId="23" fillId="0" borderId="4" xfId="1" applyFont="1" applyBorder="1" applyAlignment="1">
      <alignment horizontal="left" vertical="center"/>
    </xf>
    <xf numFmtId="0" fontId="23" fillId="0" borderId="5" xfId="1" applyFont="1" applyBorder="1" applyAlignment="1">
      <alignment horizontal="left" vertical="center"/>
    </xf>
    <xf numFmtId="0" fontId="23" fillId="0" borderId="0" xfId="1" applyFont="1" applyAlignment="1">
      <alignment horizontal="left" vertical="center"/>
    </xf>
    <xf numFmtId="0" fontId="23" fillId="0" borderId="6" xfId="1" applyFont="1" applyBorder="1" applyAlignment="1">
      <alignment horizontal="left" vertical="center"/>
    </xf>
    <xf numFmtId="0" fontId="23" fillId="0" borderId="7" xfId="1" applyFont="1" applyBorder="1" applyAlignment="1">
      <alignment horizontal="left" vertical="center"/>
    </xf>
    <xf numFmtId="0" fontId="23" fillId="0" borderId="8" xfId="1" applyFont="1" applyBorder="1" applyAlignment="1">
      <alignment horizontal="left" vertical="center"/>
    </xf>
    <xf numFmtId="0" fontId="23" fillId="0" borderId="9" xfId="1" applyFont="1" applyBorder="1" applyAlignment="1">
      <alignment horizontal="left" vertical="center"/>
    </xf>
    <xf numFmtId="0" fontId="15" fillId="0" borderId="1" xfId="1" applyFont="1" applyBorder="1" applyAlignment="1">
      <alignment horizontal="center" vertical="center"/>
    </xf>
    <xf numFmtId="0" fontId="15" fillId="0" borderId="11" xfId="1" applyFont="1" applyBorder="1" applyAlignment="1">
      <alignment horizontal="center" vertical="center"/>
    </xf>
    <xf numFmtId="0" fontId="25" fillId="0" borderId="5" xfId="1" applyFont="1" applyBorder="1" applyAlignment="1">
      <alignment horizontal="center" vertical="center" shrinkToFit="1"/>
    </xf>
    <xf numFmtId="0" fontId="25" fillId="0" borderId="0" xfId="1" applyFont="1" applyAlignment="1">
      <alignment horizontal="center" vertical="center" shrinkToFit="1"/>
    </xf>
    <xf numFmtId="0" fontId="25" fillId="0" borderId="6" xfId="1" applyFont="1" applyBorder="1" applyAlignment="1">
      <alignment horizontal="center" vertical="center" shrinkToFit="1"/>
    </xf>
    <xf numFmtId="0" fontId="15" fillId="0" borderId="1" xfId="1" applyFont="1" applyBorder="1" applyAlignment="1">
      <alignment horizontal="center" vertical="center" wrapText="1"/>
    </xf>
    <xf numFmtId="0" fontId="17" fillId="2" borderId="0" xfId="1" applyFont="1" applyFill="1" applyAlignment="1">
      <alignment horizontal="left" wrapText="1"/>
    </xf>
    <xf numFmtId="0" fontId="25" fillId="0" borderId="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0" xfId="1" applyFont="1" applyAlignment="1">
      <alignment horizontal="center" vertical="center" wrapText="1"/>
    </xf>
    <xf numFmtId="0" fontId="28" fillId="0" borderId="2" xfId="1" applyFont="1" applyBorder="1" applyAlignment="1">
      <alignment horizontal="center" vertical="center" wrapText="1"/>
    </xf>
    <xf numFmtId="0" fontId="28" fillId="0" borderId="3" xfId="1" applyFont="1" applyBorder="1" applyAlignment="1">
      <alignment horizontal="center" vertical="center" wrapText="1"/>
    </xf>
    <xf numFmtId="0" fontId="28" fillId="0" borderId="4" xfId="1" applyFont="1" applyBorder="1" applyAlignment="1">
      <alignment horizontal="center" vertical="center" wrapText="1"/>
    </xf>
    <xf numFmtId="0" fontId="28" fillId="0" borderId="5" xfId="1" applyFont="1" applyBorder="1" applyAlignment="1">
      <alignment horizontal="center" vertical="center" wrapText="1"/>
    </xf>
    <xf numFmtId="0" fontId="28" fillId="0" borderId="0" xfId="1" applyFont="1" applyAlignment="1">
      <alignment horizontal="center" vertical="center" wrapText="1"/>
    </xf>
    <xf numFmtId="0" fontId="28" fillId="0" borderId="6"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9" xfId="1" applyFont="1" applyBorder="1" applyAlignment="1">
      <alignment horizontal="center" vertical="center" wrapText="1"/>
    </xf>
    <xf numFmtId="0" fontId="35" fillId="0" borderId="2" xfId="1" applyFont="1" applyBorder="1" applyAlignment="1">
      <alignment horizontal="left" vertical="center" wrapText="1"/>
    </xf>
    <xf numFmtId="0" fontId="35" fillId="0" borderId="3" xfId="1" applyFont="1" applyBorder="1" applyAlignment="1">
      <alignment horizontal="left" vertical="center" wrapText="1"/>
    </xf>
    <xf numFmtId="0" fontId="35" fillId="0" borderId="4" xfId="1" applyFont="1" applyBorder="1" applyAlignment="1">
      <alignment horizontal="left" vertical="center" wrapText="1"/>
    </xf>
    <xf numFmtId="0" fontId="35" fillId="0" borderId="5" xfId="1" applyFont="1" applyBorder="1" applyAlignment="1">
      <alignment horizontal="left" vertical="center" wrapText="1"/>
    </xf>
    <xf numFmtId="0" fontId="35" fillId="0" borderId="0" xfId="1" applyFont="1" applyAlignment="1">
      <alignment horizontal="left" vertical="center" wrapText="1"/>
    </xf>
    <xf numFmtId="0" fontId="35" fillId="0" borderId="6" xfId="1" applyFont="1" applyBorder="1" applyAlignment="1">
      <alignment horizontal="left" vertical="center" wrapText="1"/>
    </xf>
    <xf numFmtId="0" fontId="35" fillId="0" borderId="7" xfId="1" applyFont="1" applyBorder="1" applyAlignment="1">
      <alignment horizontal="left" vertical="center" wrapText="1"/>
    </xf>
    <xf numFmtId="0" fontId="35" fillId="0" borderId="8" xfId="1" applyFont="1" applyBorder="1" applyAlignment="1">
      <alignment horizontal="left" vertical="center" wrapText="1"/>
    </xf>
    <xf numFmtId="0" fontId="35" fillId="0" borderId="9" xfId="1" applyFont="1" applyBorder="1" applyAlignment="1">
      <alignment horizontal="left" vertical="center" wrapText="1"/>
    </xf>
    <xf numFmtId="0" fontId="34" fillId="0" borderId="2" xfId="1" applyFont="1" applyBorder="1" applyAlignment="1">
      <alignment horizontal="left" vertical="center" wrapText="1"/>
    </xf>
    <xf numFmtId="0" fontId="34" fillId="0" borderId="3" xfId="1" applyFont="1" applyBorder="1" applyAlignment="1">
      <alignment horizontal="left" vertical="center" wrapText="1"/>
    </xf>
    <xf numFmtId="0" fontId="34" fillId="0" borderId="4" xfId="1" applyFont="1" applyBorder="1" applyAlignment="1">
      <alignment horizontal="left" vertical="center" wrapText="1"/>
    </xf>
    <xf numFmtId="0" fontId="34" fillId="0" borderId="5" xfId="1" applyFont="1" applyBorder="1" applyAlignment="1">
      <alignment horizontal="left" vertical="center" wrapText="1"/>
    </xf>
    <xf numFmtId="0" fontId="34" fillId="0" borderId="0" xfId="1" applyFont="1" applyAlignment="1">
      <alignment horizontal="left" vertical="center" wrapText="1"/>
    </xf>
    <xf numFmtId="0" fontId="34" fillId="0" borderId="6" xfId="1" applyFont="1" applyBorder="1" applyAlignment="1">
      <alignment horizontal="left" vertical="center" wrapText="1"/>
    </xf>
    <xf numFmtId="0" fontId="34" fillId="0" borderId="7" xfId="1" applyFont="1" applyBorder="1" applyAlignment="1">
      <alignment horizontal="left" vertical="center" wrapText="1"/>
    </xf>
    <xf numFmtId="0" fontId="34" fillId="0" borderId="8" xfId="1" applyFont="1" applyBorder="1" applyAlignment="1">
      <alignment horizontal="left" vertical="center" wrapText="1"/>
    </xf>
    <xf numFmtId="0" fontId="34" fillId="0" borderId="9" xfId="1" applyFont="1" applyBorder="1" applyAlignment="1">
      <alignment horizontal="left" vertical="center" wrapText="1"/>
    </xf>
    <xf numFmtId="0" fontId="25" fillId="0" borderId="1" xfId="1" applyFont="1" applyBorder="1" applyAlignment="1">
      <alignment horizontal="center" vertical="center" wrapText="1" shrinkToFit="1"/>
    </xf>
    <xf numFmtId="0" fontId="26" fillId="0" borderId="10" xfId="1" applyFont="1" applyBorder="1">
      <alignment vertical="center"/>
    </xf>
    <xf numFmtId="0" fontId="26" fillId="0" borderId="12" xfId="1" applyFont="1" applyBorder="1">
      <alignment vertical="center"/>
    </xf>
    <xf numFmtId="0" fontId="14" fillId="0" borderId="11" xfId="1" applyFont="1" applyBorder="1" applyAlignment="1">
      <alignment horizontal="center" vertical="center"/>
    </xf>
    <xf numFmtId="0" fontId="14" fillId="0" borderId="12" xfId="1" applyFont="1" applyBorder="1" applyAlignment="1">
      <alignment horizontal="center" vertical="center"/>
    </xf>
    <xf numFmtId="0" fontId="1" fillId="0" borderId="0" xfId="1" applyAlignment="1">
      <alignment horizontal="center" vertical="center" shrinkToFit="1"/>
    </xf>
    <xf numFmtId="0" fontId="1" fillId="0" borderId="6" xfId="1" applyBorder="1" applyAlignment="1">
      <alignment horizontal="center" vertical="center" shrinkToFit="1"/>
    </xf>
    <xf numFmtId="0" fontId="1" fillId="0" borderId="5" xfId="1" applyBorder="1" applyAlignment="1">
      <alignment horizontal="center" vertical="center" shrinkToFit="1"/>
    </xf>
    <xf numFmtId="0" fontId="1" fillId="0" borderId="7" xfId="1" applyBorder="1" applyAlignment="1">
      <alignment horizontal="center" vertical="center" shrinkToFit="1"/>
    </xf>
    <xf numFmtId="0" fontId="1" fillId="0" borderId="8" xfId="1" applyBorder="1" applyAlignment="1">
      <alignment horizontal="center" vertical="center" shrinkToFit="1"/>
    </xf>
    <xf numFmtId="0" fontId="1" fillId="0" borderId="9" xfId="1" applyBorder="1" applyAlignment="1">
      <alignment horizontal="center" vertical="center" shrinkToFit="1"/>
    </xf>
    <xf numFmtId="0" fontId="1" fillId="0" borderId="3" xfId="1" applyBorder="1">
      <alignment vertical="center"/>
    </xf>
    <xf numFmtId="0" fontId="1" fillId="0" borderId="4" xfId="1" applyBorder="1">
      <alignment vertical="center"/>
    </xf>
    <xf numFmtId="0" fontId="1" fillId="0" borderId="0" xfId="1">
      <alignment vertical="center"/>
    </xf>
    <xf numFmtId="0" fontId="1" fillId="0" borderId="6" xfId="1" applyBorder="1">
      <alignment vertical="center"/>
    </xf>
    <xf numFmtId="0" fontId="1" fillId="0" borderId="8" xfId="1" applyBorder="1">
      <alignment vertical="center"/>
    </xf>
    <xf numFmtId="0" fontId="1" fillId="0" borderId="9" xfId="1" applyBorder="1">
      <alignment vertical="center"/>
    </xf>
    <xf numFmtId="0" fontId="25" fillId="0" borderId="1" xfId="1" applyFont="1" applyBorder="1" applyAlignment="1">
      <alignment horizontal="center" vertical="center" shrinkToFi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0" xfId="1" applyFont="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0" xfId="1" applyFont="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9" xfId="1" applyFont="1" applyBorder="1" applyAlignment="1">
      <alignment horizontal="center" vertical="center"/>
    </xf>
    <xf numFmtId="0" fontId="16" fillId="0" borderId="2" xfId="1" applyFont="1" applyBorder="1" applyAlignment="1">
      <alignment horizontal="center" vertical="center" wrapText="1"/>
    </xf>
    <xf numFmtId="0" fontId="16" fillId="0" borderId="3"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0" xfId="1" applyFont="1" applyAlignment="1">
      <alignment horizontal="center" vertical="center" wrapText="1"/>
    </xf>
    <xf numFmtId="0" fontId="16" fillId="0" borderId="7" xfId="1" applyFont="1" applyBorder="1" applyAlignment="1">
      <alignment horizontal="center" vertical="center" wrapText="1"/>
    </xf>
    <xf numFmtId="0" fontId="16" fillId="0" borderId="8"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9" xfId="1" applyFont="1" applyBorder="1" applyAlignment="1">
      <alignment horizontal="center" vertical="center" wrapText="1"/>
    </xf>
    <xf numFmtId="0" fontId="8" fillId="0" borderId="1" xfId="1" applyFont="1" applyBorder="1" applyAlignment="1">
      <alignment horizontal="center" vertical="center" shrinkToFit="1"/>
    </xf>
    <xf numFmtId="0" fontId="1" fillId="0" borderId="1" xfId="1" applyBorder="1" applyAlignment="1">
      <alignment horizontal="center" vertical="center" shrinkToFit="1"/>
    </xf>
    <xf numFmtId="0" fontId="10" fillId="0" borderId="2" xfId="1" applyFont="1" applyBorder="1" applyAlignment="1">
      <alignment horizontal="center" vertical="center" shrinkToFit="1"/>
    </xf>
    <xf numFmtId="0" fontId="1" fillId="0" borderId="3" xfId="1" applyBorder="1" applyAlignment="1">
      <alignment horizontal="center" vertical="center" shrinkToFit="1"/>
    </xf>
    <xf numFmtId="0" fontId="1" fillId="0" borderId="4" xfId="1" applyBorder="1" applyAlignment="1">
      <alignment horizontal="center" vertical="center" shrinkToFit="1"/>
    </xf>
    <xf numFmtId="0" fontId="8" fillId="0" borderId="2" xfId="1" applyFont="1" applyBorder="1" applyAlignment="1">
      <alignment horizontal="center" vertical="center" shrinkToFit="1"/>
    </xf>
    <xf numFmtId="0" fontId="1" fillId="0" borderId="1" xfId="1" applyBorder="1" applyAlignment="1">
      <alignment vertical="center" shrinkToFit="1"/>
    </xf>
    <xf numFmtId="0" fontId="7" fillId="0" borderId="1" xfId="1" applyFont="1" applyBorder="1" applyAlignment="1">
      <alignment horizontal="center" vertical="center" shrinkToFit="1"/>
    </xf>
    <xf numFmtId="0" fontId="11" fillId="0" borderId="2" xfId="1" applyFont="1" applyBorder="1" applyAlignment="1">
      <alignment horizontal="center" vertical="center" shrinkToFit="1"/>
    </xf>
    <xf numFmtId="0" fontId="12" fillId="0" borderId="3"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0" xfId="1" applyFont="1" applyAlignment="1">
      <alignment horizontal="center" vertical="center" shrinkToFit="1"/>
    </xf>
    <xf numFmtId="0" fontId="12" fillId="0" borderId="7" xfId="1" applyFont="1" applyBorder="1" applyAlignment="1">
      <alignment horizontal="center" vertical="center" shrinkToFit="1"/>
    </xf>
    <xf numFmtId="0" fontId="12" fillId="0" borderId="8" xfId="1" applyFont="1" applyBorder="1" applyAlignment="1">
      <alignment horizontal="center" vertical="center" shrinkToFit="1"/>
    </xf>
    <xf numFmtId="0" fontId="7" fillId="0" borderId="2" xfId="1" applyFont="1" applyBorder="1" applyAlignment="1">
      <alignment horizontal="center" vertical="center" shrinkToFit="1"/>
    </xf>
    <xf numFmtId="0" fontId="33" fillId="0" borderId="2" xfId="1" applyFont="1" applyBorder="1" applyAlignment="1">
      <alignment horizontal="left" vertical="center" wrapText="1"/>
    </xf>
    <xf numFmtId="0" fontId="33" fillId="0" borderId="3" xfId="1" applyFont="1" applyBorder="1" applyAlignment="1">
      <alignment horizontal="left" vertical="center" wrapText="1"/>
    </xf>
    <xf numFmtId="0" fontId="33" fillId="0" borderId="4" xfId="1" applyFont="1" applyBorder="1" applyAlignment="1">
      <alignment horizontal="left" vertical="center" wrapText="1"/>
    </xf>
    <xf numFmtId="0" fontId="33" fillId="0" borderId="5" xfId="1" applyFont="1" applyBorder="1" applyAlignment="1">
      <alignment horizontal="left" vertical="center" wrapText="1"/>
    </xf>
    <xf numFmtId="0" fontId="33" fillId="0" borderId="0" xfId="1" applyFont="1" applyAlignment="1">
      <alignment horizontal="left" vertical="center" wrapText="1"/>
    </xf>
    <xf numFmtId="0" fontId="33" fillId="0" borderId="6" xfId="1" applyFont="1" applyBorder="1" applyAlignment="1">
      <alignment horizontal="left" vertical="center" wrapText="1"/>
    </xf>
    <xf numFmtId="0" fontId="33" fillId="0" borderId="7" xfId="1" applyFont="1" applyBorder="1" applyAlignment="1">
      <alignment horizontal="left" vertical="center" wrapText="1"/>
    </xf>
    <xf numFmtId="0" fontId="33" fillId="0" borderId="8" xfId="1" applyFont="1" applyBorder="1" applyAlignment="1">
      <alignment horizontal="left" vertical="center" wrapText="1"/>
    </xf>
    <xf numFmtId="0" fontId="33" fillId="0" borderId="9" xfId="1" applyFont="1" applyBorder="1" applyAlignment="1">
      <alignment horizontal="left" vertical="center" wrapText="1"/>
    </xf>
    <xf numFmtId="0" fontId="32" fillId="0" borderId="2" xfId="1" applyFont="1" applyBorder="1" applyAlignment="1">
      <alignment horizontal="left" vertical="center" wrapText="1"/>
    </xf>
    <xf numFmtId="0" fontId="32" fillId="0" borderId="3" xfId="1" applyFont="1" applyBorder="1" applyAlignment="1">
      <alignment horizontal="left" vertical="center" wrapText="1"/>
    </xf>
    <xf numFmtId="0" fontId="32" fillId="0" borderId="4" xfId="1" applyFont="1" applyBorder="1" applyAlignment="1">
      <alignment horizontal="left" vertical="center" wrapText="1"/>
    </xf>
    <xf numFmtId="0" fontId="32" fillId="0" borderId="5" xfId="1" applyFont="1" applyBorder="1" applyAlignment="1">
      <alignment horizontal="left" vertical="center" wrapText="1"/>
    </xf>
    <xf numFmtId="0" fontId="32" fillId="0" borderId="0" xfId="1" applyFont="1" applyAlignment="1">
      <alignment horizontal="left" vertical="center" wrapText="1"/>
    </xf>
    <xf numFmtId="0" fontId="32" fillId="0" borderId="6" xfId="1" applyFont="1" applyBorder="1" applyAlignment="1">
      <alignment horizontal="left" vertical="center" wrapText="1"/>
    </xf>
    <xf numFmtId="0" fontId="32" fillId="0" borderId="7" xfId="1" applyFont="1" applyBorder="1" applyAlignment="1">
      <alignment horizontal="left" vertical="center" wrapText="1"/>
    </xf>
    <xf numFmtId="0" fontId="32" fillId="0" borderId="8" xfId="1" applyFont="1" applyBorder="1" applyAlignment="1">
      <alignment horizontal="left" vertical="center" wrapText="1"/>
    </xf>
    <xf numFmtId="0" fontId="32" fillId="0" borderId="9" xfId="1" applyFont="1" applyBorder="1" applyAlignment="1">
      <alignment horizontal="left" vertical="center" wrapText="1"/>
    </xf>
  </cellXfs>
  <cellStyles count="2">
    <cellStyle name="標準" xfId="0" builtinId="0"/>
    <cellStyle name="標準 2" xfId="1" xr:uid="{59CF15D5-6217-4137-9ED0-1C5DA030DDF1}"/>
  </cellStyles>
  <dxfs count="1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3D4E4C65-2763-429D-B3A5-DAF7EC960FFA}"/>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0FE2040-40EC-43A9-8A93-92C089DBC6F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15E4DB-ABDC-467C-A1D4-B527AB7BEF51}"/>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8EEFAF6-2E08-4BEF-A9F6-E164EB87F1C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4156CD7-417D-450D-BF5D-33C6F6B30BF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9BD91D77-9890-4B6C-9624-31A96CA9A1B8}"/>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27C44FC3-4A62-4053-88A0-D2DC263EC87B}"/>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D8F0A648-0F1C-4DDC-8846-BCD824E6AC59}"/>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BD4CEC26-38BA-42C5-830E-A25AD634B17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F2F20346-8238-4DC9-A671-412DF9BA0D7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E41AD698-1C5F-46DA-AAC3-F219C1E2649E}"/>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BC7C3B7E-ED44-468B-9C54-E1FE18D188E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91DDCC08-8A53-4217-BA60-14B013DDB0A4}"/>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E16D147-B54E-4F22-872C-73518ADD951C}"/>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C0BCA32-33A2-4732-95D8-23E25BB99086}"/>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E8E9C918-C01A-4EBB-A233-28CFB8970F11}"/>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E5E1ACB-D263-4D6D-BCF9-7A73DAEF9357}"/>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D07C939D-417C-4029-B97B-C993E82CBACE}"/>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8309D659-7F79-4BF8-B98E-8A2C9DB84CE7}"/>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286CBE3-4166-4D12-8791-71CD35B071EC}"/>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FD6D8808-B6E2-4FD5-998E-E05938305CD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5B53D93B-DC5C-43B7-9AF0-E2A21227561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F0D46FE8-398B-4D15-A701-1E98DBB86377}"/>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C5AB1F95-7E7D-4647-A019-0B5442D39F02}"/>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8B9B76B-95FE-4C7D-8FF8-C6161A8E0BA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8AE02895-72A6-4628-B2CA-51550CE8C6C5}"/>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0BE5A72-3706-4A23-988E-9BD86921C4E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574A6B4-0009-4B13-AE45-A51F5AA5AF25}"/>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5EBE03A-9D84-48B3-AB04-18F4A8150E36}"/>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0F18555-3084-4362-9A89-A9092725976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B238BB2E-2F39-4E13-A32F-FC31CA26303D}"/>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B7C4530-0624-4972-BFE8-C423A376C352}"/>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813DA38F-C95D-4ED8-A6D1-EB761312EFE3}"/>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87CAD1D4-0C4F-4BD4-BFE1-B2DC1170A2D1}"/>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6C0526AC-D7F5-40A4-82A3-2B405C1D88E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442B3C89-43E7-4AA8-BF09-22B8399D90FA}"/>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BC1ABB80-072A-456C-B37A-7D1F2A31B4EE}"/>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8E57880E-05C8-4F1A-AF93-208A5F1A9FE9}"/>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8CAB04A2-D641-4CF2-B68A-D943C28DBD9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398DA051-550E-4C7E-BC57-108C8611B934}"/>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BF8C1459-460B-48D8-A2F6-60C6454284CB}"/>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4D8B477-51EA-420D-9D61-B26A77AAEDA4}"/>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49800002-5C77-4712-B9EB-FE7B835374BE}"/>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41A83E04-7CF2-4958-92EF-4862DD6333D8}"/>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433E9195-0BF6-4B7F-9555-29A8A4D287FF}"/>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916F302-1680-4979-AC4B-0E4BC197D95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D1300D0F-4C2F-41F1-A90D-A2472D99465E}"/>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C4B8D0D-1FB3-4CDF-AD22-3B0BD8C98779}"/>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7F5B6AAB-FDCD-4E4B-8E08-4C20DCCAD11F}"/>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47B9AAF5-CD62-4C35-BBAC-118C7669B134}"/>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D4E7561A-F657-4A2C-82B1-E16A464258EE}"/>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FD1A265-DC31-4360-9E92-934D94A0A63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13F5359-CF88-43F7-8B3C-27ACDF2686CB}"/>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81CD6D75-575A-4E68-BDC8-C2158F157E0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56CEE1B-D431-4A53-8F2F-9D73CA26A5E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649A728D-6F86-498F-B5DF-036E13AF835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E96D66E0-A1FE-4885-AD9C-55C40473EDF3}"/>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DB3275AA-88DD-4C3B-8D6C-2479827DCEF1}"/>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843D8CB5-BEEB-4B95-A877-0AEDE92B189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44023B4F-6B24-4A49-ABEB-5B13E7C2C6B3}"/>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50968A86-350F-4AB2-8010-DC57446A607A}"/>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C0EAED97-6038-450E-8AB2-EC1AEE6AF0F8}"/>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122ABC00-31BA-4C96-89EF-EEDB334095B9}"/>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5A5B1F73-44A0-4282-AB74-954A6A1D51E1}"/>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899513D-4C02-45EA-A7EA-05989168C6DD}"/>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A1633E34-5A24-41CC-86E7-3A5DD7DF3FF1}"/>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11CFE9E7-BDAF-4AA3-958E-8CCE9A82E77A}"/>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1E3D6F9C-36BF-4F41-9054-2B40F3BE67E9}"/>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FF47B5EC-F125-49D5-8A29-05236FA74C97}"/>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E51DDDC0-4DA3-44AD-B3FF-1F29AA7222E7}"/>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7BC27BCA-F439-45B2-9F96-F60BDEFDAD86}"/>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3C571E36-8931-41E8-8C5A-71135C4B4B43}"/>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C954A44-C2F6-47FE-B01A-EBF6117033D9}"/>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C8BE82B8-CC18-4FC9-96DE-DC236E04B479}"/>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E9337FB8-7D0D-442C-8649-5851C0741259}"/>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E0BEF966-74E0-46E7-B528-A7BC83769788}"/>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B1D1FB4-78F4-4505-A5EC-EB2D680ED112}"/>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FB1C15B-9EB6-4866-90C5-63FC96414013}"/>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F467265D-E8C5-4B7B-9F7D-B1F92F912DBF}"/>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C404592-BB9A-4619-A1EE-5F422E2FDA88}"/>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F17E78D4-3338-4EEC-9644-02001AC63EA7}"/>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609251F2-8DC9-4C46-8FBC-2263AFC88653}"/>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1EA9BF94-3C94-4143-9BB0-2F27ED255A93}"/>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B8F01D69-F061-47FB-97EB-46F83CDAADAF}"/>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A8F6AC98-548C-4A4F-A45C-701CB947A2B0}"/>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A7EA0DA6-59DC-49B4-940F-401E97A71670}"/>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ACEE43CC-57D5-4E61-85AD-D454D71B8683}"/>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4538925A-A2A4-4FD2-8F53-23907A602C7B}"/>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CBB99D2E-07DC-4485-A3F8-36871746F3E5}"/>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1ADFE509-37C7-4169-99CC-A326D743AB63}"/>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24637A2B-499D-42F0-92E5-247F1D2C7FBF}"/>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CF31CB7E-CD42-4982-92A6-B5395B4F3B3F}"/>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DAE62C81-2729-424E-B173-1A58B21929BE}"/>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4C97C68-6729-47D4-B146-66BD38DDC41A}"/>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628273B9-01FD-4742-8C59-0D17D1DFFBAA}"/>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FE290823-7CB0-4C28-9E1F-8A0C7E7CBE39}"/>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F08C7037-12EE-4244-A47E-BB83E7E08C37}"/>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E157A207-50E4-449C-8383-52DFBB1918A8}"/>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879C330C-2F3C-44BB-95C8-FEA095DD67D7}"/>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4DBE1EFF-E11B-47A2-A5C7-B6BD6123E21A}"/>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8FEB095-A945-43E6-A8A3-AF41AB709380}"/>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BB80AB0-0FA1-4683-B9E0-1150A6E8B014}"/>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C557429-967B-4FD6-BE13-DB0D85863404}"/>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F60D7C0-95AF-4617-A78D-6237C8F7208E}"/>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264FE1D-EC53-41FC-9C71-074C3CCA1E9C}"/>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7A3609A3-F502-4851-954A-915769BF376C}"/>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288989E-4064-405B-911D-A3543006148D}"/>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FFE3521-2A29-4CB4-9C2D-3A5EB947E6CD}"/>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E88C26B-2FDE-4D17-A823-2C67DBCB7C4D}"/>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355ED5FA-CD00-4029-9E88-B55377DD63F9}"/>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EFC86FE7-9D71-4195-98A5-17B8FA7A0C60}"/>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681E45D6-9149-4736-8A4C-2D435BE442CF}"/>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ED3A1CE7-BDD8-49BA-9288-EF99A4EA5885}"/>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41F5E123-0914-4683-9CBE-907C780E3F33}"/>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AF9DAFC-FDE1-4F85-9AC0-A236EC5281E8}"/>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9606E957-1EAF-417C-8A27-2F6994DEBD85}"/>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31DDEFDB-24AA-42C4-A914-F25294BFF70B}"/>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3B9573CC-D5D4-4008-91A4-DE091BE64112}"/>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17DA927-2664-494D-83BC-62DF03420F6B}"/>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63069D9-281F-4194-81DE-86CAF3231F50}"/>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4949C9AD-D440-48C5-8349-AC1B9D913E40}"/>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6843D963-D724-406B-9336-69783DC6E479}"/>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4BA4456E-E325-4986-AD27-4C962526D263}"/>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7017E7FB-223B-4DEB-A52D-C9C3999F6D76}"/>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EA78FC89-2481-4631-B05D-23121121B135}"/>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AA494D30-E6F7-4B45-B123-566CE9505832}"/>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A221631-0415-41D4-A520-444EBA1B5F86}"/>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FD04A6C-281B-4C73-9CF9-54F5C3E866E3}"/>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ACECF91F-9052-431B-AE6D-62653CAB6847}"/>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F95E775-10ED-481C-ABA7-DD1020600F35}"/>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E320B5C9-DBA3-4267-A369-37130DC57A2E}"/>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B946A118-BD91-4A9F-89A9-EBEE7CBA7799}"/>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72A1B5C2-0995-4500-A3BC-989806CA53E3}"/>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317A3A31-00D3-4DA8-A252-52F1640391C7}"/>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AAD1C5CB-EBC2-4EC9-A5FD-EEB680EC3AFA}"/>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7797FB3C-FD8C-4AE0-94F6-1F3650934A1F}"/>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9A6E87A4-C993-4B1E-8B31-C9B7BC22A3EA}"/>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E1053059-6DBD-4F8F-AA3F-F6ABD76523C5}"/>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8CD52EB-8786-45C0-A4A6-635A957BABCA}"/>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A5092F48-44C8-4D3E-9582-FAB91B46158C}"/>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55A26867-411A-4F20-989E-DA97E6D185F4}"/>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A2F08D34-C4C9-4722-8922-8A776931ED44}"/>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EFF4E15F-F993-463B-B677-D932582110BF}"/>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B687D22-C22D-4A03-A6C4-38351E706C70}"/>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1A56DA0-8EBA-4DAE-BF08-837494D7DBF5}"/>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99147E1F-8ECE-42C0-B2E4-9FF5ABAF713B}"/>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8371C7C1-F79E-48B2-99C3-784189436C75}"/>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1C299592-946B-425E-8A96-166CD50468A0}"/>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880EF74-B518-49D8-8335-6B8BA5AA7E29}"/>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E03C294-62A8-45A9-BF8E-77B01E33A40E}"/>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975A3FED-304C-407B-ABD0-6BF6F0808489}"/>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E77536D-0080-4389-B8A1-F2BD5BCE3B6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22F7EF7-E383-487E-A028-13E4F59F118B}"/>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BEFA0DFB-697A-4A5B-8A46-204C94FB60C1}"/>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32C873C-2AFD-4D0B-A3E6-B8621C4F2DB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ECE7CDC6-8052-42D9-81B5-D251739E9FDA}"/>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EDA29A4-13B4-4D04-A32C-EDC3B714D62E}"/>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D16815E5-9780-4F21-8EE6-3283A200997A}"/>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F72CA815-6EE5-4C27-AFFF-697667A69E6F}"/>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BE334CA4-40A0-4A7F-A4AF-A571A149A25D}"/>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184350E-2B59-4253-AC6A-66E5019E5A43}"/>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444582F8-83AC-47EB-AFBD-9BFEA0DC73ED}"/>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79674E34-3D8C-4810-82F0-56A6D5121EEA}"/>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C2FBA989-271C-4503-9110-4BCBC5B8EA5A}"/>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9334900F-CEE9-416D-B9AB-6F878B5DFEB7}"/>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6B2BBB86-5E58-496B-ACA7-A6C0C5E2E59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FA3ECE75-CF46-4921-BDF5-8743F5DADC75}"/>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F00AC613-27F3-451D-8786-08A9717D4BD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A5D5BBF0-3261-4498-9AE4-6571677F09AB}"/>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F87D594-71E5-46CF-A9E2-0FA8C16C06B6}"/>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F3045BE4-081E-439D-AD61-89365357FB32}"/>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46F1DB81-8B1A-4DF7-9335-BEE8C45D625B}"/>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820BA3D9-4375-48E0-96F8-4E17DEEB2315}"/>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FC285BA-0BCA-4460-8CD7-D498CD70406B}"/>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9BE2FF7E-6382-4F28-8B0A-6076FFB7214A}"/>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26FDEC44-6EB8-4C6E-8CAA-ED30F4181835}"/>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9C6E62A-947A-48F8-A86D-1D935075FE5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17DA8FF-BCDB-46AE-A76A-59F4467341CF}"/>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46D3D702-92AB-4015-8298-7477CF6F185D}"/>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7842A49-AFAC-40E9-9187-9A638967213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94C8C8C3-DBD5-4B62-8435-C2572A023718}"/>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8960AF42-D82B-4528-8AAD-99B76D56356D}"/>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C6DD0460-570C-4F5F-BD34-A7FEF3B47715}"/>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93820CCD-3549-4C76-88EB-093D69826AC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BF0D2E4C-B5EB-4439-9244-47ED35282532}"/>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324860F5-0567-4B0B-8BD3-A33EF3CD706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110ABEE-8C15-46F7-8666-50D8504ED358}"/>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199BD4FC-C4A5-4992-BCF7-FF9558BDF811}"/>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2D2CA477-A25A-4FB6-96B4-C5E1C65EBADF}"/>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DB828459-1A43-4AAD-ADFC-F6B5E76728C6}"/>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1D2F81BE-BBF9-4E04-9E9D-28A5C7C98855}"/>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E650D44C-994B-441C-A632-7D8BEB13DBA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80AAA1EC-130D-4995-A830-282CE40B105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F96BF8C-171E-47FE-B623-D4FDF7F71A81}"/>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5FE3655C-7E16-41CE-A97B-638B5887964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1D39E5E1-7F55-4B8B-8986-4E1D7AD4BB8A}"/>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938F3D24-8E95-4382-8DC2-3B713620CBBF}"/>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C94CFDF5-BBF4-4A70-82AF-E9538EC29D2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9B72596F-4A54-4040-873E-08478FC89D99}"/>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FA62CC02-AC43-40A4-AC1D-07CA2C98B0B9}"/>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58AF9887-A098-4765-ADBD-FE565E0547F8}"/>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7D9C27A-BE71-4F36-B64C-39BA7A8242B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CC62A32-3E1F-4678-B411-66CB4C57A6AF}"/>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FEF30DEB-B1DE-4246-A2D9-6EED6883495A}"/>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E49F39B-CE62-4BAE-A611-80D2E05BEB9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112E5E2E-FA61-4524-8C75-D8DBFB8FDEDA}"/>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1BDD27C6-0291-4F91-BAB8-18EE886AFB52}"/>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50BE918-2BC1-48D2-8325-5312AF86D49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F62E30DE-8B52-44F0-AC87-A718C1213508}"/>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A8D49E8A-8AE1-4EB6-B367-809DEF0C6015}"/>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80D81CB6-DCB0-4AF1-BA70-E15C6080AA5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211DD80-48F6-44E5-8105-153B6C4DB561}"/>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4FA42CB0-BB4C-44D5-8D4A-994012195BB7}"/>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67B11E3E-CCE5-4C44-A0F0-68FD7D0CBE42}"/>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875A95E-BE38-4C24-ADD5-1D26AC85BE6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7B0D80F-D69C-4025-8862-EA80386A6EE4}"/>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251749C-1396-40A9-8C8F-D4AFE691A0F6}"/>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BD1F9B0-BC5B-4ADE-907B-E9AD21501B4C}"/>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5DFCC159-B698-46F9-9BA9-006C102D760C}"/>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DAAEE7C-B10F-4FBB-91D1-FE09D732B99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0FF5071-584C-469D-A652-2FA8DE0B0A73}"/>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266771E5-4E8B-4F04-95EE-836AC59F11D6}"/>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6596A46B-BFD4-499F-9144-80A6ABF5B989}"/>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B740554E-19FC-48BC-B772-DC54E0592106}"/>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FBC114D-B682-4271-B5A8-9C0D04B65201}"/>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F6F4F07E-D707-4F18-8C36-AC6164DD996A}"/>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E21C51F-5A5E-43A0-AED9-FCBE4E0E99E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CA5FAA2-65B6-4C4A-84F4-40955544CCCA}"/>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98F24A28-0F99-46E5-A0E0-95C4299E0A4B}"/>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337E4BC-87E0-42A1-AFB1-E8826D3F944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C3A8A4D9-4493-4A06-AFE9-A92E52F084F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26E15BF2-7A5A-49EA-9293-D7F58AB429DB}"/>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099D7CE-CB64-45A1-A1FC-85181CB7859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6F597A36-5BD2-41FE-829D-EE0E630B8ABB}"/>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4D485264-8A8B-4841-9B45-9BA8983F2A4E}"/>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F5FF610-D7BF-4B04-887F-7C3076B2F91B}"/>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D98E1779-A618-492E-A1C1-EAD8D725DD1E}"/>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7D8A800-B2F5-401A-8AEC-C0357E2CA03A}"/>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3102CC97-CEF7-4E06-9291-DFEA513AB7D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5C5D797A-3675-4117-9E69-EE846C13FE0B}"/>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9724CE7-E9C0-4EDD-9701-572C939284A9}"/>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5FCCD60D-CF8A-4EA9-8807-82BCA1EB5D1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EDC6F386-6F78-4969-885F-F6F99695486A}"/>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CEE2E28B-6F2D-4576-B461-DF356EC64B4B}"/>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7299BA01-55A3-4E71-9927-DBD5FD5E0AE2}"/>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14DCAD25-05FA-44F8-96AC-9958ACAB259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743898DD-D422-4533-A2B0-30B700A5B6A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5C4616E4-A01D-4E7C-8FD7-218E3B6AA35D}"/>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4351CF60-0967-4799-8C09-9839B5267535}"/>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D37BE147-ED64-42D4-8E7A-30A1DA5EDDA4}"/>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56A040A-1AB8-42CE-A280-732102E82E7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A4CAE4A-82D2-448E-B896-2147D3FB5B9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B0D2A56-D9BC-4104-8AE5-DEF1B1A3D5C9}"/>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18D06C8D-EEAA-4224-9FED-6D17E0C23142}"/>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CF6F9BE-17B1-4854-A6DF-D12F48A7558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A494BCE0-1A06-4FC8-ACCA-7F7968ED980D}"/>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8350D458-B592-4D74-9D3C-ECD08A92A2B9}"/>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10F33B11-D6F9-45EE-BB00-BC9D43211DBE}"/>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38B32E70-2E34-41AB-852A-463D715764C4}"/>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095BC6F-E9A3-43B1-AA98-C8CE5EDD60FF}"/>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2CD5E870-AF5A-4582-AD51-1D9BBF3A4A8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E66DCE01-BB57-4B68-B00A-4FA900AA0857}"/>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4D85F770-3ABE-40BD-8661-D5272931C176}"/>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8CA9736B-25C3-4EED-B635-838D4A4CC928}"/>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E1FBE18-5A5F-4207-8D6F-88A3640A92AE}"/>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EE413C16-A9EA-4969-8943-BFBCB0FEB083}"/>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C871A6DD-7230-49A4-916F-BE3A9B7B9FE4}"/>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1F523D1-10DC-4E05-A0A4-018F6E34410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BCC1BD25-B199-4B1C-B402-5EDA3A4412C2}"/>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6D5410E0-EA00-473E-9E25-DAC983FEF45F}"/>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CFB9E90B-F05F-4F89-AA0E-8A978D16442A}"/>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83778A54-96CE-4C36-9D91-B94165FEF90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91C29EF-1E0E-49E7-9123-000FB11235E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3263420-2821-4DBE-A688-C838238DB6FF}"/>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27A8D6B8-2699-416A-B652-9EB9D8D1EBFF}"/>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BC695650-5D61-46B1-8C1B-300E8476560A}"/>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FD777DD-9E3F-4423-8D06-27F77DAACB8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B03473C-E03B-4E47-ADBC-1D735AEBA726}"/>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ACC4DB55-ACA5-4064-BE38-488D84D0252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070B42B-33B9-46AC-BDD9-3D425247B14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441EC0A0-7CF5-410E-A982-F16F5FE0CA72}"/>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CC0A7876-31A9-4D73-AA4B-8D493E07AE85}"/>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6E81A16-F5A5-44D3-B0D6-3227F5C950B9}"/>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E942189-E28B-49AD-BCDD-6A92050FCB5D}"/>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38C43813-5530-47CD-9CE5-331EA0F2D4E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6D28D00-F04E-4B92-B8D3-962407A7E747}"/>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F346D892-B6F0-48F9-B328-577415AB2DAB}"/>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4ED52AD0-1018-4C39-AB23-11BF9D948D4C}"/>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1D55543-2FDD-4513-AC87-9D67CB516A39}"/>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EA54D47-6E17-4029-B15E-01F16CC90F16}"/>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18D5A6E0-21CB-46F4-9182-B29F2D19E661}"/>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2C2BD0DC-7485-49AE-9EC3-5A9BDCA42FDD}"/>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7558921-915F-4E21-9F8F-790C0971E14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98D80E63-7AF8-4AFF-A52A-28B2F0B455A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34A17B9-EA71-4448-8DD1-83C292A80CCB}"/>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E511675B-C9D2-4CB6-B190-C5FA97DC37E8}"/>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F14DE45-4165-4E75-B759-407B7AFAA66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73C05B4-0A0F-4D56-AFB4-32C777C566AE}"/>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F27CD53-89DF-4422-BE56-D76B690034C7}"/>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3806B91D-7B03-40EA-9167-172725D290D2}"/>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3D420347-B83F-43EB-9913-90516167C58D}"/>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215CB25-8AA9-4A32-AF60-FAA760166EE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849E3BD-D3C0-4B3F-AEB8-64AFCD1F2EF5}"/>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3999E9C-27F0-49DF-AFB1-319C654ADF9B}"/>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A41C37F-FB8D-41D9-BD83-A7040A59AF5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4041288F-BB2B-4C73-9E69-DBF7998CC9ED}"/>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1DCDB270-7FF0-4F45-9BF5-11FC3DAF82B8}"/>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807B91E5-4F96-4A37-AFDB-3350782C65AE}"/>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279BE83-4AE3-4BF1-8D8E-18B7F3D599A7}"/>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6E2C0E12-E514-4F9F-82FA-1DF0D8DDCE4D}"/>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1DE73F31-571D-4147-855B-4D9307C94C6D}"/>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B8F87B29-B994-4D6A-AFE6-137ACDEC7D19}"/>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34FFAC41-A3B3-4F8C-96A0-C9FC879F8481}"/>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CFEADEE6-3794-493B-9A6F-588670ADC7A9}"/>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04AA5AA-C14A-4B5A-A1E7-DCB3D037B6F1}"/>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1FB392B-65F5-4408-B7A4-D37B49E9AE06}"/>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87AA4D47-C087-439E-BB7A-43B392A43BEB}"/>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3FDC29F8-F8EF-4269-81C4-62902DAB76A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A1CAFEEF-8B37-4AD3-B6F1-C465F107D427}"/>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A42B45EC-8B5A-4091-8A04-9B0CD05761DA}"/>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9E62FD6-0C56-4171-9E3D-AAF012567A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7E526015-8062-4E52-A5F6-832D0C88839F}"/>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AD287896-1CB4-47C0-82C8-8A3D6844CDF2}"/>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2E91384F-3182-439B-8570-4E108B793E9A}"/>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CA3C9946-D940-4ECC-B3E8-4E2DFD66CAAB}"/>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B33A15A-2140-4984-9567-0875DD57A358}"/>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E3549E2-7FE9-43B1-BA52-789F2BE2BBF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30AB8F1-D071-49D3-A6C9-8ABE4D891CA8}"/>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D930F51-89A3-4C99-8ABA-55C60E82CA1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DD5FAC1-1509-4FAE-81F0-F8AFBD97016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6B1A764-F623-491E-9A18-8BDE3A3FBC0F}"/>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7AD139E2-B205-4DC6-B090-EAD56F9D8DB7}"/>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4BE710C0-D857-46B0-B016-B0A9D9368E33}"/>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15D01055-6589-4EFF-AFC9-0949BF23F5B1}"/>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DAFA820-6C23-4180-BE1A-BDD7AF2927E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67963D2B-8374-46BD-B1DE-AEEEF167A335}"/>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A2725BA5-06ED-4393-9CDB-06B7A55A460C}"/>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12A5459A-4D7E-458A-9CA7-FA4A9C9E1068}"/>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53310106-C8DB-4B05-BEA5-6E9921666A47}"/>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4E61B27F-BD3D-4FA0-BC8D-1876745A0B1F}"/>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1213F82B-ACC4-4A28-BF4B-AABF45A1BFDC}"/>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88070976-7CE6-470B-9838-3784F068B15D}"/>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7CBE5047-EBCA-4329-A942-321E0F100A45}"/>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67FDBFDE-5E62-4EFD-BAFE-1AF2DE120165}"/>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929521B8-47CF-473E-B65D-B6B2DB04374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926C941E-E6C4-40C1-A887-E78B94CD4928}"/>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193AA2AB-9861-4A21-81AD-8AB038773B7B}"/>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4AF563CB-01C1-488C-BEAE-31FDD8CFF053}"/>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AD5524EE-AA30-4622-AF2F-536E988F5EE6}"/>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126C4889-8197-410F-9AFC-E4D2B16C942A}"/>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17442D23-1079-4288-8487-593BEED3439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07AB418-FA7D-4E5A-B74A-296E63797D6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4D76CC6-06F5-468F-966A-7C06537E0FBD}"/>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45D29BA1-A3C9-4BA7-8F3C-387112594C32}"/>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D97DAD7-39BF-4FAA-AEFD-49652B3C4C8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436132E2-A137-473A-8657-12A073406023}"/>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75FCB99C-DCC6-4AE6-AC1E-461A66698DE3}"/>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7986FE0C-DE57-48FC-8C91-3928812FAA68}"/>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F8014CB-E1FD-43F2-89BC-7115816BE0C4}"/>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63E3FB7-6DE7-458E-A1D6-ECCF37902455}"/>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D444E349-7733-4A1B-953B-9643EFED5CE8}"/>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35DBC49-1E60-4F01-8976-AD27C434CF24}"/>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12D42B2F-8A03-4F39-A12D-931C1EAD39CB}"/>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1730115C-2CE4-4737-8ECB-73E690692F26}"/>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70D586C-C5D4-411B-9BB3-B0196F133D7A}"/>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7C47A6AD-32FD-479B-B97C-E0101ECFC488}"/>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E3129ED6-283A-4754-952C-48275FE0D32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85CB1DF4-6FE3-4693-8984-FCC7221E303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479E146F-210B-42ED-8C0C-AD3C4FFA3A43}"/>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982A33FB-D99B-482A-B7F0-93341162D01E}"/>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AA71095B-4A1D-46FD-B74E-7F1E878708E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3EB76A6B-08C8-42E0-9B8A-75CB9B1CB672}"/>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16981116-DB4A-4F1D-8852-31DC60803272}"/>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5B98BB32-D927-4217-8FCC-A7EC481C257B}"/>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21A13E47-3EDF-47EF-A41F-E0E2EB6C2FE3}"/>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R2&#25244;&#26412;&#25913;&#38761;&#35519;&#26619;&#65289;&#12304;&#29305;&#29872;&#1230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22823;&#20185;&#24066;&#12539;&#27700;&#36947;&#20107;&#2698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R2&#25244;&#26412;&#25913;&#38761;&#35519;&#26619;&#65289;&#12304;&#23429;&#22320;&#36896;&#25104;&#123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R2&#25244;&#26412;&#25913;&#38761;&#35519;&#26619;&#65289;&#12304;&#23567;&#27700;&#21147;&#123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R2&#25244;&#26412;&#25913;&#38761;&#35519;&#26619;&#65289;&#12304;&#22826;&#38525;&#20809;&#1230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22823;&#20185;&#24066;&#12539;&#30149;&#38498;&#20107;&#26989;&#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R2&#25244;&#26412;&#25913;&#38761;&#35519;&#26619;&#65289;&#12304;&#20844;&#20849;&#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R2&#25244;&#26412;&#25913;&#38761;&#35519;&#26619;&#65289;&#12304;&#29305;&#25490;&#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R2&#25244;&#26412;&#25913;&#38761;&#35519;&#26619;&#65289;&#12304;&#36786;&#38598;&#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20462;&#27491;03%20&#35519;&#26619;&#31080;&#65288;&#22823;&#20185;&#24066;&#12539;&#20171;&#35703;&#12469;&#12540;&#12499;&#12473;&#20107;&#26989;&#12539;&#32769;&#20154;&#12487;&#12452;&#12469;&#12540;&#12499;&#12473;&#12475;&#12531;&#12479;&#1254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20462;&#27491;03%20&#35519;&#26619;&#31080;&#65288;&#22823;&#20185;&#24066;&#12539;&#20171;&#35703;&#12469;&#12540;&#12499;&#12473;&#20107;&#26989;&#12539;&#25351;&#23450;&#20171;&#35703;&#32769;&#20154;&#31119;&#31049;&#26045;&#3537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20462;&#27491;03%20&#35519;&#26619;&#31080;&#65288;&#22823;&#20185;&#24066;&#12539;&#20171;&#35703;&#12469;&#12540;&#12499;&#12473;&#20107;&#26989;&#12539;&#32769;&#20154;&#30701;&#26399;&#20837;&#25152;&#26045;&#3537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20462;&#27491;03%20&#35519;&#26619;&#31080;&#65288;&#22823;&#20185;&#24066;&#12539;&#20171;&#35703;&#12469;&#12540;&#12499;&#12473;&#20107;&#26989;&#12539;&#20171;&#35703;&#32769;&#20154;&#20445;&#20581;&#26045;&#3537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22823;&#20185;&#24066;&#12539;&#31777;&#26131;&#27700;&#36947;&#20107;&#2698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0%20&#22823;&#20185;&#24066;&#9675;/03%20&#35519;&#26619;&#31080;&#65288;&#22823;&#20185;&#24066;&#12539;&#32034;&#36947;&#20107;&#269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下水道事業</v>
          </cell>
          <cell r="W17" t="str">
            <v>特定環境保全公共下水道</v>
          </cell>
          <cell r="BD17" t="str">
            <v>×</v>
          </cell>
        </row>
        <row r="19">
          <cell r="F19" t="str">
            <v>ー</v>
          </cell>
        </row>
        <row r="43">
          <cell r="R43" t="str">
            <v>○</v>
          </cell>
          <cell r="AA43" t="str">
            <v>○</v>
          </cell>
        </row>
        <row r="185">
          <cell r="Y185" t="str">
            <v xml:space="preserve"> </v>
          </cell>
        </row>
        <row r="201">
          <cell r="B201" t="str">
            <v>　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ell>
        </row>
        <row r="233">
          <cell r="Y233" t="str">
            <v>○</v>
          </cell>
        </row>
        <row r="238">
          <cell r="B238" t="str">
            <v>令和</v>
          </cell>
          <cell r="E238">
            <v>3</v>
          </cell>
        </row>
        <row r="239">
          <cell r="E239">
            <v>4</v>
          </cell>
        </row>
        <row r="240">
          <cell r="E240">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水道事業</v>
          </cell>
          <cell r="W17" t="str">
            <v>―</v>
          </cell>
          <cell r="BD17" t="str">
            <v>×</v>
          </cell>
        </row>
        <row r="19">
          <cell r="F19" t="str">
            <v>ー</v>
          </cell>
        </row>
        <row r="43">
          <cell r="R43" t="str">
            <v>○</v>
          </cell>
          <cell r="AD43" t="str">
            <v>○</v>
          </cell>
        </row>
        <row r="249">
          <cell r="B249" t="str">
            <v>　県南地区の水道事業体で構成する『県南地区水道連携推進座談会』に参加している。連携促進に向けた活動組織として、既存施設の見学や先進地視察及び、講師を招いての研修などにより、水道事業体間の相互理解を図ることを目的とし、現在は、事務処理の共同実施や施設の共同利用等、実効性のある広域連携に向けた活動などについて勉強している状況。</v>
          </cell>
        </row>
        <row r="255">
          <cell r="B255" t="str">
            <v>　県南地区は、給水区域が広く施設数が多いことにより、統廃合にかかる多額な整備費用を要することなどが課題となっている。
　今後、秋田県水道ビジョンが策定され、県主導のもとで市町村間の共同管理体制の検討・指導が図られる予定となっている。</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宅地造成事業</v>
          </cell>
          <cell r="W17" t="str">
            <v>その他造成</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本事業は令和元年度から開始された事業であり、現在基本設計の段階にある。造成事業終了後は民間企業等への分譲を予定しており、今後更なる事業展開する予定もないことから現行の経営体制・手法で問題はない。</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電気事業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本事業は令和元年度から開始された事業であり、主目的は再生可能エネルギーの普及・啓発のため反復的な発電事業を行うことである。それゆえ公益を目的としているのものではなく、今後更なる事業展開する予定もないことから現行の経営体制・手法で問題はない。</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電気事業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xml:space="preserve">収益的収支比率は119.6％と黒字となっている。FIT収入割合が100％となっているが、FIT調達期間と包括的施設リース契約期間がともに20年と同じであるため、事業経営上のリスクは低いものと考えられる。現行の経営体制・手法で、健全な事業運営が実施できている。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病院事業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令和元年度は、入院患者数の減少により、医業収益が昨年度より減少した。入院患者数は減少傾向にあり、令和２年度も低水準にとどまっているため、昨年度以上の一般会計からの繰入金が見込まれる。また建設から２３年が経過し、建物・設備等の劣化も問題となっている。しかしながら当病院は採算性の低い精神科の単科病院であるため、民間委託という選択肢は現実的ではない。ただし抜本的な改革の必要性を含めて検討が必要であるとの認識は一致している。</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下水道事業</v>
          </cell>
          <cell r="W17" t="str">
            <v>公共下水道</v>
          </cell>
          <cell r="BD17" t="str">
            <v>×</v>
          </cell>
        </row>
        <row r="19">
          <cell r="F19" t="str">
            <v>ー</v>
          </cell>
        </row>
        <row r="43">
          <cell r="R43" t="str">
            <v>○</v>
          </cell>
          <cell r="AA43" t="str">
            <v>○</v>
          </cell>
        </row>
        <row r="185">
          <cell r="Y185" t="str">
            <v xml:space="preserve"> </v>
          </cell>
        </row>
        <row r="201">
          <cell r="B201" t="str">
            <v>　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ell>
        </row>
        <row r="233">
          <cell r="Y233" t="str">
            <v>○</v>
          </cell>
        </row>
        <row r="238">
          <cell r="B238" t="str">
            <v>令和</v>
          </cell>
          <cell r="E238">
            <v>3</v>
          </cell>
        </row>
        <row r="239">
          <cell r="E239">
            <v>4</v>
          </cell>
        </row>
        <row r="240">
          <cell r="E240">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下水道事業</v>
          </cell>
          <cell r="W17" t="str">
            <v>特定地域排水処理施設</v>
          </cell>
          <cell r="BD17" t="str">
            <v>×</v>
          </cell>
        </row>
        <row r="19">
          <cell r="F19" t="str">
            <v>ー</v>
          </cell>
        </row>
        <row r="43">
          <cell r="R43" t="str">
            <v xml:space="preserve"> </v>
          </cell>
          <cell r="AA43" t="str">
            <v xml:space="preserve"> </v>
          </cell>
        </row>
        <row r="48">
          <cell r="R48" t="str">
            <v>○</v>
          </cell>
        </row>
        <row r="185">
          <cell r="Y185" t="str">
            <v xml:space="preserve"> </v>
          </cell>
        </row>
        <row r="233">
          <cell r="Y233" t="str">
            <v xml:space="preserve"> </v>
          </cell>
        </row>
        <row r="239">
          <cell r="E239" t="str">
            <v xml:space="preserve"> </v>
          </cell>
        </row>
        <row r="240">
          <cell r="E240" t="str">
            <v xml:space="preserve"> </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現在、当市において、特定地域排水処理施設の事業については完了しており、市町村設置型の浄化槽の維持管理を行っている。健全な事業運営が実施できているため現行の経営体制・手法で継続していく予定である。</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下水道事業</v>
          </cell>
          <cell r="W17" t="str">
            <v>農業集落排水施設</v>
          </cell>
          <cell r="BD17" t="str">
            <v>×</v>
          </cell>
        </row>
        <row r="19">
          <cell r="F19" t="str">
            <v>ー</v>
          </cell>
        </row>
        <row r="43">
          <cell r="R43" t="str">
            <v>○</v>
          </cell>
          <cell r="AA43" t="str">
            <v>○</v>
          </cell>
        </row>
        <row r="185">
          <cell r="Y185" t="str">
            <v xml:space="preserve"> </v>
          </cell>
        </row>
        <row r="201">
          <cell r="B201" t="str">
            <v>昨年度、神岡東部・薬師・払田・福田の４処理場を流域下水道へ接続するための実施設計を発注し、今年度、接続工事を発注予定。</v>
          </cell>
        </row>
        <row r="232">
          <cell r="Y232" t="str">
            <v>○</v>
          </cell>
        </row>
        <row r="233">
          <cell r="Y233" t="str">
            <v xml:space="preserve"> </v>
          </cell>
        </row>
        <row r="238">
          <cell r="B238" t="str">
            <v>令和</v>
          </cell>
          <cell r="E238">
            <v>2</v>
          </cell>
        </row>
        <row r="239">
          <cell r="E239">
            <v>4</v>
          </cell>
        </row>
        <row r="240">
          <cell r="E240">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介護サービス事業</v>
          </cell>
          <cell r="W17" t="str">
            <v>老人デイサービスセンター</v>
          </cell>
          <cell r="BD17" t="str">
            <v>○</v>
          </cell>
        </row>
        <row r="19">
          <cell r="F19" t="str">
            <v>老人デイサービス事業特別会計</v>
          </cell>
        </row>
        <row r="41">
          <cell r="R41" t="str">
            <v>○</v>
          </cell>
          <cell r="X41" t="str">
            <v>○</v>
          </cell>
        </row>
        <row r="42">
          <cell r="R42" t="str">
            <v>○</v>
          </cell>
          <cell r="X42" t="str">
            <v>○</v>
          </cell>
        </row>
        <row r="56">
          <cell r="B56" t="str">
            <v>民営化した介護老人福祉施設の立て替えに伴い、通所介護サービスが併設されたことから事業を廃止した。（管理運営費5,569千円の減）</v>
          </cell>
        </row>
        <row r="62">
          <cell r="G62" t="str">
            <v>○</v>
          </cell>
          <cell r="S62" t="str">
            <v>平成</v>
          </cell>
          <cell r="V62">
            <v>28</v>
          </cell>
        </row>
        <row r="63">
          <cell r="V63">
            <v>4</v>
          </cell>
        </row>
        <row r="64">
          <cell r="V64">
            <v>1</v>
          </cell>
        </row>
        <row r="70">
          <cell r="AG70" t="str">
            <v>○</v>
          </cell>
        </row>
        <row r="111">
          <cell r="B111" t="str">
            <v>管理運営費5,569千円の減</v>
          </cell>
        </row>
        <row r="117">
          <cell r="J117" t="str">
            <v>○</v>
          </cell>
          <cell r="S117" t="str">
            <v>平成</v>
          </cell>
          <cell r="V117">
            <v>28</v>
          </cell>
        </row>
        <row r="118">
          <cell r="V118">
            <v>4</v>
          </cell>
        </row>
        <row r="119">
          <cell r="V119">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大仙市</v>
          </cell>
        </row>
        <row r="17">
          <cell r="F17" t="str">
            <v>介護サービス事業</v>
          </cell>
          <cell r="W17" t="str">
            <v>指定介護老人福祉施設</v>
          </cell>
          <cell r="BD17" t="str">
            <v>○</v>
          </cell>
        </row>
        <row r="19">
          <cell r="F19" t="str">
            <v>介護老人福祉施設介護サービス事業特別会計</v>
          </cell>
        </row>
        <row r="41">
          <cell r="R41" t="str">
            <v xml:space="preserve"> </v>
          </cell>
          <cell r="X41" t="str">
            <v xml:space="preserve"> </v>
          </cell>
        </row>
        <row r="42">
          <cell r="R42" t="str">
            <v>○</v>
          </cell>
          <cell r="X42" t="str">
            <v>○</v>
          </cell>
        </row>
        <row r="111">
          <cell r="B111" t="str">
            <v>市立の介護保険施設を法人へ移譲、民営化したことにより、人件費の削減に繋がった。（人件費35,473千円の減）</v>
          </cell>
        </row>
        <row r="117">
          <cell r="J117" t="str">
            <v>○</v>
          </cell>
          <cell r="S117" t="str">
            <v>平成</v>
          </cell>
          <cell r="V117">
            <v>23</v>
          </cell>
        </row>
        <row r="118">
          <cell r="V118">
            <v>4</v>
          </cell>
        </row>
        <row r="119">
          <cell r="V119">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大仙市</v>
          </cell>
        </row>
        <row r="17">
          <cell r="F17" t="str">
            <v>介護サービス事業</v>
          </cell>
          <cell r="W17" t="str">
            <v>老人短期入所施設</v>
          </cell>
          <cell r="BD17" t="str">
            <v>○</v>
          </cell>
        </row>
        <row r="19">
          <cell r="F19" t="str">
            <v>介護老人福祉施設介護サービス事業特別会計</v>
          </cell>
        </row>
        <row r="42">
          <cell r="R42" t="str">
            <v>○</v>
          </cell>
          <cell r="X42" t="str">
            <v>○</v>
          </cell>
        </row>
        <row r="111">
          <cell r="B111" t="str">
            <v>市立の介護保険施設４施設を法人へ移譲、民営化したことにより、施設数の削減が図られた。</v>
          </cell>
        </row>
        <row r="117">
          <cell r="J117" t="str">
            <v>○</v>
          </cell>
          <cell r="S117" t="str">
            <v>平成</v>
          </cell>
          <cell r="V117">
            <v>23</v>
          </cell>
        </row>
        <row r="118">
          <cell r="V118">
            <v>4</v>
          </cell>
        </row>
        <row r="119">
          <cell r="V119">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大仙市</v>
          </cell>
        </row>
        <row r="17">
          <cell r="F17" t="str">
            <v>介護サービス事業</v>
          </cell>
          <cell r="W17" t="str">
            <v>介護老人保健施設</v>
          </cell>
          <cell r="BD17" t="str">
            <v>○</v>
          </cell>
        </row>
        <row r="19">
          <cell r="F19" t="str">
            <v>介護老人保健施設介護サービス事業特別会計</v>
          </cell>
        </row>
        <row r="42">
          <cell r="R42" t="str">
            <v>○</v>
          </cell>
          <cell r="X42" t="str">
            <v>○</v>
          </cell>
        </row>
        <row r="111">
          <cell r="B111" t="str">
            <v>市立の介護保険施設を法人へ移譲、民営化したことにより、人件費の削減に繋がった。（人件費41,815千円の減）</v>
          </cell>
        </row>
        <row r="117">
          <cell r="J117" t="str">
            <v>○</v>
          </cell>
          <cell r="S117" t="str">
            <v>平成</v>
          </cell>
          <cell r="V117">
            <v>24</v>
          </cell>
        </row>
        <row r="118">
          <cell r="V118">
            <v>4</v>
          </cell>
        </row>
        <row r="119">
          <cell r="V119">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簡易水道事業</v>
          </cell>
          <cell r="W17" t="str">
            <v>―</v>
          </cell>
          <cell r="BD17" t="str">
            <v>×</v>
          </cell>
        </row>
        <row r="19">
          <cell r="F19" t="str">
            <v>ー</v>
          </cell>
        </row>
        <row r="43">
          <cell r="R43" t="str">
            <v>○</v>
          </cell>
          <cell r="AD43" t="str">
            <v>○</v>
          </cell>
        </row>
        <row r="249">
          <cell r="B249" t="str">
            <v>　県南地区の水道事業体で構成する『県南地区水道連携推進座談会』に参加している。連携促進に向けた活動組織として、既存施設の見学や先進地視察及び、講師を招いての研修などにより、水道事業体間の相互理解を図ることを目的とし、現在は、事務処理の共同実施や施設の共同利用等、実効性のある広域連携に向けた活動などについて勉強している状況。</v>
          </cell>
        </row>
        <row r="255">
          <cell r="B255" t="str">
            <v>　県南地区は、給水区域が広く施設数が多いことにより、統廃合にかかる多額な整備費用を要することなどが課題となっている。
　今後、秋田県水道ビジョンが策定され、県主導のもとで市町村間の共同管理体制の検討・指導が図られる予定となっている。</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大仙市</v>
          </cell>
        </row>
        <row r="17">
          <cell r="F17" t="str">
            <v>観光施設事業</v>
          </cell>
          <cell r="W17" t="str">
            <v>索道</v>
          </cell>
          <cell r="BD17" t="str">
            <v>○</v>
          </cell>
        </row>
        <row r="19">
          <cell r="F19" t="str">
            <v>ー</v>
          </cell>
        </row>
        <row r="44">
          <cell r="R44" t="str">
            <v>○</v>
          </cell>
          <cell r="X44" t="str">
            <v>○</v>
          </cell>
        </row>
        <row r="266">
          <cell r="B266" t="str">
            <v>　利用者ニーズに応えるべく、民間ノウハウを活用しより良いサービスの提供を行っている。市との連携により、適正な施設の維持管理及び運営を行っている。</v>
          </cell>
        </row>
        <row r="272">
          <cell r="U272" t="str">
            <v>平成</v>
          </cell>
          <cell r="X272">
            <v>23</v>
          </cell>
        </row>
        <row r="273">
          <cell r="G273" t="str">
            <v>○</v>
          </cell>
          <cell r="X273">
            <v>12</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3FE87-F893-4796-B64B-264B7537582A}">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IF(COUNTIF([10]回答表!K15,"*")&gt;0,[10]回答表!K15,"")</f>
        <v>大仙市</v>
      </c>
      <c r="D11" s="264"/>
      <c r="E11" s="264"/>
      <c r="F11" s="264"/>
      <c r="G11" s="264"/>
      <c r="H11" s="264"/>
      <c r="I11" s="264"/>
      <c r="J11" s="264"/>
      <c r="K11" s="264"/>
      <c r="L11" s="264"/>
      <c r="M11" s="264"/>
      <c r="N11" s="264"/>
      <c r="O11" s="264"/>
      <c r="P11" s="264"/>
      <c r="Q11" s="264"/>
      <c r="R11" s="264"/>
      <c r="S11" s="264"/>
      <c r="T11" s="264"/>
      <c r="U11" s="271" t="str">
        <f>IF(COUNTIF([10]回答表!F17,"*")&gt;0,[10]回答表!F17,"")</f>
        <v>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IF(COUNTIF([10]回答表!W17,"*")&gt;0,[10]回答表!W17,"")</f>
        <v>―</v>
      </c>
      <c r="AP11" s="266"/>
      <c r="AQ11" s="266"/>
      <c r="AR11" s="266"/>
      <c r="AS11" s="266"/>
      <c r="AT11" s="266"/>
      <c r="AU11" s="266"/>
      <c r="AV11" s="266"/>
      <c r="AW11" s="266"/>
      <c r="AX11" s="266"/>
      <c r="AY11" s="266"/>
      <c r="AZ11" s="266"/>
      <c r="BA11" s="266"/>
      <c r="BB11" s="266"/>
      <c r="BC11" s="266"/>
      <c r="BD11" s="266"/>
      <c r="BE11" s="267"/>
      <c r="BF11" s="270" t="str">
        <f>IF(COUNTIF([10]回答表!F19,"*")&gt;0,[10]回答表!F19,"")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IF([10]回答表!R41="○","○","")</f>
        <v/>
      </c>
      <c r="E24" s="122"/>
      <c r="F24" s="122"/>
      <c r="G24" s="122"/>
      <c r="H24" s="122"/>
      <c r="I24" s="122"/>
      <c r="J24" s="123"/>
      <c r="K24" s="121" t="str">
        <f>IF([10]回答表!R42="○","○","")</f>
        <v/>
      </c>
      <c r="L24" s="122"/>
      <c r="M24" s="122"/>
      <c r="N24" s="122"/>
      <c r="O24" s="122"/>
      <c r="P24" s="122"/>
      <c r="Q24" s="123"/>
      <c r="R24" s="121" t="str">
        <f>IF([10]回答表!R43="○","○","")</f>
        <v>○</v>
      </c>
      <c r="S24" s="122"/>
      <c r="T24" s="122"/>
      <c r="U24" s="122"/>
      <c r="V24" s="122"/>
      <c r="W24" s="122"/>
      <c r="X24" s="123"/>
      <c r="Y24" s="121" t="str">
        <f>IF([10]回答表!R44="○","○","")</f>
        <v/>
      </c>
      <c r="Z24" s="122"/>
      <c r="AA24" s="122"/>
      <c r="AB24" s="122"/>
      <c r="AC24" s="122"/>
      <c r="AD24" s="122"/>
      <c r="AE24" s="123"/>
      <c r="AF24" s="121" t="str">
        <f>IF([10]回答表!R45="○","○","")</f>
        <v/>
      </c>
      <c r="AG24" s="122"/>
      <c r="AH24" s="122"/>
      <c r="AI24" s="122"/>
      <c r="AJ24" s="122"/>
      <c r="AK24" s="122"/>
      <c r="AL24" s="123"/>
      <c r="AM24" s="121" t="str">
        <f>IF([10]回答表!R46="○","○","")</f>
        <v/>
      </c>
      <c r="AN24" s="122"/>
      <c r="AO24" s="122"/>
      <c r="AP24" s="122"/>
      <c r="AQ24" s="122"/>
      <c r="AR24" s="122"/>
      <c r="AS24" s="123"/>
      <c r="AT24" s="121" t="str">
        <f>IF([10]回答表!R47="○","○","")</f>
        <v/>
      </c>
      <c r="AU24" s="122"/>
      <c r="AV24" s="122"/>
      <c r="AW24" s="122"/>
      <c r="AX24" s="122"/>
      <c r="AY24" s="122"/>
      <c r="AZ24" s="123"/>
      <c r="BA24" s="19"/>
      <c r="BB24" s="118" t="str">
        <f>IF([10]回答表!R48="○","○","")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IF([10]回答表!X41="○","○","")</f>
        <v/>
      </c>
      <c r="O36" s="98"/>
      <c r="P36" s="98"/>
      <c r="Q36" s="99"/>
      <c r="R36" s="39"/>
      <c r="S36" s="39"/>
      <c r="T36" s="39"/>
      <c r="U36" s="106" t="str">
        <f>IF([10]回答表!X41="○",[10]回答表!B56,IF([10]回答表!AA41="○",[10]回答表!B76,""))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IF([10]回答表!X41="○",[10]回答表!S62,IF([10]回答表!AA41="○",[10]回答表!S82,""))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IF([10]回答表!X41="○",[10]回答表!G62,IF([10]回答表!AA41="○",[10]回答表!G82,""))</f>
        <v/>
      </c>
      <c r="AN38" s="119"/>
      <c r="AO38" s="119"/>
      <c r="AP38" s="119"/>
      <c r="AQ38" s="119"/>
      <c r="AR38" s="119"/>
      <c r="AS38" s="119"/>
      <c r="AT38" s="120"/>
      <c r="AU38" s="118" t="str">
        <f>IF([10]回答表!X41="○",[10]回答表!G63,IF([10]回答表!AA41="○",[10]回答表!G83,""))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IF([10]回答表!X41="○",[10]回答表!V62,IF([10]回答表!AA41="○",[10]回答表!V82,""))</f>
        <v/>
      </c>
      <c r="BF39" s="217"/>
      <c r="BG39" s="217"/>
      <c r="BH39" s="218"/>
      <c r="BI39" s="82" t="str">
        <f>IF([10]回答表!X41="○",[10]回答表!V63,IF([10]回答表!AA41="○",[10]回答表!V83,""))</f>
        <v/>
      </c>
      <c r="BJ39" s="217"/>
      <c r="BK39" s="217"/>
      <c r="BL39" s="218"/>
      <c r="BM39" s="82" t="str">
        <f>IF([10]回答表!X41="○",[10]回答表!V64,IF([10]回答表!AA41="○",[10]回答表!V84,""))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IF([10]回答表!X41="○",[10]回答表!O68,IF([10]回答表!AA41="○",[10]回答表!O88,""))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IF([10]回答表!X41="○",[10]回答表!O69,IF([10]回答表!AA41="○",[10]回答表!O89,""))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IF([10]回答表!AA41="○","○","")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IF([10]回答表!X41="○",[10]回答表!O70,IF([10]回答表!AA41="○",[10]回答表!O90,""))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IF([10]回答表!X41="○",[10]回答表!O71,IF([10]回答表!AA41="○",[10]回答表!O91,""))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IF([10]回答表!X41="○",[10]回答表!AG68,IF([10]回答表!AA41="○",[10]回答表!AG88,""))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IF([10]回答表!X41="○",[10]回答表!AG69,IF([10]回答表!AA41="○",[10]回答表!AG89,""))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IF([10]回答表!X41="○",[10]回答表!AG70,IF([10]回答表!AA41="○",[10]回答表!AG90,""))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IF([10]回答表!AD41="○","○","")</f>
        <v/>
      </c>
      <c r="O52" s="98"/>
      <c r="P52" s="98"/>
      <c r="Q52" s="99"/>
      <c r="R52" s="39"/>
      <c r="S52" s="39"/>
      <c r="T52" s="39"/>
      <c r="U52" s="106" t="str">
        <f>IF([10]回答表!AD41="○",[10]回答表!B96,"")</f>
        <v/>
      </c>
      <c r="V52" s="107"/>
      <c r="W52" s="107"/>
      <c r="X52" s="107"/>
      <c r="Y52" s="107"/>
      <c r="Z52" s="107"/>
      <c r="AA52" s="107"/>
      <c r="AB52" s="107"/>
      <c r="AC52" s="107"/>
      <c r="AD52" s="107"/>
      <c r="AE52" s="107"/>
      <c r="AF52" s="107"/>
      <c r="AG52" s="107"/>
      <c r="AH52" s="107"/>
      <c r="AI52" s="107"/>
      <c r="AJ52" s="108"/>
      <c r="AK52" s="56"/>
      <c r="AL52" s="56"/>
      <c r="AM52" s="106" t="str">
        <f>IF([10]回答表!AD41="○",[10]回答表!B101,"")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IF([10]回答表!X42="○","○","")</f>
        <v/>
      </c>
      <c r="O63" s="98"/>
      <c r="P63" s="98"/>
      <c r="Q63" s="99"/>
      <c r="R63" s="39"/>
      <c r="S63" s="39"/>
      <c r="T63" s="39"/>
      <c r="U63" s="106" t="str">
        <f>IF([10]回答表!X42="○",[10]回答表!B111,IF([10]回答表!AA42="○",[10]回答表!B124,""))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IF([10]回答表!X42="○",[10]回答表!S117,IF([10]回答表!AA42="○",[10]回答表!S130,""))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IF([10]回答表!X42="○",[10]回答表!J117,IF([10]回答表!AA42="○",[10]回答表!J130,""))</f>
        <v/>
      </c>
      <c r="AN66" s="119"/>
      <c r="AO66" s="119"/>
      <c r="AP66" s="119"/>
      <c r="AQ66" s="119"/>
      <c r="AR66" s="119"/>
      <c r="AS66" s="119"/>
      <c r="AT66" s="120"/>
      <c r="AU66" s="118" t="str">
        <f>IF([10]回答表!X42="○",[10]回答表!J118,IF([10]回答表!AA42="○",[10]回答表!J131,""))</f>
        <v/>
      </c>
      <c r="AV66" s="119"/>
      <c r="AW66" s="119"/>
      <c r="AX66" s="119"/>
      <c r="AY66" s="119"/>
      <c r="AZ66" s="119"/>
      <c r="BA66" s="119"/>
      <c r="BB66" s="120"/>
      <c r="BC66" s="40"/>
      <c r="BD66" s="35"/>
      <c r="BE66" s="82" t="str">
        <f>IF([10]回答表!X42="○",[10]回答表!V117,IF([10]回答表!AA42="○",[10]回答表!V130,""))</f>
        <v/>
      </c>
      <c r="BF66" s="83"/>
      <c r="BG66" s="83"/>
      <c r="BH66" s="83"/>
      <c r="BI66" s="82" t="str">
        <f>IF([10]回答表!X42="○",[10]回答表!V118,IF([10]回答表!AA42="○",[10]回答表!V131,""))</f>
        <v/>
      </c>
      <c r="BJ66" s="83"/>
      <c r="BK66" s="83"/>
      <c r="BL66" s="83"/>
      <c r="BM66" s="82" t="str">
        <f>IF([10]回答表!X42="○",[10]回答表!V119,IF([10]回答表!AA42="○",[10]回答表!V132,""))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IF([10]回答表!AA42="○","○","")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IF([10]回答表!AD42="○","○","")</f>
        <v/>
      </c>
      <c r="O75" s="98"/>
      <c r="P75" s="98"/>
      <c r="Q75" s="99"/>
      <c r="R75" s="39"/>
      <c r="S75" s="39"/>
      <c r="T75" s="39"/>
      <c r="U75" s="106" t="str">
        <f>IF([10]回答表!AD42="○",[10]回答表!B137,"")</f>
        <v/>
      </c>
      <c r="V75" s="107"/>
      <c r="W75" s="107"/>
      <c r="X75" s="107"/>
      <c r="Y75" s="107"/>
      <c r="Z75" s="107"/>
      <c r="AA75" s="107"/>
      <c r="AB75" s="107"/>
      <c r="AC75" s="107"/>
      <c r="AD75" s="107"/>
      <c r="AE75" s="107"/>
      <c r="AF75" s="107"/>
      <c r="AG75" s="107"/>
      <c r="AH75" s="107"/>
      <c r="AI75" s="107"/>
      <c r="AJ75" s="108"/>
      <c r="AK75" s="56"/>
      <c r="AL75" s="56"/>
      <c r="AM75" s="106" t="str">
        <f>IF([10]回答表!AD42="○",[10]回答表!B143,"")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IF([10]回答表!F17="水道事業",IF([10]回答表!X43="○","○",""),"")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IF([10]回答表!F17="水道事業",IF([10]回答表!X43="○",[10]回答表!B154,IF([10]回答表!AA43="○",[10]回答表!B201,"")),"")</f>
        <v/>
      </c>
      <c r="AN87" s="107"/>
      <c r="AO87" s="107"/>
      <c r="AP87" s="107"/>
      <c r="AQ87" s="107"/>
      <c r="AR87" s="107"/>
      <c r="AS87" s="107"/>
      <c r="AT87" s="107"/>
      <c r="AU87" s="107"/>
      <c r="AV87" s="107"/>
      <c r="AW87" s="107"/>
      <c r="AX87" s="107"/>
      <c r="AY87" s="107"/>
      <c r="AZ87" s="107"/>
      <c r="BA87" s="107"/>
      <c r="BB87" s="108"/>
      <c r="BC87" s="40"/>
      <c r="BD87" s="35"/>
      <c r="BE87" s="115" t="str">
        <f>IF([10]回答表!F17="水道事業",IF([10]回答表!X43="○",[10]回答表!B190,IF([10]回答表!AA43="○",[10]回答表!B238,"")),"")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IF([10]回答表!F17="水道事業",IF([10]回答表!X43="○",[10]回答表!J162,IF([10]回答表!AA43="○",[10]回答表!J209,"")),"")</f>
        <v/>
      </c>
      <c r="V89" s="119"/>
      <c r="W89" s="119"/>
      <c r="X89" s="119"/>
      <c r="Y89" s="119"/>
      <c r="Z89" s="119"/>
      <c r="AA89" s="119"/>
      <c r="AB89" s="120"/>
      <c r="AC89" s="118" t="str">
        <f>IF([10]回答表!F17="水道事業",IF([10]回答表!X43="○",[10]回答表!J169,IF([10]回答表!AA43="○",[10]回答表!J216,"")),"")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IF([10]回答表!F17="水道事業",IF([10]回答表!X43="○",[10]回答表!E190,IF([10]回答表!AA43="○",[10]回答表!E238,"")),"")</f>
        <v/>
      </c>
      <c r="BF90" s="83"/>
      <c r="BG90" s="83"/>
      <c r="BH90" s="83"/>
      <c r="BI90" s="82" t="str">
        <f>IF([10]回答表!F17="水道事業",IF([10]回答表!X43="○",[10]回答表!E191,IF([10]回答表!AA43="○",[10]回答表!E239,"")),"")</f>
        <v/>
      </c>
      <c r="BJ90" s="83"/>
      <c r="BK90" s="83"/>
      <c r="BL90" s="83"/>
      <c r="BM90" s="82" t="str">
        <f>IF([10]回答表!F17="水道事業",IF([10]回答表!X43="○",[10]回答表!E192,IF([10]回答表!AA43="○",[10]回答表!E240,"")),"")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IF([10]回答表!F17="水道事業",IF([10]回答表!AA43="○","○",""),"")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IF([10]回答表!F17="水道事業",IF([10]回答表!X43="○",[10]回答表!J172,IF([10]回答表!AA43="○",[10]回答表!J219,"")),"")</f>
        <v/>
      </c>
      <c r="V94" s="119"/>
      <c r="W94" s="119"/>
      <c r="X94" s="119"/>
      <c r="Y94" s="119"/>
      <c r="Z94" s="119"/>
      <c r="AA94" s="119"/>
      <c r="AB94" s="120"/>
      <c r="AC94" s="118" t="str">
        <f>IF([10]回答表!F17="水道事業",IF([10]回答表!X43="○",[10]回答表!J176,IF([10]回答表!AA43="○",[10]回答表!J223,"")),"")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IF([10]回答表!F17="水道事業",IF([10]回答表!AD43="○","○",""),"")</f>
        <v>○</v>
      </c>
      <c r="O99" s="98"/>
      <c r="P99" s="98"/>
      <c r="Q99" s="99"/>
      <c r="R99" s="39"/>
      <c r="S99" s="39"/>
      <c r="T99" s="39"/>
      <c r="U99" s="194" t="str">
        <f>IF([10]回答表!F17="水道事業",IF([10]回答表!AD43="○",[10]回答表!B249,""),"")</f>
        <v>　県南地区の水道事業体で構成する『県南地区水道連携推進座談会』に参加している。連携促進に向けた活動組織として、既存施設の見学や先進地視察及び、講師を招いての研修などにより、水道事業体間の相互理解を図ることを目的とし、現在は、事務処理の共同実施や施設の共同利用等、実効性のある広域連携に向けた活動などについて勉強している状況。</v>
      </c>
      <c r="V99" s="195"/>
      <c r="W99" s="195"/>
      <c r="X99" s="195"/>
      <c r="Y99" s="195"/>
      <c r="Z99" s="195"/>
      <c r="AA99" s="195"/>
      <c r="AB99" s="195"/>
      <c r="AC99" s="195"/>
      <c r="AD99" s="195"/>
      <c r="AE99" s="195"/>
      <c r="AF99" s="195"/>
      <c r="AG99" s="195"/>
      <c r="AH99" s="195"/>
      <c r="AI99" s="195"/>
      <c r="AJ99" s="196"/>
      <c r="AK99" s="56"/>
      <c r="AL99" s="56"/>
      <c r="AM99" s="203" t="str">
        <f>IF([10]回答表!F17="水道事業",IF([10]回答表!AD43="○",[10]回答表!B255,""),"")</f>
        <v>　県南地区は、給水区域が広く施設数が多いことにより、統廃合にかかる多額な整備費用を要することなどが課題となっている。
　今後、秋田県水道ビジョンが策定され、県主導のもとで市町村間の共同管理体制の検討・指導が図られる予定となっている。</v>
      </c>
      <c r="AN99" s="204"/>
      <c r="AO99" s="204"/>
      <c r="AP99" s="204"/>
      <c r="AQ99" s="204"/>
      <c r="AR99" s="204"/>
      <c r="AS99" s="204"/>
      <c r="AT99" s="204"/>
      <c r="AU99" s="204"/>
      <c r="AV99" s="204"/>
      <c r="AW99" s="204"/>
      <c r="AX99" s="204"/>
      <c r="AY99" s="204"/>
      <c r="AZ99" s="204"/>
      <c r="BA99" s="204"/>
      <c r="BB99" s="204"/>
      <c r="BC99" s="204"/>
      <c r="BD99" s="204"/>
      <c r="BE99" s="204"/>
      <c r="BF99" s="204"/>
      <c r="BG99" s="204"/>
      <c r="BH99" s="204"/>
      <c r="BI99" s="204"/>
      <c r="BJ99" s="204"/>
      <c r="BK99" s="204"/>
      <c r="BL99" s="204"/>
      <c r="BM99" s="204"/>
      <c r="BN99" s="204"/>
      <c r="BO99" s="204"/>
      <c r="BP99" s="205"/>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97"/>
      <c r="V100" s="198"/>
      <c r="W100" s="198"/>
      <c r="X100" s="198"/>
      <c r="Y100" s="198"/>
      <c r="Z100" s="198"/>
      <c r="AA100" s="198"/>
      <c r="AB100" s="198"/>
      <c r="AC100" s="198"/>
      <c r="AD100" s="198"/>
      <c r="AE100" s="198"/>
      <c r="AF100" s="198"/>
      <c r="AG100" s="198"/>
      <c r="AH100" s="198"/>
      <c r="AI100" s="198"/>
      <c r="AJ100" s="199"/>
      <c r="AK100" s="56"/>
      <c r="AL100" s="56"/>
      <c r="AM100" s="206"/>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8"/>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97"/>
      <c r="V101" s="198"/>
      <c r="W101" s="198"/>
      <c r="X101" s="198"/>
      <c r="Y101" s="198"/>
      <c r="Z101" s="198"/>
      <c r="AA101" s="198"/>
      <c r="AB101" s="198"/>
      <c r="AC101" s="198"/>
      <c r="AD101" s="198"/>
      <c r="AE101" s="198"/>
      <c r="AF101" s="198"/>
      <c r="AG101" s="198"/>
      <c r="AH101" s="198"/>
      <c r="AI101" s="198"/>
      <c r="AJ101" s="199"/>
      <c r="AK101" s="56"/>
      <c r="AL101" s="56"/>
      <c r="AM101" s="206"/>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8"/>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200"/>
      <c r="V102" s="201"/>
      <c r="W102" s="201"/>
      <c r="X102" s="201"/>
      <c r="Y102" s="201"/>
      <c r="Z102" s="201"/>
      <c r="AA102" s="201"/>
      <c r="AB102" s="201"/>
      <c r="AC102" s="201"/>
      <c r="AD102" s="201"/>
      <c r="AE102" s="201"/>
      <c r="AF102" s="201"/>
      <c r="AG102" s="201"/>
      <c r="AH102" s="201"/>
      <c r="AI102" s="201"/>
      <c r="AJ102" s="202"/>
      <c r="AK102" s="56"/>
      <c r="AL102" s="56"/>
      <c r="AM102" s="209"/>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1"/>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IF([10]回答表!F17="簡易水道事業",IF([10]回答表!X43="○","○",""),"")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IF([10]回答表!F17="簡易水道事業",IF([10]回答表!X43="○",[10]回答表!B154,IF([10]回答表!AA43="○",[10]回答表!B201,"")),"")</f>
        <v/>
      </c>
      <c r="AN111" s="107"/>
      <c r="AO111" s="107"/>
      <c r="AP111" s="107"/>
      <c r="AQ111" s="107"/>
      <c r="AR111" s="107"/>
      <c r="AS111" s="107"/>
      <c r="AT111" s="107"/>
      <c r="AU111" s="107"/>
      <c r="AV111" s="107"/>
      <c r="AW111" s="107"/>
      <c r="AX111" s="107"/>
      <c r="AY111" s="107"/>
      <c r="AZ111" s="107"/>
      <c r="BA111" s="107"/>
      <c r="BB111" s="108"/>
      <c r="BC111" s="40"/>
      <c r="BD111" s="35"/>
      <c r="BE111" s="115" t="str">
        <f>IF([10]回答表!F17="簡易水道事業",IF([10]回答表!X43="○",[10]回答表!B190,IF([10]回答表!AA43="○",[10]回答表!B238,"")),"")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IF([10]回答表!F17="簡易水道事業",IF([10]回答表!X43="○",[10]回答表!Y181,IF([10]回答表!AA43="○",[10]回答表!Y229,"")),"")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IF([10]回答表!F17="簡易水道事業",IF([10]回答表!X43="○",[10]回答表!E190,IF([10]回答表!AA43="○",[10]回答表!E238,"")),"")</f>
        <v/>
      </c>
      <c r="BF114" s="83"/>
      <c r="BG114" s="83"/>
      <c r="BH114" s="83"/>
      <c r="BI114" s="82" t="str">
        <f>IF([10]回答表!F17="簡易水道事業",IF([10]回答表!X43="○",[10]回答表!E191,IF([10]回答表!AA43="○",[10]回答表!E239,"")),"")</f>
        <v/>
      </c>
      <c r="BJ114" s="83"/>
      <c r="BK114" s="83"/>
      <c r="BL114" s="83"/>
      <c r="BM114" s="82" t="str">
        <f>IF([10]回答表!F17="簡易水道事業",IF([10]回答表!X43="○",[10]回答表!E192,IF([10]回答表!AA43="○",[10]回答表!E240,"")),"")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IF([10]回答表!F17="簡易水道事業",IF([10]回答表!AA43="○","○",""),"")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IF([10]回答表!F17="簡易水道事業",IF([10]回答表!X43="○",[10]回答表!Y182,IF([10]回答表!AA43="○",[10]回答表!Y230,"")),"")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IF([10]回答表!F17="簡易水道事業",IF([10]回答表!AD43="○","○",""),"")</f>
        <v/>
      </c>
      <c r="O123" s="98"/>
      <c r="P123" s="98"/>
      <c r="Q123" s="99"/>
      <c r="R123" s="39"/>
      <c r="S123" s="39"/>
      <c r="T123" s="39"/>
      <c r="U123" s="106" t="str">
        <f>IF([10]回答表!F17="簡易水道事業",IF([10]回答表!AD43="○",[10]回答表!B249,""),"")</f>
        <v/>
      </c>
      <c r="V123" s="107"/>
      <c r="W123" s="107"/>
      <c r="X123" s="107"/>
      <c r="Y123" s="107"/>
      <c r="Z123" s="107"/>
      <c r="AA123" s="107"/>
      <c r="AB123" s="107"/>
      <c r="AC123" s="107"/>
      <c r="AD123" s="107"/>
      <c r="AE123" s="107"/>
      <c r="AF123" s="107"/>
      <c r="AG123" s="107"/>
      <c r="AH123" s="107"/>
      <c r="AI123" s="107"/>
      <c r="AJ123" s="108"/>
      <c r="AK123" s="56"/>
      <c r="AL123" s="56"/>
      <c r="AM123" s="106" t="str">
        <f>IF([10]回答表!F17="簡易水道事業",IF([10]回答表!AD43="○",[10]回答表!B255,""),"")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IF([10]回答表!F17="下水道事業",IF([10]回答表!X43="○","○",""),"")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IF([10]回答表!F17="下水道事業",IF([10]回答表!X43="○",[10]回答表!B154,IF([10]回答表!AA43="○",[10]回答表!B201,"")),"")</f>
        <v/>
      </c>
      <c r="AN135" s="107"/>
      <c r="AO135" s="107"/>
      <c r="AP135" s="107"/>
      <c r="AQ135" s="107"/>
      <c r="AR135" s="107"/>
      <c r="AS135" s="107"/>
      <c r="AT135" s="107"/>
      <c r="AU135" s="107"/>
      <c r="AV135" s="107"/>
      <c r="AW135" s="107"/>
      <c r="AX135" s="107"/>
      <c r="AY135" s="107"/>
      <c r="AZ135" s="107"/>
      <c r="BA135" s="107"/>
      <c r="BB135" s="108"/>
      <c r="BC135" s="40"/>
      <c r="BD135" s="35"/>
      <c r="BE135" s="115" t="str">
        <f>IF([10]回答表!F17="下水道事業",IF([10]回答表!X43="○",[10]回答表!B190,IF([10]回答表!AA43="○",[10]回答表!B238,"")),"")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IF([10]回答表!F17="下水道事業",IF([10]回答表!X43="○",[10]回答表!Y184,IF([10]回答表!AA43="○",[10]回答表!Y232,"")),"")</f>
        <v/>
      </c>
      <c r="V137" s="119"/>
      <c r="W137" s="119"/>
      <c r="X137" s="119"/>
      <c r="Y137" s="119"/>
      <c r="Z137" s="119"/>
      <c r="AA137" s="119"/>
      <c r="AB137" s="120"/>
      <c r="AC137" s="118" t="str">
        <f>IF([10]回答表!F17="下水道事業",IF([10]回答表!X43="○",[10]回答表!Y185,IF([10]回答表!AA43="○",[10]回答表!Y233,"")),"")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IF([10]回答表!F17="下水道事業",IF([10]回答表!X43="○",[10]回答表!E190,IF([10]回答表!AA43="○",[10]回答表!E238,"")),"")</f>
        <v/>
      </c>
      <c r="BF138" s="83"/>
      <c r="BG138" s="83"/>
      <c r="BH138" s="83"/>
      <c r="BI138" s="82" t="str">
        <f>IF([10]回答表!F17="下水道事業",IF([10]回答表!X43="○",[10]回答表!E191,IF([10]回答表!AA43="○",[10]回答表!E239,"")),"")</f>
        <v/>
      </c>
      <c r="BJ138" s="83"/>
      <c r="BK138" s="83"/>
      <c r="BL138" s="83"/>
      <c r="BM138" s="82" t="str">
        <f>IF([10]回答表!F17="下水道事業",IF([10]回答表!X43="○",[10]回答表!E192,IF([10]回答表!AA43="○",[10]回答表!E240,"")),"")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IF([10]回答表!F17="下水道事業",IF([10]回答表!AA43="○","○",""),"")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IF([10]回答表!F17="下水道事業",IF([10]回答表!X43="○",[10]回答表!Y186,IF([10]回答表!AA43="○",[10]回答表!Y234,"")),"")</f>
        <v/>
      </c>
      <c r="V142" s="119"/>
      <c r="W142" s="119"/>
      <c r="X142" s="119"/>
      <c r="Y142" s="119"/>
      <c r="Z142" s="119"/>
      <c r="AA142" s="119"/>
      <c r="AB142" s="120"/>
      <c r="AC142" s="118" t="str">
        <f>IF([10]回答表!F17="下水道事業",IF([10]回答表!X43="○",[10]回答表!Y187,IF([10]回答表!AA43="○",[10]回答表!Y235,"")),"")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IF([10]回答表!F17="下水道事業",IF([10]回答表!AD43="○","○",""),"")</f>
        <v/>
      </c>
      <c r="O147" s="98"/>
      <c r="P147" s="98"/>
      <c r="Q147" s="99"/>
      <c r="R147" s="39"/>
      <c r="S147" s="39"/>
      <c r="T147" s="39"/>
      <c r="U147" s="106" t="str">
        <f>IF([10]回答表!F17="下水道事業",IF([10]回答表!AD43="○",[10]回答表!B249,""),"")</f>
        <v/>
      </c>
      <c r="V147" s="107"/>
      <c r="W147" s="107"/>
      <c r="X147" s="107"/>
      <c r="Y147" s="107"/>
      <c r="Z147" s="107"/>
      <c r="AA147" s="107"/>
      <c r="AB147" s="107"/>
      <c r="AC147" s="107"/>
      <c r="AD147" s="107"/>
      <c r="AE147" s="107"/>
      <c r="AF147" s="107"/>
      <c r="AG147" s="107"/>
      <c r="AH147" s="107"/>
      <c r="AI147" s="107"/>
      <c r="AJ147" s="108"/>
      <c r="AK147" s="56"/>
      <c r="AL147" s="56"/>
      <c r="AM147" s="106" t="str">
        <f>IF([10]回答表!F17="下水道事業",IF([10]回答表!AD43="○",[10]回答表!B255,""),"")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IF([10]回答表!BD17="○",IF([10]回答表!X43="○","○",""),"")</f>
        <v/>
      </c>
      <c r="O159" s="98"/>
      <c r="P159" s="98"/>
      <c r="Q159" s="99"/>
      <c r="R159" s="39"/>
      <c r="S159" s="39"/>
      <c r="T159" s="39"/>
      <c r="U159" s="106" t="str">
        <f>IF([10]回答表!BD17="○",IF([10]回答表!X43="○",[10]回答表!B154,IF([10]回答表!AA43="○",[10]回答表!B201,"")),"")</f>
        <v/>
      </c>
      <c r="V159" s="107"/>
      <c r="W159" s="107"/>
      <c r="X159" s="107"/>
      <c r="Y159" s="107"/>
      <c r="Z159" s="107"/>
      <c r="AA159" s="107"/>
      <c r="AB159" s="107"/>
      <c r="AC159" s="107"/>
      <c r="AD159" s="107"/>
      <c r="AE159" s="107"/>
      <c r="AF159" s="107"/>
      <c r="AG159" s="107"/>
      <c r="AH159" s="107"/>
      <c r="AI159" s="107"/>
      <c r="AJ159" s="108"/>
      <c r="AK159" s="50"/>
      <c r="AL159" s="50"/>
      <c r="AM159" s="115" t="str">
        <f>IF([10]回答表!BD17="○",IF([10]回答表!X43="○",[10]回答表!B190,IF([10]回答表!AA43="○",[10]回答表!B238,"")),"")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IF([10]回答表!BD17="○",IF([10]回答表!X43="○",[10]回答表!E190,IF([10]回答表!AA43="○",[10]回答表!E238,"")),"")</f>
        <v/>
      </c>
      <c r="AN162" s="83"/>
      <c r="AO162" s="83"/>
      <c r="AP162" s="83"/>
      <c r="AQ162" s="82" t="str">
        <f>IF([10]回答表!BD17="○",IF([10]回答表!X43="○",[10]回答表!E191,IF([10]回答表!AA43="○",[10]回答表!E239,"")),"")</f>
        <v/>
      </c>
      <c r="AR162" s="83"/>
      <c r="AS162" s="83"/>
      <c r="AT162" s="83"/>
      <c r="AU162" s="82" t="str">
        <f>IF([10]回答表!BD17="○",IF([10]回答表!X43="○",[10]回答表!E192,IF([10]回答表!AA43="○",[10]回答表!E240,"")),"")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IF([10]回答表!BD17="○",IF([10]回答表!AA43="○","○",""),"")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IF([10]回答表!BD17="○",IF([10]回答表!AD43="○","○",""),"")</f>
        <v/>
      </c>
      <c r="O171" s="98"/>
      <c r="P171" s="98"/>
      <c r="Q171" s="99"/>
      <c r="R171" s="39"/>
      <c r="S171" s="39"/>
      <c r="T171" s="39"/>
      <c r="U171" s="106" t="str">
        <f>IF([10]回答表!BD17="○",IF([10]回答表!AD43="○",[10]回答表!B249,""),"")</f>
        <v/>
      </c>
      <c r="V171" s="107"/>
      <c r="W171" s="107"/>
      <c r="X171" s="107"/>
      <c r="Y171" s="107"/>
      <c r="Z171" s="107"/>
      <c r="AA171" s="107"/>
      <c r="AB171" s="107"/>
      <c r="AC171" s="107"/>
      <c r="AD171" s="107"/>
      <c r="AE171" s="107"/>
      <c r="AF171" s="107"/>
      <c r="AG171" s="107"/>
      <c r="AH171" s="107"/>
      <c r="AI171" s="107"/>
      <c r="AJ171" s="108"/>
      <c r="AK171" s="56"/>
      <c r="AL171" s="56"/>
      <c r="AM171" s="106" t="str">
        <f>IF([10]回答表!BD17="○",IF([10]回答表!AD43="○",[10]回答表!B255,""),"")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IF([10]回答表!X44="○","○","")</f>
        <v/>
      </c>
      <c r="O183" s="98"/>
      <c r="P183" s="98"/>
      <c r="Q183" s="99"/>
      <c r="R183" s="39"/>
      <c r="S183" s="39"/>
      <c r="T183" s="39"/>
      <c r="U183" s="106" t="str">
        <f>IF([10]回答表!X44="○",[10]回答表!B266,IF([10]回答表!AA44="○",[10]回答表!B283,""))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IF([10]回答表!X44="○",[10]回答表!U272,IF([10]回答表!AA44="○",[10]回答表!U289,""))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IF([10]回答表!X44="○",[10]回答表!G272,IF([10]回答表!AA44="○",[10]回答表!G289,""))</f>
        <v/>
      </c>
      <c r="AN186" s="119"/>
      <c r="AO186" s="119"/>
      <c r="AP186" s="119"/>
      <c r="AQ186" s="119"/>
      <c r="AR186" s="119"/>
      <c r="AS186" s="119"/>
      <c r="AT186" s="120"/>
      <c r="AU186" s="118" t="str">
        <f>IF([10]回答表!X44="○",[10]回答表!G273,IF([10]回答表!AA44="○",[10]回答表!G290,""))</f>
        <v/>
      </c>
      <c r="AV186" s="119"/>
      <c r="AW186" s="119"/>
      <c r="AX186" s="119"/>
      <c r="AY186" s="119"/>
      <c r="AZ186" s="119"/>
      <c r="BA186" s="119"/>
      <c r="BB186" s="120"/>
      <c r="BC186" s="40"/>
      <c r="BD186" s="35"/>
      <c r="BE186" s="82" t="str">
        <f>IF([10]回答表!X44="○",[10]回答表!X272,IF([10]回答表!AA44="○",[10]回答表!X289,""))</f>
        <v/>
      </c>
      <c r="BF186" s="83"/>
      <c r="BG186" s="83"/>
      <c r="BH186" s="83"/>
      <c r="BI186" s="82" t="str">
        <f>IF([10]回答表!X44="○",[10]回答表!X273,IF([10]回答表!AA44="○",[10]回答表!X290,""))</f>
        <v/>
      </c>
      <c r="BJ186" s="83"/>
      <c r="BK186" s="83"/>
      <c r="BL186" s="86"/>
      <c r="BM186" s="82" t="str">
        <f>IF([10]回答表!X44="○",[10]回答表!X274,IF([10]回答表!AA44="○",[10]回答表!X291,""))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IF([10]回答表!AA44="○","○","")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IF([10]回答表!AD44="○","○","")</f>
        <v/>
      </c>
      <c r="O195" s="98"/>
      <c r="P195" s="98"/>
      <c r="Q195" s="99"/>
      <c r="R195" s="39"/>
      <c r="S195" s="39"/>
      <c r="T195" s="39"/>
      <c r="U195" s="106" t="str">
        <f>IF([10]回答表!AD44="○",[10]回答表!B296,"")</f>
        <v/>
      </c>
      <c r="V195" s="107"/>
      <c r="W195" s="107"/>
      <c r="X195" s="107"/>
      <c r="Y195" s="107"/>
      <c r="Z195" s="107"/>
      <c r="AA195" s="107"/>
      <c r="AB195" s="107"/>
      <c r="AC195" s="107"/>
      <c r="AD195" s="107"/>
      <c r="AE195" s="107"/>
      <c r="AF195" s="107"/>
      <c r="AG195" s="107"/>
      <c r="AH195" s="107"/>
      <c r="AI195" s="107"/>
      <c r="AJ195" s="108"/>
      <c r="AK195" s="61"/>
      <c r="AL195" s="61"/>
      <c r="AM195" s="106" t="str">
        <f>IF([10]回答表!AD44="○",[10]回答表!B302,"")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IF([10]回答表!X45="○","○","")</f>
        <v/>
      </c>
      <c r="O207" s="98"/>
      <c r="P207" s="98"/>
      <c r="Q207" s="99"/>
      <c r="R207" s="39"/>
      <c r="S207" s="39"/>
      <c r="T207" s="39"/>
      <c r="U207" s="106" t="str">
        <f>IF([10]回答表!X45="○",[10]回答表!B314,IF([10]回答表!AA45="○",[10]回答表!B337,""))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IF([10]回答表!X45="○",[10]回答表!B320,"")</f>
        <v/>
      </c>
      <c r="AO207" s="164"/>
      <c r="AP207" s="164"/>
      <c r="AQ207" s="164"/>
      <c r="AR207" s="164"/>
      <c r="AS207" s="164"/>
      <c r="AT207" s="164"/>
      <c r="AU207" s="164"/>
      <c r="AV207" s="164"/>
      <c r="AW207" s="164"/>
      <c r="AX207" s="164"/>
      <c r="AY207" s="164"/>
      <c r="AZ207" s="164"/>
      <c r="BA207" s="164"/>
      <c r="BB207" s="165"/>
      <c r="BC207" s="40"/>
      <c r="BD207" s="35"/>
      <c r="BE207" s="115" t="str">
        <f>IF([10]回答表!X45="○",[10]回答表!B326,IF([10]回答表!AA45="○",[10]回答表!B343,""))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IF([10]回答表!X45="○",[10]回答表!E326,IF([10]回答表!AA45="○",[10]回答表!E343,""))</f>
        <v/>
      </c>
      <c r="BF210" s="83"/>
      <c r="BG210" s="83"/>
      <c r="BH210" s="83"/>
      <c r="BI210" s="82" t="str">
        <f>IF([10]回答表!X45="○",[10]回答表!E327,IF([10]回答表!AA45="○",[10]回答表!E344,""))</f>
        <v/>
      </c>
      <c r="BJ210" s="83"/>
      <c r="BK210" s="83"/>
      <c r="BL210" s="86"/>
      <c r="BM210" s="82" t="str">
        <f>IF([10]回答表!X45="○",[10]回答表!E328,IF([10]回答表!AA45="○",[10]回答表!E345,""))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IF([10]回答表!AA45="○","○","")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IF([10]回答表!AD45="○","○","")</f>
        <v/>
      </c>
      <c r="O219" s="98"/>
      <c r="P219" s="98"/>
      <c r="Q219" s="99"/>
      <c r="R219" s="39"/>
      <c r="S219" s="39"/>
      <c r="T219" s="39"/>
      <c r="U219" s="106" t="str">
        <f>IF([10]回答表!AD45="○",[10]回答表!B350,"")</f>
        <v/>
      </c>
      <c r="V219" s="107"/>
      <c r="W219" s="107"/>
      <c r="X219" s="107"/>
      <c r="Y219" s="107"/>
      <c r="Z219" s="107"/>
      <c r="AA219" s="107"/>
      <c r="AB219" s="107"/>
      <c r="AC219" s="107"/>
      <c r="AD219" s="107"/>
      <c r="AE219" s="107"/>
      <c r="AF219" s="107"/>
      <c r="AG219" s="107"/>
      <c r="AH219" s="107"/>
      <c r="AI219" s="107"/>
      <c r="AJ219" s="108"/>
      <c r="AK219" s="61"/>
      <c r="AL219" s="61"/>
      <c r="AM219" s="106" t="str">
        <f>IF([10]回答表!AD45="○",[10]回答表!B356,"")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IF([10]回答表!X46="○","○","")</f>
        <v/>
      </c>
      <c r="O231" s="98"/>
      <c r="P231" s="98"/>
      <c r="Q231" s="99"/>
      <c r="R231" s="39"/>
      <c r="S231" s="39"/>
      <c r="T231" s="39"/>
      <c r="U231" s="106" t="str">
        <f>IF([10]回答表!X46="○",[10]回答表!B368,IF([10]回答表!AA46="○",[10]回答表!B382,""))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IF([10]回答表!X46="○",[10]回答表!BC375,IF([10]回答表!AA46="○",[10]回答表!BC389,""))</f>
        <v/>
      </c>
      <c r="AR231" s="150"/>
      <c r="AS231" s="150"/>
      <c r="AT231" s="150"/>
      <c r="AU231" s="155" t="s">
        <v>63</v>
      </c>
      <c r="AV231" s="156"/>
      <c r="AW231" s="156"/>
      <c r="AX231" s="157"/>
      <c r="AY231" s="150" t="str">
        <f>IF([10]回答表!X46="○",[10]回答表!BC380,IF([10]回答表!AA46="○",[10]回答表!BC394,""))</f>
        <v/>
      </c>
      <c r="AZ231" s="150"/>
      <c r="BA231" s="150"/>
      <c r="BB231" s="150"/>
      <c r="BC231" s="40"/>
      <c r="BD231" s="35"/>
      <c r="BE231" s="115" t="str">
        <f>IF([10]回答表!X46="○",[10]回答表!S374,IF([10]回答表!AA46="○",[10]回答表!S388,""))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IF([10]回答表!X46="○",[10]回答表!BC376,IF([10]回答表!AA46="○",[10]回答表!BC390,""))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IF([10]回答表!X46="○",[10]回答表!V374,IF([10]回答表!AA46="○",[10]回答表!V388,""))</f>
        <v/>
      </c>
      <c r="BF234" s="83"/>
      <c r="BG234" s="83"/>
      <c r="BH234" s="83"/>
      <c r="BI234" s="82" t="str">
        <f>IF([10]回答表!X46="○",[10]回答表!V375,IF([10]回答表!AA46="○",[10]回答表!V389,""))</f>
        <v/>
      </c>
      <c r="BJ234" s="83"/>
      <c r="BK234" s="83"/>
      <c r="BL234" s="86"/>
      <c r="BM234" s="82" t="str">
        <f>IF([10]回答表!X46="○",[10]回答表!V376,IF([10]回答表!AA46="○",[10]回答表!V390,""))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IF([10]回答表!X46="○",[10]回答表!BC377,IF([10]回答表!AA46="○",[10]回答表!BC391,""))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IF([10]回答表!X46="○",[10]回答表!BC381,IF([10]回答表!AA46="○",[10]回答表!BC395,""))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IF([10]回答表!AA46="○","○","")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IF([10]回答表!X46="○",[10]回答表!BC378,IF([10]回答表!AA46="○",[10]回答表!BC392,""))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IF([10]回答表!X46="○",[10]回答表!BC379,IF([10]回答表!AA46="○",[10]回答表!BC393,""))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IF([10]回答表!AD46="○","○","")</f>
        <v/>
      </c>
      <c r="O243" s="98"/>
      <c r="P243" s="98"/>
      <c r="Q243" s="99"/>
      <c r="R243" s="39"/>
      <c r="S243" s="39"/>
      <c r="T243" s="39"/>
      <c r="U243" s="106" t="str">
        <f>IF([10]回答表!AD46="○",[10]回答表!B396,"")</f>
        <v/>
      </c>
      <c r="V243" s="107"/>
      <c r="W243" s="107"/>
      <c r="X243" s="107"/>
      <c r="Y243" s="107"/>
      <c r="Z243" s="107"/>
      <c r="AA243" s="107"/>
      <c r="AB243" s="107"/>
      <c r="AC243" s="107"/>
      <c r="AD243" s="107"/>
      <c r="AE243" s="107"/>
      <c r="AF243" s="107"/>
      <c r="AG243" s="107"/>
      <c r="AH243" s="107"/>
      <c r="AI243" s="107"/>
      <c r="AJ243" s="108"/>
      <c r="AK243" s="56"/>
      <c r="AL243" s="56"/>
      <c r="AM243" s="106" t="str">
        <f>IF([10]回答表!AD46="○",[10]回答表!B402,"")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IF([10]回答表!X47="○","○","")</f>
        <v/>
      </c>
      <c r="O254" s="98"/>
      <c r="P254" s="98"/>
      <c r="Q254" s="99"/>
      <c r="R254" s="39"/>
      <c r="S254" s="39"/>
      <c r="T254" s="39"/>
      <c r="U254" s="106" t="str">
        <f>IF([10]回答表!X47="○",[10]回答表!B414,IF([10]回答表!AA47="○",[10]回答表!B431,""))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IF([10]回答表!X47="○",[10]回答表!B424,IF([10]回答表!AA47="○",[10]回答表!B441,""))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IF([10]回答表!X47="○",[10]回答表!G420,IF([10]回答表!AA47="○",[10]回答表!G437,""))</f>
        <v/>
      </c>
      <c r="AN256" s="119"/>
      <c r="AO256" s="119"/>
      <c r="AP256" s="119"/>
      <c r="AQ256" s="119"/>
      <c r="AR256" s="119"/>
      <c r="AS256" s="119"/>
      <c r="AT256" s="120"/>
      <c r="AU256" s="118" t="str">
        <f>IF([10]回答表!X47="○",[10]回答表!G421,IF([10]回答表!AA47="○",[10]回答表!G438,""))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IF([10]回答表!X47="○",[10]回答表!E424,IF([10]回答表!AA47="○",[10]回答表!E441,""))</f>
        <v/>
      </c>
      <c r="BF257" s="83"/>
      <c r="BG257" s="83"/>
      <c r="BH257" s="83"/>
      <c r="BI257" s="82" t="str">
        <f>IF([10]回答表!X47="○",[10]回答表!E425,IF([10]回答表!AA47="○",[10]回答表!E442,""))</f>
        <v/>
      </c>
      <c r="BJ257" s="83"/>
      <c r="BK257" s="83"/>
      <c r="BL257" s="86"/>
      <c r="BM257" s="82" t="str">
        <f>IF([10]回答表!X47="○",[10]回答表!E426,IF([10]回答表!AA47="○",[10]回答表!E443,""))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IF([10]回答表!AA47="○","○","")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IF([10]回答表!AD47="○","○","")</f>
        <v/>
      </c>
      <c r="O266" s="98"/>
      <c r="P266" s="98"/>
      <c r="Q266" s="99"/>
      <c r="R266" s="39"/>
      <c r="S266" s="39"/>
      <c r="T266" s="39"/>
      <c r="U266" s="106" t="str">
        <f>IF([10]回答表!AD47="○",[10]回答表!B448,"")</f>
        <v/>
      </c>
      <c r="V266" s="107"/>
      <c r="W266" s="107"/>
      <c r="X266" s="107"/>
      <c r="Y266" s="107"/>
      <c r="Z266" s="107"/>
      <c r="AA266" s="107"/>
      <c r="AB266" s="107"/>
      <c r="AC266" s="107"/>
      <c r="AD266" s="107"/>
      <c r="AE266" s="107"/>
      <c r="AF266" s="107"/>
      <c r="AG266" s="107"/>
      <c r="AH266" s="107"/>
      <c r="AI266" s="107"/>
      <c r="AJ266" s="108"/>
      <c r="AK266" s="50"/>
      <c r="AL266" s="50"/>
      <c r="AM266" s="106" t="str">
        <f>IF([10]回答表!AD47="○",[10]回答表!B454,"")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IF([10]回答表!R48="○",[10]回答表!B467,"")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01CFB-560B-41D8-8A2A-8E69ECA0FB98}">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IF(COUNTIF([9]回答表!K15,"*")&gt;0,[9]回答表!K15,"")</f>
        <v>大仙市</v>
      </c>
      <c r="D11" s="264"/>
      <c r="E11" s="264"/>
      <c r="F11" s="264"/>
      <c r="G11" s="264"/>
      <c r="H11" s="264"/>
      <c r="I11" s="264"/>
      <c r="J11" s="264"/>
      <c r="K11" s="264"/>
      <c r="L11" s="264"/>
      <c r="M11" s="264"/>
      <c r="N11" s="264"/>
      <c r="O11" s="264"/>
      <c r="P11" s="264"/>
      <c r="Q11" s="264"/>
      <c r="R11" s="264"/>
      <c r="S11" s="264"/>
      <c r="T11" s="264"/>
      <c r="U11" s="271" t="str">
        <f>IF(COUNTIF([9]回答表!F17,"*")&gt;0,[9]回答表!F17,"")</f>
        <v>観光施設事業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IF(COUNTIF([9]回答表!W17,"*")&gt;0,[9]回答表!W17,"")</f>
        <v>索道</v>
      </c>
      <c r="AP11" s="266"/>
      <c r="AQ11" s="266"/>
      <c r="AR11" s="266"/>
      <c r="AS11" s="266"/>
      <c r="AT11" s="266"/>
      <c r="AU11" s="266"/>
      <c r="AV11" s="266"/>
      <c r="AW11" s="266"/>
      <c r="AX11" s="266"/>
      <c r="AY11" s="266"/>
      <c r="AZ11" s="266"/>
      <c r="BA11" s="266"/>
      <c r="BB11" s="266"/>
      <c r="BC11" s="266"/>
      <c r="BD11" s="266"/>
      <c r="BE11" s="267"/>
      <c r="BF11" s="270" t="str">
        <f>IF(COUNTIF([9]回答表!F19,"*")&gt;0,[9]回答表!F19,"")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IF([9]回答表!R41="○","○","")</f>
        <v/>
      </c>
      <c r="E24" s="122"/>
      <c r="F24" s="122"/>
      <c r="G24" s="122"/>
      <c r="H24" s="122"/>
      <c r="I24" s="122"/>
      <c r="J24" s="123"/>
      <c r="K24" s="121" t="str">
        <f>IF([9]回答表!R42="○","○","")</f>
        <v/>
      </c>
      <c r="L24" s="122"/>
      <c r="M24" s="122"/>
      <c r="N24" s="122"/>
      <c r="O24" s="122"/>
      <c r="P24" s="122"/>
      <c r="Q24" s="123"/>
      <c r="R24" s="121" t="str">
        <f>IF([9]回答表!R43="○","○","")</f>
        <v/>
      </c>
      <c r="S24" s="122"/>
      <c r="T24" s="122"/>
      <c r="U24" s="122"/>
      <c r="V24" s="122"/>
      <c r="W24" s="122"/>
      <c r="X24" s="123"/>
      <c r="Y24" s="121" t="str">
        <f>IF([9]回答表!R44="○","○","")</f>
        <v>○</v>
      </c>
      <c r="Z24" s="122"/>
      <c r="AA24" s="122"/>
      <c r="AB24" s="122"/>
      <c r="AC24" s="122"/>
      <c r="AD24" s="122"/>
      <c r="AE24" s="123"/>
      <c r="AF24" s="121" t="str">
        <f>IF([9]回答表!R45="○","○","")</f>
        <v/>
      </c>
      <c r="AG24" s="122"/>
      <c r="AH24" s="122"/>
      <c r="AI24" s="122"/>
      <c r="AJ24" s="122"/>
      <c r="AK24" s="122"/>
      <c r="AL24" s="123"/>
      <c r="AM24" s="121" t="str">
        <f>IF([9]回答表!R46="○","○","")</f>
        <v/>
      </c>
      <c r="AN24" s="122"/>
      <c r="AO24" s="122"/>
      <c r="AP24" s="122"/>
      <c r="AQ24" s="122"/>
      <c r="AR24" s="122"/>
      <c r="AS24" s="123"/>
      <c r="AT24" s="121" t="str">
        <f>IF([9]回答表!R47="○","○","")</f>
        <v/>
      </c>
      <c r="AU24" s="122"/>
      <c r="AV24" s="122"/>
      <c r="AW24" s="122"/>
      <c r="AX24" s="122"/>
      <c r="AY24" s="122"/>
      <c r="AZ24" s="123"/>
      <c r="BA24" s="19"/>
      <c r="BB24" s="118" t="str">
        <f>IF([9]回答表!R48="○","○","")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IF([9]回答表!X41="○","○","")</f>
        <v/>
      </c>
      <c r="O36" s="98"/>
      <c r="P36" s="98"/>
      <c r="Q36" s="99"/>
      <c r="R36" s="39"/>
      <c r="S36" s="39"/>
      <c r="T36" s="39"/>
      <c r="U36" s="106" t="str">
        <f>IF([9]回答表!X41="○",[9]回答表!B56,IF([9]回答表!AA41="○",[9]回答表!B76,""))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IF([9]回答表!X41="○",[9]回答表!S62,IF([9]回答表!AA41="○",[9]回答表!S82,""))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IF([9]回答表!X41="○",[9]回答表!G62,IF([9]回答表!AA41="○",[9]回答表!G82,""))</f>
        <v/>
      </c>
      <c r="AN38" s="119"/>
      <c r="AO38" s="119"/>
      <c r="AP38" s="119"/>
      <c r="AQ38" s="119"/>
      <c r="AR38" s="119"/>
      <c r="AS38" s="119"/>
      <c r="AT38" s="120"/>
      <c r="AU38" s="118" t="str">
        <f>IF([9]回答表!X41="○",[9]回答表!G63,IF([9]回答表!AA41="○",[9]回答表!G83,""))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IF([9]回答表!X41="○",[9]回答表!V62,IF([9]回答表!AA41="○",[9]回答表!V82,""))</f>
        <v/>
      </c>
      <c r="BF39" s="217"/>
      <c r="BG39" s="217"/>
      <c r="BH39" s="218"/>
      <c r="BI39" s="82" t="str">
        <f>IF([9]回答表!X41="○",[9]回答表!V63,IF([9]回答表!AA41="○",[9]回答表!V83,""))</f>
        <v/>
      </c>
      <c r="BJ39" s="217"/>
      <c r="BK39" s="217"/>
      <c r="BL39" s="218"/>
      <c r="BM39" s="82" t="str">
        <f>IF([9]回答表!X41="○",[9]回答表!V64,IF([9]回答表!AA41="○",[9]回答表!V84,""))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IF([9]回答表!X41="○",[9]回答表!O68,IF([9]回答表!AA41="○",[9]回答表!O88,""))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IF([9]回答表!X41="○",[9]回答表!O69,IF([9]回答表!AA41="○",[9]回答表!O89,""))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IF([9]回答表!AA41="○","○","")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IF([9]回答表!X41="○",[9]回答表!O70,IF([9]回答表!AA41="○",[9]回答表!O90,""))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IF([9]回答表!X41="○",[9]回答表!O71,IF([9]回答表!AA41="○",[9]回答表!O91,""))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IF([9]回答表!X41="○",[9]回答表!AG68,IF([9]回答表!AA41="○",[9]回答表!AG88,""))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IF([9]回答表!X41="○",[9]回答表!AG69,IF([9]回答表!AA41="○",[9]回答表!AG89,""))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IF([9]回答表!X41="○",[9]回答表!AG70,IF([9]回答表!AA41="○",[9]回答表!AG90,""))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IF([9]回答表!AD41="○","○","")</f>
        <v/>
      </c>
      <c r="O52" s="98"/>
      <c r="P52" s="98"/>
      <c r="Q52" s="99"/>
      <c r="R52" s="39"/>
      <c r="S52" s="39"/>
      <c r="T52" s="39"/>
      <c r="U52" s="106" t="str">
        <f>IF([9]回答表!AD41="○",[9]回答表!B96,"")</f>
        <v/>
      </c>
      <c r="V52" s="107"/>
      <c r="W52" s="107"/>
      <c r="X52" s="107"/>
      <c r="Y52" s="107"/>
      <c r="Z52" s="107"/>
      <c r="AA52" s="107"/>
      <c r="AB52" s="107"/>
      <c r="AC52" s="107"/>
      <c r="AD52" s="107"/>
      <c r="AE52" s="107"/>
      <c r="AF52" s="107"/>
      <c r="AG52" s="107"/>
      <c r="AH52" s="107"/>
      <c r="AI52" s="107"/>
      <c r="AJ52" s="108"/>
      <c r="AK52" s="56"/>
      <c r="AL52" s="56"/>
      <c r="AM52" s="106" t="str">
        <f>IF([9]回答表!AD41="○",[9]回答表!B101,"")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IF([9]回答表!X42="○","○","")</f>
        <v/>
      </c>
      <c r="O63" s="98"/>
      <c r="P63" s="98"/>
      <c r="Q63" s="99"/>
      <c r="R63" s="39"/>
      <c r="S63" s="39"/>
      <c r="T63" s="39"/>
      <c r="U63" s="106" t="str">
        <f>IF([9]回答表!X42="○",[9]回答表!B111,IF([9]回答表!AA42="○",[9]回答表!B124,""))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IF([9]回答表!X42="○",[9]回答表!S117,IF([9]回答表!AA42="○",[9]回答表!S130,""))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IF([9]回答表!X42="○",[9]回答表!J117,IF([9]回答表!AA42="○",[9]回答表!J130,""))</f>
        <v/>
      </c>
      <c r="AN66" s="119"/>
      <c r="AO66" s="119"/>
      <c r="AP66" s="119"/>
      <c r="AQ66" s="119"/>
      <c r="AR66" s="119"/>
      <c r="AS66" s="119"/>
      <c r="AT66" s="120"/>
      <c r="AU66" s="118" t="str">
        <f>IF([9]回答表!X42="○",[9]回答表!J118,IF([9]回答表!AA42="○",[9]回答表!J131,""))</f>
        <v/>
      </c>
      <c r="AV66" s="119"/>
      <c r="AW66" s="119"/>
      <c r="AX66" s="119"/>
      <c r="AY66" s="119"/>
      <c r="AZ66" s="119"/>
      <c r="BA66" s="119"/>
      <c r="BB66" s="120"/>
      <c r="BC66" s="40"/>
      <c r="BD66" s="35"/>
      <c r="BE66" s="82" t="str">
        <f>IF([9]回答表!X42="○",[9]回答表!V117,IF([9]回答表!AA42="○",[9]回答表!V130,""))</f>
        <v/>
      </c>
      <c r="BF66" s="83"/>
      <c r="BG66" s="83"/>
      <c r="BH66" s="83"/>
      <c r="BI66" s="82" t="str">
        <f>IF([9]回答表!X42="○",[9]回答表!V118,IF([9]回答表!AA42="○",[9]回答表!V131,""))</f>
        <v/>
      </c>
      <c r="BJ66" s="83"/>
      <c r="BK66" s="83"/>
      <c r="BL66" s="83"/>
      <c r="BM66" s="82" t="str">
        <f>IF([9]回答表!X42="○",[9]回答表!V119,IF([9]回答表!AA42="○",[9]回答表!V132,""))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IF([9]回答表!AA42="○","○","")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IF([9]回答表!AD42="○","○","")</f>
        <v/>
      </c>
      <c r="O75" s="98"/>
      <c r="P75" s="98"/>
      <c r="Q75" s="99"/>
      <c r="R75" s="39"/>
      <c r="S75" s="39"/>
      <c r="T75" s="39"/>
      <c r="U75" s="106" t="str">
        <f>IF([9]回答表!AD42="○",[9]回答表!B137,"")</f>
        <v/>
      </c>
      <c r="V75" s="107"/>
      <c r="W75" s="107"/>
      <c r="X75" s="107"/>
      <c r="Y75" s="107"/>
      <c r="Z75" s="107"/>
      <c r="AA75" s="107"/>
      <c r="AB75" s="107"/>
      <c r="AC75" s="107"/>
      <c r="AD75" s="107"/>
      <c r="AE75" s="107"/>
      <c r="AF75" s="107"/>
      <c r="AG75" s="107"/>
      <c r="AH75" s="107"/>
      <c r="AI75" s="107"/>
      <c r="AJ75" s="108"/>
      <c r="AK75" s="56"/>
      <c r="AL75" s="56"/>
      <c r="AM75" s="106" t="str">
        <f>IF([9]回答表!AD42="○",[9]回答表!B143,"")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IF([9]回答表!F17="水道事業",IF([9]回答表!X43="○","○",""),"")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IF([9]回答表!F17="水道事業",IF([9]回答表!X43="○",[9]回答表!B154,IF([9]回答表!AA43="○",[9]回答表!B201,"")),"")</f>
        <v/>
      </c>
      <c r="AN87" s="107"/>
      <c r="AO87" s="107"/>
      <c r="AP87" s="107"/>
      <c r="AQ87" s="107"/>
      <c r="AR87" s="107"/>
      <c r="AS87" s="107"/>
      <c r="AT87" s="107"/>
      <c r="AU87" s="107"/>
      <c r="AV87" s="107"/>
      <c r="AW87" s="107"/>
      <c r="AX87" s="107"/>
      <c r="AY87" s="107"/>
      <c r="AZ87" s="107"/>
      <c r="BA87" s="107"/>
      <c r="BB87" s="108"/>
      <c r="BC87" s="40"/>
      <c r="BD87" s="35"/>
      <c r="BE87" s="115" t="str">
        <f>IF([9]回答表!F17="水道事業",IF([9]回答表!X43="○",[9]回答表!B190,IF([9]回答表!AA43="○",[9]回答表!B238,"")),"")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IF([9]回答表!F17="水道事業",IF([9]回答表!X43="○",[9]回答表!J162,IF([9]回答表!AA43="○",[9]回答表!J209,"")),"")</f>
        <v/>
      </c>
      <c r="V89" s="119"/>
      <c r="W89" s="119"/>
      <c r="X89" s="119"/>
      <c r="Y89" s="119"/>
      <c r="Z89" s="119"/>
      <c r="AA89" s="119"/>
      <c r="AB89" s="120"/>
      <c r="AC89" s="118" t="str">
        <f>IF([9]回答表!F17="水道事業",IF([9]回答表!X43="○",[9]回答表!J169,IF([9]回答表!AA43="○",[9]回答表!J216,"")),"")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IF([9]回答表!F17="水道事業",IF([9]回答表!X43="○",[9]回答表!E190,IF([9]回答表!AA43="○",[9]回答表!E238,"")),"")</f>
        <v/>
      </c>
      <c r="BF90" s="83"/>
      <c r="BG90" s="83"/>
      <c r="BH90" s="83"/>
      <c r="BI90" s="82" t="str">
        <f>IF([9]回答表!F17="水道事業",IF([9]回答表!X43="○",[9]回答表!E191,IF([9]回答表!AA43="○",[9]回答表!E239,"")),"")</f>
        <v/>
      </c>
      <c r="BJ90" s="83"/>
      <c r="BK90" s="83"/>
      <c r="BL90" s="83"/>
      <c r="BM90" s="82" t="str">
        <f>IF([9]回答表!F17="水道事業",IF([9]回答表!X43="○",[9]回答表!E192,IF([9]回答表!AA43="○",[9]回答表!E240,"")),"")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IF([9]回答表!F17="水道事業",IF([9]回答表!AA43="○","○",""),"")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IF([9]回答表!F17="水道事業",IF([9]回答表!X43="○",[9]回答表!J172,IF([9]回答表!AA43="○",[9]回答表!J219,"")),"")</f>
        <v/>
      </c>
      <c r="V94" s="119"/>
      <c r="W94" s="119"/>
      <c r="X94" s="119"/>
      <c r="Y94" s="119"/>
      <c r="Z94" s="119"/>
      <c r="AA94" s="119"/>
      <c r="AB94" s="120"/>
      <c r="AC94" s="118" t="str">
        <f>IF([9]回答表!F17="水道事業",IF([9]回答表!X43="○",[9]回答表!J176,IF([9]回答表!AA43="○",[9]回答表!J223,"")),"")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IF([9]回答表!F17="水道事業",IF([9]回答表!AD43="○","○",""),"")</f>
        <v/>
      </c>
      <c r="O99" s="98"/>
      <c r="P99" s="98"/>
      <c r="Q99" s="99"/>
      <c r="R99" s="39"/>
      <c r="S99" s="39"/>
      <c r="T99" s="39"/>
      <c r="U99" s="106" t="str">
        <f>IF([9]回答表!F17="水道事業",IF([9]回答表!AD43="○",[9]回答表!B249,""),"")</f>
        <v/>
      </c>
      <c r="V99" s="107"/>
      <c r="W99" s="107"/>
      <c r="X99" s="107"/>
      <c r="Y99" s="107"/>
      <c r="Z99" s="107"/>
      <c r="AA99" s="107"/>
      <c r="AB99" s="107"/>
      <c r="AC99" s="107"/>
      <c r="AD99" s="107"/>
      <c r="AE99" s="107"/>
      <c r="AF99" s="107"/>
      <c r="AG99" s="107"/>
      <c r="AH99" s="107"/>
      <c r="AI99" s="107"/>
      <c r="AJ99" s="108"/>
      <c r="AK99" s="56"/>
      <c r="AL99" s="56"/>
      <c r="AM99" s="106" t="str">
        <f>IF([9]回答表!F17="水道事業",IF([9]回答表!AD43="○",[9]回答表!B255,""),"")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IF([9]回答表!F17="簡易水道事業",IF([9]回答表!X43="○","○",""),"")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IF([9]回答表!F17="簡易水道事業",IF([9]回答表!X43="○",[9]回答表!B154,IF([9]回答表!AA43="○",[9]回答表!B201,"")),"")</f>
        <v/>
      </c>
      <c r="AN111" s="107"/>
      <c r="AO111" s="107"/>
      <c r="AP111" s="107"/>
      <c r="AQ111" s="107"/>
      <c r="AR111" s="107"/>
      <c r="AS111" s="107"/>
      <c r="AT111" s="107"/>
      <c r="AU111" s="107"/>
      <c r="AV111" s="107"/>
      <c r="AW111" s="107"/>
      <c r="AX111" s="107"/>
      <c r="AY111" s="107"/>
      <c r="AZ111" s="107"/>
      <c r="BA111" s="107"/>
      <c r="BB111" s="108"/>
      <c r="BC111" s="40"/>
      <c r="BD111" s="35"/>
      <c r="BE111" s="115" t="str">
        <f>IF([9]回答表!F17="簡易水道事業",IF([9]回答表!X43="○",[9]回答表!B190,IF([9]回答表!AA43="○",[9]回答表!B238,"")),"")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IF([9]回答表!F17="簡易水道事業",IF([9]回答表!X43="○",[9]回答表!Y181,IF([9]回答表!AA43="○",[9]回答表!Y229,"")),"")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IF([9]回答表!F17="簡易水道事業",IF([9]回答表!X43="○",[9]回答表!E190,IF([9]回答表!AA43="○",[9]回答表!E238,"")),"")</f>
        <v/>
      </c>
      <c r="BF114" s="83"/>
      <c r="BG114" s="83"/>
      <c r="BH114" s="83"/>
      <c r="BI114" s="82" t="str">
        <f>IF([9]回答表!F17="簡易水道事業",IF([9]回答表!X43="○",[9]回答表!E191,IF([9]回答表!AA43="○",[9]回答表!E239,"")),"")</f>
        <v/>
      </c>
      <c r="BJ114" s="83"/>
      <c r="BK114" s="83"/>
      <c r="BL114" s="83"/>
      <c r="BM114" s="82" t="str">
        <f>IF([9]回答表!F17="簡易水道事業",IF([9]回答表!X43="○",[9]回答表!E192,IF([9]回答表!AA43="○",[9]回答表!E240,"")),"")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IF([9]回答表!F17="簡易水道事業",IF([9]回答表!AA43="○","○",""),"")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IF([9]回答表!F17="簡易水道事業",IF([9]回答表!X43="○",[9]回答表!Y182,IF([9]回答表!AA43="○",[9]回答表!Y230,"")),"")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IF([9]回答表!F17="簡易水道事業",IF([9]回答表!AD43="○","○",""),"")</f>
        <v/>
      </c>
      <c r="O123" s="98"/>
      <c r="P123" s="98"/>
      <c r="Q123" s="99"/>
      <c r="R123" s="39"/>
      <c r="S123" s="39"/>
      <c r="T123" s="39"/>
      <c r="U123" s="106" t="str">
        <f>IF([9]回答表!F17="簡易水道事業",IF([9]回答表!AD43="○",[9]回答表!B249,""),"")</f>
        <v/>
      </c>
      <c r="V123" s="107"/>
      <c r="W123" s="107"/>
      <c r="X123" s="107"/>
      <c r="Y123" s="107"/>
      <c r="Z123" s="107"/>
      <c r="AA123" s="107"/>
      <c r="AB123" s="107"/>
      <c r="AC123" s="107"/>
      <c r="AD123" s="107"/>
      <c r="AE123" s="107"/>
      <c r="AF123" s="107"/>
      <c r="AG123" s="107"/>
      <c r="AH123" s="107"/>
      <c r="AI123" s="107"/>
      <c r="AJ123" s="108"/>
      <c r="AK123" s="56"/>
      <c r="AL123" s="56"/>
      <c r="AM123" s="106" t="str">
        <f>IF([9]回答表!F17="簡易水道事業",IF([9]回答表!AD43="○",[9]回答表!B255,""),"")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IF([9]回答表!F17="下水道事業",IF([9]回答表!X43="○","○",""),"")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IF([9]回答表!F17="下水道事業",IF([9]回答表!X43="○",[9]回答表!B154,IF([9]回答表!AA43="○",[9]回答表!B201,"")),"")</f>
        <v/>
      </c>
      <c r="AN135" s="107"/>
      <c r="AO135" s="107"/>
      <c r="AP135" s="107"/>
      <c r="AQ135" s="107"/>
      <c r="AR135" s="107"/>
      <c r="AS135" s="107"/>
      <c r="AT135" s="107"/>
      <c r="AU135" s="107"/>
      <c r="AV135" s="107"/>
      <c r="AW135" s="107"/>
      <c r="AX135" s="107"/>
      <c r="AY135" s="107"/>
      <c r="AZ135" s="107"/>
      <c r="BA135" s="107"/>
      <c r="BB135" s="108"/>
      <c r="BC135" s="40"/>
      <c r="BD135" s="35"/>
      <c r="BE135" s="115" t="str">
        <f>IF([9]回答表!F17="下水道事業",IF([9]回答表!X43="○",[9]回答表!B190,IF([9]回答表!AA43="○",[9]回答表!B238,"")),"")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IF([9]回答表!F17="下水道事業",IF([9]回答表!X43="○",[9]回答表!Y184,IF([9]回答表!AA43="○",[9]回答表!Y232,"")),"")</f>
        <v/>
      </c>
      <c r="V137" s="119"/>
      <c r="W137" s="119"/>
      <c r="X137" s="119"/>
      <c r="Y137" s="119"/>
      <c r="Z137" s="119"/>
      <c r="AA137" s="119"/>
      <c r="AB137" s="120"/>
      <c r="AC137" s="118" t="str">
        <f>IF([9]回答表!F17="下水道事業",IF([9]回答表!X43="○",[9]回答表!Y185,IF([9]回答表!AA43="○",[9]回答表!Y233,"")),"")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IF([9]回答表!F17="下水道事業",IF([9]回答表!X43="○",[9]回答表!E190,IF([9]回答表!AA43="○",[9]回答表!E238,"")),"")</f>
        <v/>
      </c>
      <c r="BF138" s="83"/>
      <c r="BG138" s="83"/>
      <c r="BH138" s="83"/>
      <c r="BI138" s="82" t="str">
        <f>IF([9]回答表!F17="下水道事業",IF([9]回答表!X43="○",[9]回答表!E191,IF([9]回答表!AA43="○",[9]回答表!E239,"")),"")</f>
        <v/>
      </c>
      <c r="BJ138" s="83"/>
      <c r="BK138" s="83"/>
      <c r="BL138" s="83"/>
      <c r="BM138" s="82" t="str">
        <f>IF([9]回答表!F17="下水道事業",IF([9]回答表!X43="○",[9]回答表!E192,IF([9]回答表!AA43="○",[9]回答表!E240,"")),"")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IF([9]回答表!F17="下水道事業",IF([9]回答表!AA43="○","○",""),"")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IF([9]回答表!F17="下水道事業",IF([9]回答表!X43="○",[9]回答表!Y186,IF([9]回答表!AA43="○",[9]回答表!Y234,"")),"")</f>
        <v/>
      </c>
      <c r="V142" s="119"/>
      <c r="W142" s="119"/>
      <c r="X142" s="119"/>
      <c r="Y142" s="119"/>
      <c r="Z142" s="119"/>
      <c r="AA142" s="119"/>
      <c r="AB142" s="120"/>
      <c r="AC142" s="118" t="str">
        <f>IF([9]回答表!F17="下水道事業",IF([9]回答表!X43="○",[9]回答表!Y187,IF([9]回答表!AA43="○",[9]回答表!Y235,"")),"")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IF([9]回答表!F17="下水道事業",IF([9]回答表!AD43="○","○",""),"")</f>
        <v/>
      </c>
      <c r="O147" s="98"/>
      <c r="P147" s="98"/>
      <c r="Q147" s="99"/>
      <c r="R147" s="39"/>
      <c r="S147" s="39"/>
      <c r="T147" s="39"/>
      <c r="U147" s="106" t="str">
        <f>IF([9]回答表!F17="下水道事業",IF([9]回答表!AD43="○",[9]回答表!B249,""),"")</f>
        <v/>
      </c>
      <c r="V147" s="107"/>
      <c r="W147" s="107"/>
      <c r="X147" s="107"/>
      <c r="Y147" s="107"/>
      <c r="Z147" s="107"/>
      <c r="AA147" s="107"/>
      <c r="AB147" s="107"/>
      <c r="AC147" s="107"/>
      <c r="AD147" s="107"/>
      <c r="AE147" s="107"/>
      <c r="AF147" s="107"/>
      <c r="AG147" s="107"/>
      <c r="AH147" s="107"/>
      <c r="AI147" s="107"/>
      <c r="AJ147" s="108"/>
      <c r="AK147" s="56"/>
      <c r="AL147" s="56"/>
      <c r="AM147" s="106" t="str">
        <f>IF([9]回答表!F17="下水道事業",IF([9]回答表!AD43="○",[9]回答表!B255,""),"")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IF([9]回答表!BD17="○",IF([9]回答表!X43="○","○",""),"")</f>
        <v/>
      </c>
      <c r="O159" s="98"/>
      <c r="P159" s="98"/>
      <c r="Q159" s="99"/>
      <c r="R159" s="39"/>
      <c r="S159" s="39"/>
      <c r="T159" s="39"/>
      <c r="U159" s="106" t="str">
        <f>IF([9]回答表!BD17="○",IF([9]回答表!X43="○",[9]回答表!B154,IF([9]回答表!AA43="○",[9]回答表!B201,"")),"")</f>
        <v/>
      </c>
      <c r="V159" s="107"/>
      <c r="W159" s="107"/>
      <c r="X159" s="107"/>
      <c r="Y159" s="107"/>
      <c r="Z159" s="107"/>
      <c r="AA159" s="107"/>
      <c r="AB159" s="107"/>
      <c r="AC159" s="107"/>
      <c r="AD159" s="107"/>
      <c r="AE159" s="107"/>
      <c r="AF159" s="107"/>
      <c r="AG159" s="107"/>
      <c r="AH159" s="107"/>
      <c r="AI159" s="107"/>
      <c r="AJ159" s="108"/>
      <c r="AK159" s="50"/>
      <c r="AL159" s="50"/>
      <c r="AM159" s="115" t="str">
        <f>IF([9]回答表!BD17="○",IF([9]回答表!X43="○",[9]回答表!B190,IF([9]回答表!AA43="○",[9]回答表!B238,"")),"")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IF([9]回答表!BD17="○",IF([9]回答表!X43="○",[9]回答表!E190,IF([9]回答表!AA43="○",[9]回答表!E238,"")),"")</f>
        <v/>
      </c>
      <c r="AN162" s="83"/>
      <c r="AO162" s="83"/>
      <c r="AP162" s="83"/>
      <c r="AQ162" s="82" t="str">
        <f>IF([9]回答表!BD17="○",IF([9]回答表!X43="○",[9]回答表!E191,IF([9]回答表!AA43="○",[9]回答表!E239,"")),"")</f>
        <v/>
      </c>
      <c r="AR162" s="83"/>
      <c r="AS162" s="83"/>
      <c r="AT162" s="83"/>
      <c r="AU162" s="82" t="str">
        <f>IF([9]回答表!BD17="○",IF([9]回答表!X43="○",[9]回答表!E192,IF([9]回答表!AA43="○",[9]回答表!E240,"")),"")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IF([9]回答表!BD17="○",IF([9]回答表!AA43="○","○",""),"")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IF([9]回答表!BD17="○",IF([9]回答表!AD43="○","○",""),"")</f>
        <v/>
      </c>
      <c r="O171" s="98"/>
      <c r="P171" s="98"/>
      <c r="Q171" s="99"/>
      <c r="R171" s="39"/>
      <c r="S171" s="39"/>
      <c r="T171" s="39"/>
      <c r="U171" s="106" t="str">
        <f>IF([9]回答表!BD17="○",IF([9]回答表!AD43="○",[9]回答表!B249,""),"")</f>
        <v/>
      </c>
      <c r="V171" s="107"/>
      <c r="W171" s="107"/>
      <c r="X171" s="107"/>
      <c r="Y171" s="107"/>
      <c r="Z171" s="107"/>
      <c r="AA171" s="107"/>
      <c r="AB171" s="107"/>
      <c r="AC171" s="107"/>
      <c r="AD171" s="107"/>
      <c r="AE171" s="107"/>
      <c r="AF171" s="107"/>
      <c r="AG171" s="107"/>
      <c r="AH171" s="107"/>
      <c r="AI171" s="107"/>
      <c r="AJ171" s="108"/>
      <c r="AK171" s="56"/>
      <c r="AL171" s="56"/>
      <c r="AM171" s="106" t="str">
        <f>IF([9]回答表!BD17="○",IF([9]回答表!AD43="○",[9]回答表!B255,""),"")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IF([9]回答表!X44="○","○","")</f>
        <v>○</v>
      </c>
      <c r="O183" s="98"/>
      <c r="P183" s="98"/>
      <c r="Q183" s="99"/>
      <c r="R183" s="39"/>
      <c r="S183" s="39"/>
      <c r="T183" s="39"/>
      <c r="U183" s="106" t="str">
        <f>IF([9]回答表!X44="○",[9]回答表!B266,IF([9]回答表!AA44="○",[9]回答表!B283,""))</f>
        <v>　利用者ニーズに応えるべく、民間ノウハウを活用しより良いサービスの提供を行っている。市との連携により、適正な施設の維持管理及び運営を行っている。</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IF([9]回答表!X44="○",[9]回答表!U272,IF([9]回答表!AA44="○",[9]回答表!U289,""))</f>
        <v>平成</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f>IF([9]回答表!X44="○",[9]回答表!G272,IF([9]回答表!AA44="○",[9]回答表!G289,""))</f>
        <v>0</v>
      </c>
      <c r="AN186" s="119"/>
      <c r="AO186" s="119"/>
      <c r="AP186" s="119"/>
      <c r="AQ186" s="119"/>
      <c r="AR186" s="119"/>
      <c r="AS186" s="119"/>
      <c r="AT186" s="120"/>
      <c r="AU186" s="118" t="str">
        <f>IF([9]回答表!X44="○",[9]回答表!G273,IF([9]回答表!AA44="○",[9]回答表!G290,""))</f>
        <v>○</v>
      </c>
      <c r="AV186" s="119"/>
      <c r="AW186" s="119"/>
      <c r="AX186" s="119"/>
      <c r="AY186" s="119"/>
      <c r="AZ186" s="119"/>
      <c r="BA186" s="119"/>
      <c r="BB186" s="120"/>
      <c r="BC186" s="40"/>
      <c r="BD186" s="35"/>
      <c r="BE186" s="82">
        <f>IF([9]回答表!X44="○",[9]回答表!X272,IF([9]回答表!AA44="○",[9]回答表!X289,""))</f>
        <v>23</v>
      </c>
      <c r="BF186" s="83"/>
      <c r="BG186" s="83"/>
      <c r="BH186" s="83"/>
      <c r="BI186" s="82">
        <f>IF([9]回答表!X44="○",[9]回答表!X273,IF([9]回答表!AA44="○",[9]回答表!X290,""))</f>
        <v>12</v>
      </c>
      <c r="BJ186" s="83"/>
      <c r="BK186" s="83"/>
      <c r="BL186" s="86"/>
      <c r="BM186" s="82">
        <f>IF([9]回答表!X44="○",[9]回答表!X274,IF([9]回答表!AA44="○",[9]回答表!X291,""))</f>
        <v>1</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IF([9]回答表!AA44="○","○","")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IF([9]回答表!AD44="○","○","")</f>
        <v/>
      </c>
      <c r="O195" s="98"/>
      <c r="P195" s="98"/>
      <c r="Q195" s="99"/>
      <c r="R195" s="39"/>
      <c r="S195" s="39"/>
      <c r="T195" s="39"/>
      <c r="U195" s="106" t="str">
        <f>IF([9]回答表!AD44="○",[9]回答表!B296,"")</f>
        <v/>
      </c>
      <c r="V195" s="107"/>
      <c r="W195" s="107"/>
      <c r="X195" s="107"/>
      <c r="Y195" s="107"/>
      <c r="Z195" s="107"/>
      <c r="AA195" s="107"/>
      <c r="AB195" s="107"/>
      <c r="AC195" s="107"/>
      <c r="AD195" s="107"/>
      <c r="AE195" s="107"/>
      <c r="AF195" s="107"/>
      <c r="AG195" s="107"/>
      <c r="AH195" s="107"/>
      <c r="AI195" s="107"/>
      <c r="AJ195" s="108"/>
      <c r="AK195" s="61"/>
      <c r="AL195" s="61"/>
      <c r="AM195" s="106" t="str">
        <f>IF([9]回答表!AD44="○",[9]回答表!B302,"")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IF([9]回答表!X45="○","○","")</f>
        <v/>
      </c>
      <c r="O207" s="98"/>
      <c r="P207" s="98"/>
      <c r="Q207" s="99"/>
      <c r="R207" s="39"/>
      <c r="S207" s="39"/>
      <c r="T207" s="39"/>
      <c r="U207" s="106" t="str">
        <f>IF([9]回答表!X45="○",[9]回答表!B314,IF([9]回答表!AA45="○",[9]回答表!B337,""))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IF([9]回答表!X45="○",[9]回答表!B320,"")</f>
        <v/>
      </c>
      <c r="AO207" s="164"/>
      <c r="AP207" s="164"/>
      <c r="AQ207" s="164"/>
      <c r="AR207" s="164"/>
      <c r="AS207" s="164"/>
      <c r="AT207" s="164"/>
      <c r="AU207" s="164"/>
      <c r="AV207" s="164"/>
      <c r="AW207" s="164"/>
      <c r="AX207" s="164"/>
      <c r="AY207" s="164"/>
      <c r="AZ207" s="164"/>
      <c r="BA207" s="164"/>
      <c r="BB207" s="165"/>
      <c r="BC207" s="40"/>
      <c r="BD207" s="35"/>
      <c r="BE207" s="115" t="str">
        <f>IF([9]回答表!X45="○",[9]回答表!B326,IF([9]回答表!AA45="○",[9]回答表!B343,""))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IF([9]回答表!X45="○",[9]回答表!E326,IF([9]回答表!AA45="○",[9]回答表!E343,""))</f>
        <v/>
      </c>
      <c r="BF210" s="83"/>
      <c r="BG210" s="83"/>
      <c r="BH210" s="83"/>
      <c r="BI210" s="82" t="str">
        <f>IF([9]回答表!X45="○",[9]回答表!E327,IF([9]回答表!AA45="○",[9]回答表!E344,""))</f>
        <v/>
      </c>
      <c r="BJ210" s="83"/>
      <c r="BK210" s="83"/>
      <c r="BL210" s="86"/>
      <c r="BM210" s="82" t="str">
        <f>IF([9]回答表!X45="○",[9]回答表!E328,IF([9]回答表!AA45="○",[9]回答表!E345,""))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IF([9]回答表!AA45="○","○","")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IF([9]回答表!AD45="○","○","")</f>
        <v/>
      </c>
      <c r="O219" s="98"/>
      <c r="P219" s="98"/>
      <c r="Q219" s="99"/>
      <c r="R219" s="39"/>
      <c r="S219" s="39"/>
      <c r="T219" s="39"/>
      <c r="U219" s="106" t="str">
        <f>IF([9]回答表!AD45="○",[9]回答表!B350,"")</f>
        <v/>
      </c>
      <c r="V219" s="107"/>
      <c r="W219" s="107"/>
      <c r="X219" s="107"/>
      <c r="Y219" s="107"/>
      <c r="Z219" s="107"/>
      <c r="AA219" s="107"/>
      <c r="AB219" s="107"/>
      <c r="AC219" s="107"/>
      <c r="AD219" s="107"/>
      <c r="AE219" s="107"/>
      <c r="AF219" s="107"/>
      <c r="AG219" s="107"/>
      <c r="AH219" s="107"/>
      <c r="AI219" s="107"/>
      <c r="AJ219" s="108"/>
      <c r="AK219" s="61"/>
      <c r="AL219" s="61"/>
      <c r="AM219" s="106" t="str">
        <f>IF([9]回答表!AD45="○",[9]回答表!B356,"")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IF([9]回答表!X46="○","○","")</f>
        <v/>
      </c>
      <c r="O231" s="98"/>
      <c r="P231" s="98"/>
      <c r="Q231" s="99"/>
      <c r="R231" s="39"/>
      <c r="S231" s="39"/>
      <c r="T231" s="39"/>
      <c r="U231" s="106" t="str">
        <f>IF([9]回答表!X46="○",[9]回答表!B368,IF([9]回答表!AA46="○",[9]回答表!B382,""))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IF([9]回答表!X46="○",[9]回答表!BC375,IF([9]回答表!AA46="○",[9]回答表!BC389,""))</f>
        <v/>
      </c>
      <c r="AR231" s="150"/>
      <c r="AS231" s="150"/>
      <c r="AT231" s="150"/>
      <c r="AU231" s="155" t="s">
        <v>63</v>
      </c>
      <c r="AV231" s="156"/>
      <c r="AW231" s="156"/>
      <c r="AX231" s="157"/>
      <c r="AY231" s="150" t="str">
        <f>IF([9]回答表!X46="○",[9]回答表!BC380,IF([9]回答表!AA46="○",[9]回答表!BC394,""))</f>
        <v/>
      </c>
      <c r="AZ231" s="150"/>
      <c r="BA231" s="150"/>
      <c r="BB231" s="150"/>
      <c r="BC231" s="40"/>
      <c r="BD231" s="35"/>
      <c r="BE231" s="115" t="str">
        <f>IF([9]回答表!X46="○",[9]回答表!S374,IF([9]回答表!AA46="○",[9]回答表!S388,""))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IF([9]回答表!X46="○",[9]回答表!BC376,IF([9]回答表!AA46="○",[9]回答表!BC390,""))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IF([9]回答表!X46="○",[9]回答表!V374,IF([9]回答表!AA46="○",[9]回答表!V388,""))</f>
        <v/>
      </c>
      <c r="BF234" s="83"/>
      <c r="BG234" s="83"/>
      <c r="BH234" s="83"/>
      <c r="BI234" s="82" t="str">
        <f>IF([9]回答表!X46="○",[9]回答表!V375,IF([9]回答表!AA46="○",[9]回答表!V389,""))</f>
        <v/>
      </c>
      <c r="BJ234" s="83"/>
      <c r="BK234" s="83"/>
      <c r="BL234" s="86"/>
      <c r="BM234" s="82" t="str">
        <f>IF([9]回答表!X46="○",[9]回答表!V376,IF([9]回答表!AA46="○",[9]回答表!V390,""))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IF([9]回答表!X46="○",[9]回答表!BC377,IF([9]回答表!AA46="○",[9]回答表!BC391,""))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IF([9]回答表!X46="○",[9]回答表!BC381,IF([9]回答表!AA46="○",[9]回答表!BC395,""))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IF([9]回答表!AA46="○","○","")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IF([9]回答表!X46="○",[9]回答表!BC378,IF([9]回答表!AA46="○",[9]回答表!BC392,""))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IF([9]回答表!X46="○",[9]回答表!BC379,IF([9]回答表!AA46="○",[9]回答表!BC393,""))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IF([9]回答表!AD46="○","○","")</f>
        <v/>
      </c>
      <c r="O243" s="98"/>
      <c r="P243" s="98"/>
      <c r="Q243" s="99"/>
      <c r="R243" s="39"/>
      <c r="S243" s="39"/>
      <c r="T243" s="39"/>
      <c r="U243" s="106" t="str">
        <f>IF([9]回答表!AD46="○",[9]回答表!B396,"")</f>
        <v/>
      </c>
      <c r="V243" s="107"/>
      <c r="W243" s="107"/>
      <c r="X243" s="107"/>
      <c r="Y243" s="107"/>
      <c r="Z243" s="107"/>
      <c r="AA243" s="107"/>
      <c r="AB243" s="107"/>
      <c r="AC243" s="107"/>
      <c r="AD243" s="107"/>
      <c r="AE243" s="107"/>
      <c r="AF243" s="107"/>
      <c r="AG243" s="107"/>
      <c r="AH243" s="107"/>
      <c r="AI243" s="107"/>
      <c r="AJ243" s="108"/>
      <c r="AK243" s="56"/>
      <c r="AL243" s="56"/>
      <c r="AM243" s="106" t="str">
        <f>IF([9]回答表!AD46="○",[9]回答表!B402,"")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IF([9]回答表!X47="○","○","")</f>
        <v/>
      </c>
      <c r="O254" s="98"/>
      <c r="P254" s="98"/>
      <c r="Q254" s="99"/>
      <c r="R254" s="39"/>
      <c r="S254" s="39"/>
      <c r="T254" s="39"/>
      <c r="U254" s="106" t="str">
        <f>IF([9]回答表!X47="○",[9]回答表!B414,IF([9]回答表!AA47="○",[9]回答表!B431,""))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IF([9]回答表!X47="○",[9]回答表!B424,IF([9]回答表!AA47="○",[9]回答表!B441,""))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IF([9]回答表!X47="○",[9]回答表!G420,IF([9]回答表!AA47="○",[9]回答表!G437,""))</f>
        <v/>
      </c>
      <c r="AN256" s="119"/>
      <c r="AO256" s="119"/>
      <c r="AP256" s="119"/>
      <c r="AQ256" s="119"/>
      <c r="AR256" s="119"/>
      <c r="AS256" s="119"/>
      <c r="AT256" s="120"/>
      <c r="AU256" s="118" t="str">
        <f>IF([9]回答表!X47="○",[9]回答表!G421,IF([9]回答表!AA47="○",[9]回答表!G438,""))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IF([9]回答表!X47="○",[9]回答表!E424,IF([9]回答表!AA47="○",[9]回答表!E441,""))</f>
        <v/>
      </c>
      <c r="BF257" s="83"/>
      <c r="BG257" s="83"/>
      <c r="BH257" s="83"/>
      <c r="BI257" s="82" t="str">
        <f>IF([9]回答表!X47="○",[9]回答表!E425,IF([9]回答表!AA47="○",[9]回答表!E442,""))</f>
        <v/>
      </c>
      <c r="BJ257" s="83"/>
      <c r="BK257" s="83"/>
      <c r="BL257" s="86"/>
      <c r="BM257" s="82" t="str">
        <f>IF([9]回答表!X47="○",[9]回答表!E426,IF([9]回答表!AA47="○",[9]回答表!E443,""))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IF([9]回答表!AA47="○","○","")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IF([9]回答表!AD47="○","○","")</f>
        <v/>
      </c>
      <c r="O266" s="98"/>
      <c r="P266" s="98"/>
      <c r="Q266" s="99"/>
      <c r="R266" s="39"/>
      <c r="S266" s="39"/>
      <c r="T266" s="39"/>
      <c r="U266" s="106" t="str">
        <f>IF([9]回答表!AD47="○",[9]回答表!B448,"")</f>
        <v/>
      </c>
      <c r="V266" s="107"/>
      <c r="W266" s="107"/>
      <c r="X266" s="107"/>
      <c r="Y266" s="107"/>
      <c r="Z266" s="107"/>
      <c r="AA266" s="107"/>
      <c r="AB266" s="107"/>
      <c r="AC266" s="107"/>
      <c r="AD266" s="107"/>
      <c r="AE266" s="107"/>
      <c r="AF266" s="107"/>
      <c r="AG266" s="107"/>
      <c r="AH266" s="107"/>
      <c r="AI266" s="107"/>
      <c r="AJ266" s="108"/>
      <c r="AK266" s="50"/>
      <c r="AL266" s="50"/>
      <c r="AM266" s="106" t="str">
        <f>IF([9]回答表!AD47="○",[9]回答表!B454,"")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IF([9]回答表!R48="○",[9]回答表!B467,"")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5"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90988-D2FF-43ED-8187-0154B737ACAE}">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IF(COUNTIF([11]回答表!K15,"*")&gt;0,[11]回答表!K15,"")</f>
        <v>大仙市</v>
      </c>
      <c r="D11" s="264"/>
      <c r="E11" s="264"/>
      <c r="F11" s="264"/>
      <c r="G11" s="264"/>
      <c r="H11" s="264"/>
      <c r="I11" s="264"/>
      <c r="J11" s="264"/>
      <c r="K11" s="264"/>
      <c r="L11" s="264"/>
      <c r="M11" s="264"/>
      <c r="N11" s="264"/>
      <c r="O11" s="264"/>
      <c r="P11" s="264"/>
      <c r="Q11" s="264"/>
      <c r="R11" s="264"/>
      <c r="S11" s="264"/>
      <c r="T11" s="264"/>
      <c r="U11" s="271" t="str">
        <f>IF(COUNTIF([11]回答表!F17,"*")&gt;0,[11]回答表!F17,"")</f>
        <v>宅地造成事業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IF(COUNTIF([11]回答表!W17,"*")&gt;0,[11]回答表!W17,"")</f>
        <v>その他造成</v>
      </c>
      <c r="AP11" s="266"/>
      <c r="AQ11" s="266"/>
      <c r="AR11" s="266"/>
      <c r="AS11" s="266"/>
      <c r="AT11" s="266"/>
      <c r="AU11" s="266"/>
      <c r="AV11" s="266"/>
      <c r="AW11" s="266"/>
      <c r="AX11" s="266"/>
      <c r="AY11" s="266"/>
      <c r="AZ11" s="266"/>
      <c r="BA11" s="266"/>
      <c r="BB11" s="266"/>
      <c r="BC11" s="266"/>
      <c r="BD11" s="266"/>
      <c r="BE11" s="267"/>
      <c r="BF11" s="270" t="str">
        <f>IF(COUNTIF([11]回答表!F19,"*")&gt;0,[11]回答表!F19,"")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IF([11]回答表!R41="○","○","")</f>
        <v/>
      </c>
      <c r="E24" s="122"/>
      <c r="F24" s="122"/>
      <c r="G24" s="122"/>
      <c r="H24" s="122"/>
      <c r="I24" s="122"/>
      <c r="J24" s="123"/>
      <c r="K24" s="121" t="str">
        <f>IF([11]回答表!R42="○","○","")</f>
        <v/>
      </c>
      <c r="L24" s="122"/>
      <c r="M24" s="122"/>
      <c r="N24" s="122"/>
      <c r="O24" s="122"/>
      <c r="P24" s="122"/>
      <c r="Q24" s="123"/>
      <c r="R24" s="121" t="str">
        <f>IF([11]回答表!R43="○","○","")</f>
        <v/>
      </c>
      <c r="S24" s="122"/>
      <c r="T24" s="122"/>
      <c r="U24" s="122"/>
      <c r="V24" s="122"/>
      <c r="W24" s="122"/>
      <c r="X24" s="123"/>
      <c r="Y24" s="121" t="str">
        <f>IF([11]回答表!R44="○","○","")</f>
        <v/>
      </c>
      <c r="Z24" s="122"/>
      <c r="AA24" s="122"/>
      <c r="AB24" s="122"/>
      <c r="AC24" s="122"/>
      <c r="AD24" s="122"/>
      <c r="AE24" s="123"/>
      <c r="AF24" s="121" t="str">
        <f>IF([11]回答表!R45="○","○","")</f>
        <v/>
      </c>
      <c r="AG24" s="122"/>
      <c r="AH24" s="122"/>
      <c r="AI24" s="122"/>
      <c r="AJ24" s="122"/>
      <c r="AK24" s="122"/>
      <c r="AL24" s="123"/>
      <c r="AM24" s="121" t="str">
        <f>IF([11]回答表!R46="○","○","")</f>
        <v/>
      </c>
      <c r="AN24" s="122"/>
      <c r="AO24" s="122"/>
      <c r="AP24" s="122"/>
      <c r="AQ24" s="122"/>
      <c r="AR24" s="122"/>
      <c r="AS24" s="123"/>
      <c r="AT24" s="121" t="str">
        <f>IF([11]回答表!R47="○","○","")</f>
        <v/>
      </c>
      <c r="AU24" s="122"/>
      <c r="AV24" s="122"/>
      <c r="AW24" s="122"/>
      <c r="AX24" s="122"/>
      <c r="AY24" s="122"/>
      <c r="AZ24" s="123"/>
      <c r="BA24" s="19"/>
      <c r="BB24" s="118" t="str">
        <f>IF([11]回答表!R48="○","○","")</f>
        <v>○</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IF([11]回答表!X41="○","○","")</f>
        <v/>
      </c>
      <c r="O36" s="98"/>
      <c r="P36" s="98"/>
      <c r="Q36" s="99"/>
      <c r="R36" s="39"/>
      <c r="S36" s="39"/>
      <c r="T36" s="39"/>
      <c r="U36" s="106" t="str">
        <f>IF([11]回答表!X41="○",[11]回答表!B56,IF([11]回答表!AA41="○",[11]回答表!B76,""))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IF([11]回答表!X41="○",[11]回答表!S62,IF([11]回答表!AA41="○",[11]回答表!S82,""))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IF([11]回答表!X41="○",[11]回答表!G62,IF([11]回答表!AA41="○",[11]回答表!G82,""))</f>
        <v/>
      </c>
      <c r="AN38" s="119"/>
      <c r="AO38" s="119"/>
      <c r="AP38" s="119"/>
      <c r="AQ38" s="119"/>
      <c r="AR38" s="119"/>
      <c r="AS38" s="119"/>
      <c r="AT38" s="120"/>
      <c r="AU38" s="118" t="str">
        <f>IF([11]回答表!X41="○",[11]回答表!G63,IF([11]回答表!AA41="○",[11]回答表!G83,""))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IF([11]回答表!X41="○",[11]回答表!V62,IF([11]回答表!AA41="○",[11]回答表!V82,""))</f>
        <v/>
      </c>
      <c r="BF39" s="217"/>
      <c r="BG39" s="217"/>
      <c r="BH39" s="218"/>
      <c r="BI39" s="82" t="str">
        <f>IF([11]回答表!X41="○",[11]回答表!V63,IF([11]回答表!AA41="○",[11]回答表!V83,""))</f>
        <v/>
      </c>
      <c r="BJ39" s="217"/>
      <c r="BK39" s="217"/>
      <c r="BL39" s="218"/>
      <c r="BM39" s="82" t="str">
        <f>IF([11]回答表!X41="○",[11]回答表!V64,IF([11]回答表!AA41="○",[11]回答表!V84,""))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IF([11]回答表!X41="○",[11]回答表!O68,IF([11]回答表!AA41="○",[11]回答表!O88,""))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IF([11]回答表!X41="○",[11]回答表!O69,IF([11]回答表!AA41="○",[11]回答表!O89,""))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IF([11]回答表!X41="○",[11]回答表!O70,IF([11]回答表!AA41="○",[11]回答表!O90,""))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IF([11]回答表!X41="○",[11]回答表!O71,IF([11]回答表!AA41="○",[11]回答表!O91,""))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IF([11]回答表!X41="○",[11]回答表!AG68,IF([11]回答表!AA41="○",[11]回答表!AG88,""))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IF([11]回答表!X41="○",[11]回答表!AG69,IF([11]回答表!AA41="○",[11]回答表!AG89,""))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IF([11]回答表!X41="○",[11]回答表!AG70,IF([11]回答表!AA41="○",[11]回答表!AG90,""))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IF([11]回答表!AD41="○","○","")</f>
        <v/>
      </c>
      <c r="O52" s="98"/>
      <c r="P52" s="98"/>
      <c r="Q52" s="99"/>
      <c r="R52" s="39"/>
      <c r="S52" s="39"/>
      <c r="T52" s="39"/>
      <c r="U52" s="106" t="str">
        <f>IF([11]回答表!AD41="○",[11]回答表!B96,"")</f>
        <v/>
      </c>
      <c r="V52" s="107"/>
      <c r="W52" s="107"/>
      <c r="X52" s="107"/>
      <c r="Y52" s="107"/>
      <c r="Z52" s="107"/>
      <c r="AA52" s="107"/>
      <c r="AB52" s="107"/>
      <c r="AC52" s="107"/>
      <c r="AD52" s="107"/>
      <c r="AE52" s="107"/>
      <c r="AF52" s="107"/>
      <c r="AG52" s="107"/>
      <c r="AH52" s="107"/>
      <c r="AI52" s="107"/>
      <c r="AJ52" s="108"/>
      <c r="AK52" s="56"/>
      <c r="AL52" s="56"/>
      <c r="AM52" s="106" t="str">
        <f>IF([11]回答表!AD41="○",[11]回答表!B101,"")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IF([11]回答表!X42="○","○","")</f>
        <v/>
      </c>
      <c r="O63" s="98"/>
      <c r="P63" s="98"/>
      <c r="Q63" s="99"/>
      <c r="R63" s="39"/>
      <c r="S63" s="39"/>
      <c r="T63" s="39"/>
      <c r="U63" s="106" t="str">
        <f>IF([11]回答表!X42="○",[11]回答表!B111,IF([11]回答表!AA42="○",[11]回答表!B124,""))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IF([11]回答表!X42="○",[11]回答表!S117,IF([11]回答表!AA42="○",[11]回答表!S130,""))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IF([11]回答表!X42="○",[11]回答表!J117,IF([11]回答表!AA42="○",[11]回答表!J130,""))</f>
        <v/>
      </c>
      <c r="AN66" s="119"/>
      <c r="AO66" s="119"/>
      <c r="AP66" s="119"/>
      <c r="AQ66" s="119"/>
      <c r="AR66" s="119"/>
      <c r="AS66" s="119"/>
      <c r="AT66" s="120"/>
      <c r="AU66" s="118" t="str">
        <f>IF([11]回答表!X42="○",[11]回答表!J118,IF([11]回答表!AA42="○",[11]回答表!J131,""))</f>
        <v/>
      </c>
      <c r="AV66" s="119"/>
      <c r="AW66" s="119"/>
      <c r="AX66" s="119"/>
      <c r="AY66" s="119"/>
      <c r="AZ66" s="119"/>
      <c r="BA66" s="119"/>
      <c r="BB66" s="120"/>
      <c r="BC66" s="40"/>
      <c r="BD66" s="35"/>
      <c r="BE66" s="82" t="str">
        <f>IF([11]回答表!X42="○",[11]回答表!V117,IF([11]回答表!AA42="○",[11]回答表!V130,""))</f>
        <v/>
      </c>
      <c r="BF66" s="83"/>
      <c r="BG66" s="83"/>
      <c r="BH66" s="83"/>
      <c r="BI66" s="82" t="str">
        <f>IF([11]回答表!X42="○",[11]回答表!V118,IF([11]回答表!AA42="○",[11]回答表!V131,""))</f>
        <v/>
      </c>
      <c r="BJ66" s="83"/>
      <c r="BK66" s="83"/>
      <c r="BL66" s="83"/>
      <c r="BM66" s="82" t="str">
        <f>IF([11]回答表!X42="○",[11]回答表!V119,IF([11]回答表!AA42="○",[11]回答表!V132,""))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IF([11]回答表!AD42="○","○","")</f>
        <v/>
      </c>
      <c r="O75" s="98"/>
      <c r="P75" s="98"/>
      <c r="Q75" s="99"/>
      <c r="R75" s="39"/>
      <c r="S75" s="39"/>
      <c r="T75" s="39"/>
      <c r="U75" s="106" t="str">
        <f>IF([11]回答表!AD42="○",[11]回答表!B137,"")</f>
        <v/>
      </c>
      <c r="V75" s="107"/>
      <c r="W75" s="107"/>
      <c r="X75" s="107"/>
      <c r="Y75" s="107"/>
      <c r="Z75" s="107"/>
      <c r="AA75" s="107"/>
      <c r="AB75" s="107"/>
      <c r="AC75" s="107"/>
      <c r="AD75" s="107"/>
      <c r="AE75" s="107"/>
      <c r="AF75" s="107"/>
      <c r="AG75" s="107"/>
      <c r="AH75" s="107"/>
      <c r="AI75" s="107"/>
      <c r="AJ75" s="108"/>
      <c r="AK75" s="56"/>
      <c r="AL75" s="56"/>
      <c r="AM75" s="106" t="str">
        <f>IF([11]回答表!AD42="○",[11]回答表!B143,"")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IF([11]回答表!F17="水道事業",IF([11]回答表!X43="○","○",""),"")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IF([11]回答表!F17="水道事業",IF([11]回答表!X43="○",[11]回答表!B154,IF([11]回答表!AA43="○",[11]回答表!B201,"")),"")</f>
        <v/>
      </c>
      <c r="AN87" s="107"/>
      <c r="AO87" s="107"/>
      <c r="AP87" s="107"/>
      <c r="AQ87" s="107"/>
      <c r="AR87" s="107"/>
      <c r="AS87" s="107"/>
      <c r="AT87" s="107"/>
      <c r="AU87" s="107"/>
      <c r="AV87" s="107"/>
      <c r="AW87" s="107"/>
      <c r="AX87" s="107"/>
      <c r="AY87" s="107"/>
      <c r="AZ87" s="107"/>
      <c r="BA87" s="107"/>
      <c r="BB87" s="108"/>
      <c r="BC87" s="40"/>
      <c r="BD87" s="35"/>
      <c r="BE87" s="115" t="str">
        <f>IF([11]回答表!F17="水道事業",IF([11]回答表!X43="○",[11]回答表!B190,IF([11]回答表!AA43="○",[11]回答表!B238,"")),"")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IF([11]回答表!F17="水道事業",IF([11]回答表!X43="○",[11]回答表!J162,IF([11]回答表!AA43="○",[11]回答表!J209,"")),"")</f>
        <v/>
      </c>
      <c r="V89" s="119"/>
      <c r="W89" s="119"/>
      <c r="X89" s="119"/>
      <c r="Y89" s="119"/>
      <c r="Z89" s="119"/>
      <c r="AA89" s="119"/>
      <c r="AB89" s="120"/>
      <c r="AC89" s="118" t="str">
        <f>IF([11]回答表!F17="水道事業",IF([11]回答表!X43="○",[11]回答表!J169,IF([11]回答表!AA43="○",[11]回答表!J216,"")),"")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IF([11]回答表!F17="水道事業",IF([11]回答表!X43="○",[11]回答表!E190,IF([11]回答表!AA43="○",[11]回答表!E238,"")),"")</f>
        <v/>
      </c>
      <c r="BF90" s="83"/>
      <c r="BG90" s="83"/>
      <c r="BH90" s="83"/>
      <c r="BI90" s="82" t="str">
        <f>IF([11]回答表!F17="水道事業",IF([11]回答表!X43="○",[11]回答表!E191,IF([11]回答表!AA43="○",[11]回答表!E239,"")),"")</f>
        <v/>
      </c>
      <c r="BJ90" s="83"/>
      <c r="BK90" s="83"/>
      <c r="BL90" s="83"/>
      <c r="BM90" s="82" t="str">
        <f>IF([11]回答表!F17="水道事業",IF([11]回答表!X43="○",[11]回答表!E192,IF([11]回答表!AA43="○",[11]回答表!E240,"")),"")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IF([11]回答表!F17="水道事業",IF([11]回答表!AA43="○","○",""),"")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IF([11]回答表!F17="水道事業",IF([11]回答表!X43="○",[11]回答表!J172,IF([11]回答表!AA43="○",[11]回答表!J219,"")),"")</f>
        <v/>
      </c>
      <c r="V94" s="119"/>
      <c r="W94" s="119"/>
      <c r="X94" s="119"/>
      <c r="Y94" s="119"/>
      <c r="Z94" s="119"/>
      <c r="AA94" s="119"/>
      <c r="AB94" s="120"/>
      <c r="AC94" s="118" t="str">
        <f>IF([11]回答表!F17="水道事業",IF([11]回答表!X43="○",[11]回答表!J176,IF([11]回答表!AA43="○",[11]回答表!J223,"")),"")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IF([11]回答表!F17="水道事業",IF([11]回答表!AD43="○","○",""),"")</f>
        <v/>
      </c>
      <c r="O99" s="98"/>
      <c r="P99" s="98"/>
      <c r="Q99" s="99"/>
      <c r="R99" s="39"/>
      <c r="S99" s="39"/>
      <c r="T99" s="39"/>
      <c r="U99" s="106" t="str">
        <f>IF([11]回答表!F17="水道事業",IF([11]回答表!AD43="○",[11]回答表!B249,""),"")</f>
        <v/>
      </c>
      <c r="V99" s="107"/>
      <c r="W99" s="107"/>
      <c r="X99" s="107"/>
      <c r="Y99" s="107"/>
      <c r="Z99" s="107"/>
      <c r="AA99" s="107"/>
      <c r="AB99" s="107"/>
      <c r="AC99" s="107"/>
      <c r="AD99" s="107"/>
      <c r="AE99" s="107"/>
      <c r="AF99" s="107"/>
      <c r="AG99" s="107"/>
      <c r="AH99" s="107"/>
      <c r="AI99" s="107"/>
      <c r="AJ99" s="108"/>
      <c r="AK99" s="56"/>
      <c r="AL99" s="56"/>
      <c r="AM99" s="106" t="str">
        <f>IF([11]回答表!F17="水道事業",IF([11]回答表!AD43="○",[11]回答表!B255,""),"")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IF([11]回答表!F17="簡易水道事業",IF([11]回答表!X43="○","○",""),"")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IF([11]回答表!F17="簡易水道事業",IF([11]回答表!X43="○",[11]回答表!B154,IF([11]回答表!AA43="○",[11]回答表!B201,"")),"")</f>
        <v/>
      </c>
      <c r="AN111" s="107"/>
      <c r="AO111" s="107"/>
      <c r="AP111" s="107"/>
      <c r="AQ111" s="107"/>
      <c r="AR111" s="107"/>
      <c r="AS111" s="107"/>
      <c r="AT111" s="107"/>
      <c r="AU111" s="107"/>
      <c r="AV111" s="107"/>
      <c r="AW111" s="107"/>
      <c r="AX111" s="107"/>
      <c r="AY111" s="107"/>
      <c r="AZ111" s="107"/>
      <c r="BA111" s="107"/>
      <c r="BB111" s="108"/>
      <c r="BC111" s="40"/>
      <c r="BD111" s="35"/>
      <c r="BE111" s="115" t="str">
        <f>IF([11]回答表!F17="簡易水道事業",IF([11]回答表!X43="○",[11]回答表!B190,IF([11]回答表!AA43="○",[11]回答表!B238,"")),"")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IF([11]回答表!F17="簡易水道事業",IF([11]回答表!X43="○",[11]回答表!Y181,IF([11]回答表!AA43="○",[11]回答表!Y229,"")),"")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IF([11]回答表!F17="簡易水道事業",IF([11]回答表!X43="○",[11]回答表!E190,IF([11]回答表!AA43="○",[11]回答表!E238,"")),"")</f>
        <v/>
      </c>
      <c r="BF114" s="83"/>
      <c r="BG114" s="83"/>
      <c r="BH114" s="83"/>
      <c r="BI114" s="82" t="str">
        <f>IF([11]回答表!F17="簡易水道事業",IF([11]回答表!X43="○",[11]回答表!E191,IF([11]回答表!AA43="○",[11]回答表!E239,"")),"")</f>
        <v/>
      </c>
      <c r="BJ114" s="83"/>
      <c r="BK114" s="83"/>
      <c r="BL114" s="83"/>
      <c r="BM114" s="82" t="str">
        <f>IF([11]回答表!F17="簡易水道事業",IF([11]回答表!X43="○",[11]回答表!E192,IF([11]回答表!AA43="○",[11]回答表!E240,"")),"")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IF([11]回答表!F17="簡易水道事業",IF([11]回答表!AA43="○","○",""),"")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IF([11]回答表!F17="簡易水道事業",IF([11]回答表!X43="○",[11]回答表!Y182,IF([11]回答表!AA43="○",[11]回答表!Y230,"")),"")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IF([11]回答表!F17="簡易水道事業",IF([11]回答表!AD43="○","○",""),"")</f>
        <v/>
      </c>
      <c r="O123" s="98"/>
      <c r="P123" s="98"/>
      <c r="Q123" s="99"/>
      <c r="R123" s="39"/>
      <c r="S123" s="39"/>
      <c r="T123" s="39"/>
      <c r="U123" s="106" t="str">
        <f>IF([11]回答表!F17="簡易水道事業",IF([11]回答表!AD43="○",[11]回答表!B249,""),"")</f>
        <v/>
      </c>
      <c r="V123" s="107"/>
      <c r="W123" s="107"/>
      <c r="X123" s="107"/>
      <c r="Y123" s="107"/>
      <c r="Z123" s="107"/>
      <c r="AA123" s="107"/>
      <c r="AB123" s="107"/>
      <c r="AC123" s="107"/>
      <c r="AD123" s="107"/>
      <c r="AE123" s="107"/>
      <c r="AF123" s="107"/>
      <c r="AG123" s="107"/>
      <c r="AH123" s="107"/>
      <c r="AI123" s="107"/>
      <c r="AJ123" s="108"/>
      <c r="AK123" s="56"/>
      <c r="AL123" s="56"/>
      <c r="AM123" s="106" t="str">
        <f>IF([11]回答表!F17="簡易水道事業",IF([11]回答表!AD43="○",[11]回答表!B255,""),"")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IF([11]回答表!F17="下水道事業",IF([11]回答表!X43="○","○",""),"")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IF([11]回答表!F17="下水道事業",IF([11]回答表!X43="○",[11]回答表!B154,IF([11]回答表!AA43="○",[11]回答表!B201,"")),"")</f>
        <v/>
      </c>
      <c r="AN135" s="107"/>
      <c r="AO135" s="107"/>
      <c r="AP135" s="107"/>
      <c r="AQ135" s="107"/>
      <c r="AR135" s="107"/>
      <c r="AS135" s="107"/>
      <c r="AT135" s="107"/>
      <c r="AU135" s="107"/>
      <c r="AV135" s="107"/>
      <c r="AW135" s="107"/>
      <c r="AX135" s="107"/>
      <c r="AY135" s="107"/>
      <c r="AZ135" s="107"/>
      <c r="BA135" s="107"/>
      <c r="BB135" s="108"/>
      <c r="BC135" s="40"/>
      <c r="BD135" s="35"/>
      <c r="BE135" s="115" t="str">
        <f>IF([11]回答表!F17="下水道事業",IF([11]回答表!X43="○",[11]回答表!B190,IF([11]回答表!AA43="○",[11]回答表!B238,"")),"")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IF([11]回答表!F17="下水道事業",IF([11]回答表!X43="○",[11]回答表!Y184,IF([11]回答表!AA43="○",[11]回答表!Y232,"")),"")</f>
        <v/>
      </c>
      <c r="V137" s="119"/>
      <c r="W137" s="119"/>
      <c r="X137" s="119"/>
      <c r="Y137" s="119"/>
      <c r="Z137" s="119"/>
      <c r="AA137" s="119"/>
      <c r="AB137" s="120"/>
      <c r="AC137" s="118" t="str">
        <f>IF([11]回答表!F17="下水道事業",IF([11]回答表!X43="○",[11]回答表!Y185,IF([11]回答表!AA43="○",[11]回答表!Y233,"")),"")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IF([11]回答表!F17="下水道事業",IF([11]回答表!X43="○",[11]回答表!E190,IF([11]回答表!AA43="○",[11]回答表!E238,"")),"")</f>
        <v/>
      </c>
      <c r="BF138" s="83"/>
      <c r="BG138" s="83"/>
      <c r="BH138" s="83"/>
      <c r="BI138" s="82" t="str">
        <f>IF([11]回答表!F17="下水道事業",IF([11]回答表!X43="○",[11]回答表!E191,IF([11]回答表!AA43="○",[11]回答表!E239,"")),"")</f>
        <v/>
      </c>
      <c r="BJ138" s="83"/>
      <c r="BK138" s="83"/>
      <c r="BL138" s="83"/>
      <c r="BM138" s="82" t="str">
        <f>IF([11]回答表!F17="下水道事業",IF([11]回答表!X43="○",[11]回答表!E192,IF([11]回答表!AA43="○",[11]回答表!E240,"")),"")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IF([11]回答表!F17="下水道事業",IF([11]回答表!AA43="○","○",""),"")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IF([11]回答表!F17="下水道事業",IF([11]回答表!X43="○",[11]回答表!Y186,IF([11]回答表!AA43="○",[11]回答表!Y234,"")),"")</f>
        <v/>
      </c>
      <c r="V142" s="119"/>
      <c r="W142" s="119"/>
      <c r="X142" s="119"/>
      <c r="Y142" s="119"/>
      <c r="Z142" s="119"/>
      <c r="AA142" s="119"/>
      <c r="AB142" s="120"/>
      <c r="AC142" s="118" t="str">
        <f>IF([11]回答表!F17="下水道事業",IF([11]回答表!X43="○",[11]回答表!Y187,IF([11]回答表!AA43="○",[11]回答表!Y235,"")),"")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IF([11]回答表!F17="下水道事業",IF([11]回答表!AD43="○","○",""),"")</f>
        <v/>
      </c>
      <c r="O147" s="98"/>
      <c r="P147" s="98"/>
      <c r="Q147" s="99"/>
      <c r="R147" s="39"/>
      <c r="S147" s="39"/>
      <c r="T147" s="39"/>
      <c r="U147" s="106" t="str">
        <f>IF([11]回答表!F17="下水道事業",IF([11]回答表!AD43="○",[11]回答表!B249,""),"")</f>
        <v/>
      </c>
      <c r="V147" s="107"/>
      <c r="W147" s="107"/>
      <c r="X147" s="107"/>
      <c r="Y147" s="107"/>
      <c r="Z147" s="107"/>
      <c r="AA147" s="107"/>
      <c r="AB147" s="107"/>
      <c r="AC147" s="107"/>
      <c r="AD147" s="107"/>
      <c r="AE147" s="107"/>
      <c r="AF147" s="107"/>
      <c r="AG147" s="107"/>
      <c r="AH147" s="107"/>
      <c r="AI147" s="107"/>
      <c r="AJ147" s="108"/>
      <c r="AK147" s="56"/>
      <c r="AL147" s="56"/>
      <c r="AM147" s="106" t="str">
        <f>IF([11]回答表!F17="下水道事業",IF([11]回答表!AD43="○",[11]回答表!B255,""),"")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IF([11]回答表!BD17="○",IF([11]回答表!X43="○","○",""),"")</f>
        <v/>
      </c>
      <c r="O159" s="98"/>
      <c r="P159" s="98"/>
      <c r="Q159" s="99"/>
      <c r="R159" s="39"/>
      <c r="S159" s="39"/>
      <c r="T159" s="39"/>
      <c r="U159" s="106" t="str">
        <f>IF([11]回答表!BD17="○",IF([11]回答表!X43="○",[11]回答表!B154,IF([11]回答表!AA43="○",[11]回答表!B201,"")),"")</f>
        <v/>
      </c>
      <c r="V159" s="107"/>
      <c r="W159" s="107"/>
      <c r="X159" s="107"/>
      <c r="Y159" s="107"/>
      <c r="Z159" s="107"/>
      <c r="AA159" s="107"/>
      <c r="AB159" s="107"/>
      <c r="AC159" s="107"/>
      <c r="AD159" s="107"/>
      <c r="AE159" s="107"/>
      <c r="AF159" s="107"/>
      <c r="AG159" s="107"/>
      <c r="AH159" s="107"/>
      <c r="AI159" s="107"/>
      <c r="AJ159" s="108"/>
      <c r="AK159" s="50"/>
      <c r="AL159" s="50"/>
      <c r="AM159" s="115" t="str">
        <f>IF([11]回答表!BD17="○",IF([11]回答表!X43="○",[11]回答表!B190,IF([11]回答表!AA43="○",[11]回答表!B238,"")),"")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IF([11]回答表!BD17="○",IF([11]回答表!X43="○",[11]回答表!E190,IF([11]回答表!AA43="○",[11]回答表!E238,"")),"")</f>
        <v/>
      </c>
      <c r="AN162" s="83"/>
      <c r="AO162" s="83"/>
      <c r="AP162" s="83"/>
      <c r="AQ162" s="82" t="str">
        <f>IF([11]回答表!BD17="○",IF([11]回答表!X43="○",[11]回答表!E191,IF([11]回答表!AA43="○",[11]回答表!E239,"")),"")</f>
        <v/>
      </c>
      <c r="AR162" s="83"/>
      <c r="AS162" s="83"/>
      <c r="AT162" s="83"/>
      <c r="AU162" s="82" t="str">
        <f>IF([11]回答表!BD17="○",IF([11]回答表!X43="○",[11]回答表!E192,IF([11]回答表!AA43="○",[11]回答表!E240,"")),"")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IF([11]回答表!BD17="○",IF([11]回答表!AA43="○","○",""),"")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IF([11]回答表!BD17="○",IF([11]回答表!AD43="○","○",""),"")</f>
        <v/>
      </c>
      <c r="O171" s="98"/>
      <c r="P171" s="98"/>
      <c r="Q171" s="99"/>
      <c r="R171" s="39"/>
      <c r="S171" s="39"/>
      <c r="T171" s="39"/>
      <c r="U171" s="106" t="str">
        <f>IF([11]回答表!BD17="○",IF([11]回答表!AD43="○",[11]回答表!B249,""),"")</f>
        <v/>
      </c>
      <c r="V171" s="107"/>
      <c r="W171" s="107"/>
      <c r="X171" s="107"/>
      <c r="Y171" s="107"/>
      <c r="Z171" s="107"/>
      <c r="AA171" s="107"/>
      <c r="AB171" s="107"/>
      <c r="AC171" s="107"/>
      <c r="AD171" s="107"/>
      <c r="AE171" s="107"/>
      <c r="AF171" s="107"/>
      <c r="AG171" s="107"/>
      <c r="AH171" s="107"/>
      <c r="AI171" s="107"/>
      <c r="AJ171" s="108"/>
      <c r="AK171" s="56"/>
      <c r="AL171" s="56"/>
      <c r="AM171" s="106" t="str">
        <f>IF([11]回答表!BD17="○",IF([11]回答表!AD43="○",[11]回答表!B255,""),"")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IF([11]回答表!X44="○","○","")</f>
        <v/>
      </c>
      <c r="O183" s="98"/>
      <c r="P183" s="98"/>
      <c r="Q183" s="99"/>
      <c r="R183" s="39"/>
      <c r="S183" s="39"/>
      <c r="T183" s="39"/>
      <c r="U183" s="106" t="str">
        <f>IF([11]回答表!X44="○",[11]回答表!B266,IF([11]回答表!AA44="○",[11]回答表!B283,""))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IF([11]回答表!X44="○",[11]回答表!U272,IF([11]回答表!AA44="○",[11]回答表!U289,""))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IF([11]回答表!X44="○",[11]回答表!G272,IF([11]回答表!AA44="○",[11]回答表!G289,""))</f>
        <v/>
      </c>
      <c r="AN186" s="119"/>
      <c r="AO186" s="119"/>
      <c r="AP186" s="119"/>
      <c r="AQ186" s="119"/>
      <c r="AR186" s="119"/>
      <c r="AS186" s="119"/>
      <c r="AT186" s="120"/>
      <c r="AU186" s="118" t="str">
        <f>IF([11]回答表!X44="○",[11]回答表!G273,IF([11]回答表!AA44="○",[11]回答表!G290,""))</f>
        <v/>
      </c>
      <c r="AV186" s="119"/>
      <c r="AW186" s="119"/>
      <c r="AX186" s="119"/>
      <c r="AY186" s="119"/>
      <c r="AZ186" s="119"/>
      <c r="BA186" s="119"/>
      <c r="BB186" s="120"/>
      <c r="BC186" s="40"/>
      <c r="BD186" s="35"/>
      <c r="BE186" s="82" t="str">
        <f>IF([11]回答表!X44="○",[11]回答表!X272,IF([11]回答表!AA44="○",[11]回答表!X289,""))</f>
        <v/>
      </c>
      <c r="BF186" s="83"/>
      <c r="BG186" s="83"/>
      <c r="BH186" s="83"/>
      <c r="BI186" s="82" t="str">
        <f>IF([11]回答表!X44="○",[11]回答表!X273,IF([11]回答表!AA44="○",[11]回答表!X290,""))</f>
        <v/>
      </c>
      <c r="BJ186" s="83"/>
      <c r="BK186" s="83"/>
      <c r="BL186" s="86"/>
      <c r="BM186" s="82" t="str">
        <f>IF([11]回答表!X44="○",[11]回答表!X274,IF([11]回答表!AA44="○",[11]回答表!X291,""))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IF([11]回答表!AD44="○","○","")</f>
        <v/>
      </c>
      <c r="O195" s="98"/>
      <c r="P195" s="98"/>
      <c r="Q195" s="99"/>
      <c r="R195" s="39"/>
      <c r="S195" s="39"/>
      <c r="T195" s="39"/>
      <c r="U195" s="106" t="str">
        <f>IF([11]回答表!AD44="○",[11]回答表!B296,"")</f>
        <v/>
      </c>
      <c r="V195" s="107"/>
      <c r="W195" s="107"/>
      <c r="X195" s="107"/>
      <c r="Y195" s="107"/>
      <c r="Z195" s="107"/>
      <c r="AA195" s="107"/>
      <c r="AB195" s="107"/>
      <c r="AC195" s="107"/>
      <c r="AD195" s="107"/>
      <c r="AE195" s="107"/>
      <c r="AF195" s="107"/>
      <c r="AG195" s="107"/>
      <c r="AH195" s="107"/>
      <c r="AI195" s="107"/>
      <c r="AJ195" s="108"/>
      <c r="AK195" s="61"/>
      <c r="AL195" s="61"/>
      <c r="AM195" s="106" t="str">
        <f>IF([11]回答表!AD44="○",[11]回答表!B302,"")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IF([11]回答表!X45="○","○","")</f>
        <v/>
      </c>
      <c r="O207" s="98"/>
      <c r="P207" s="98"/>
      <c r="Q207" s="99"/>
      <c r="R207" s="39"/>
      <c r="S207" s="39"/>
      <c r="T207" s="39"/>
      <c r="U207" s="106" t="str">
        <f>IF([11]回答表!X45="○",[11]回答表!B314,IF([11]回答表!AA45="○",[11]回答表!B337,""))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IF([11]回答表!X45="○",[11]回答表!B320,"")</f>
        <v/>
      </c>
      <c r="AO207" s="164"/>
      <c r="AP207" s="164"/>
      <c r="AQ207" s="164"/>
      <c r="AR207" s="164"/>
      <c r="AS207" s="164"/>
      <c r="AT207" s="164"/>
      <c r="AU207" s="164"/>
      <c r="AV207" s="164"/>
      <c r="AW207" s="164"/>
      <c r="AX207" s="164"/>
      <c r="AY207" s="164"/>
      <c r="AZ207" s="164"/>
      <c r="BA207" s="164"/>
      <c r="BB207" s="165"/>
      <c r="BC207" s="40"/>
      <c r="BD207" s="35"/>
      <c r="BE207" s="115" t="str">
        <f>IF([11]回答表!X45="○",[11]回答表!B326,IF([11]回答表!AA45="○",[11]回答表!B343,""))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IF([11]回答表!X45="○",[11]回答表!E326,IF([11]回答表!AA45="○",[11]回答表!E343,""))</f>
        <v/>
      </c>
      <c r="BF210" s="83"/>
      <c r="BG210" s="83"/>
      <c r="BH210" s="83"/>
      <c r="BI210" s="82" t="str">
        <f>IF([11]回答表!X45="○",[11]回答表!E327,IF([11]回答表!AA45="○",[11]回答表!E344,""))</f>
        <v/>
      </c>
      <c r="BJ210" s="83"/>
      <c r="BK210" s="83"/>
      <c r="BL210" s="86"/>
      <c r="BM210" s="82" t="str">
        <f>IF([11]回答表!X45="○",[11]回答表!E328,IF([11]回答表!AA45="○",[11]回答表!E345,""))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IF([11]回答表!AD45="○","○","")</f>
        <v/>
      </c>
      <c r="O219" s="98"/>
      <c r="P219" s="98"/>
      <c r="Q219" s="99"/>
      <c r="R219" s="39"/>
      <c r="S219" s="39"/>
      <c r="T219" s="39"/>
      <c r="U219" s="106" t="str">
        <f>IF([11]回答表!AD45="○",[11]回答表!B350,"")</f>
        <v/>
      </c>
      <c r="V219" s="107"/>
      <c r="W219" s="107"/>
      <c r="X219" s="107"/>
      <c r="Y219" s="107"/>
      <c r="Z219" s="107"/>
      <c r="AA219" s="107"/>
      <c r="AB219" s="107"/>
      <c r="AC219" s="107"/>
      <c r="AD219" s="107"/>
      <c r="AE219" s="107"/>
      <c r="AF219" s="107"/>
      <c r="AG219" s="107"/>
      <c r="AH219" s="107"/>
      <c r="AI219" s="107"/>
      <c r="AJ219" s="108"/>
      <c r="AK219" s="61"/>
      <c r="AL219" s="61"/>
      <c r="AM219" s="106" t="str">
        <f>IF([11]回答表!AD45="○",[11]回答表!B356,"")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IF([11]回答表!X46="○","○","")</f>
        <v/>
      </c>
      <c r="O231" s="98"/>
      <c r="P231" s="98"/>
      <c r="Q231" s="99"/>
      <c r="R231" s="39"/>
      <c r="S231" s="39"/>
      <c r="T231" s="39"/>
      <c r="U231" s="106" t="str">
        <f>IF([11]回答表!X46="○",[11]回答表!B368,IF([11]回答表!AA46="○",[11]回答表!B382,""))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IF([11]回答表!X46="○",[11]回答表!BC375,IF([11]回答表!AA46="○",[11]回答表!BC389,""))</f>
        <v/>
      </c>
      <c r="AR231" s="150"/>
      <c r="AS231" s="150"/>
      <c r="AT231" s="150"/>
      <c r="AU231" s="155" t="s">
        <v>63</v>
      </c>
      <c r="AV231" s="156"/>
      <c r="AW231" s="156"/>
      <c r="AX231" s="157"/>
      <c r="AY231" s="150" t="str">
        <f>IF([11]回答表!X46="○",[11]回答表!BC380,IF([11]回答表!AA46="○",[11]回答表!BC394,""))</f>
        <v/>
      </c>
      <c r="AZ231" s="150"/>
      <c r="BA231" s="150"/>
      <c r="BB231" s="150"/>
      <c r="BC231" s="40"/>
      <c r="BD231" s="35"/>
      <c r="BE231" s="115" t="str">
        <f>IF([11]回答表!X46="○",[11]回答表!S374,IF([11]回答表!AA46="○",[11]回答表!S388,""))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IF([11]回答表!X46="○",[11]回答表!BC376,IF([11]回答表!AA46="○",[11]回答表!BC390,""))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IF([11]回答表!X46="○",[11]回答表!V374,IF([11]回答表!AA46="○",[11]回答表!V388,""))</f>
        <v/>
      </c>
      <c r="BF234" s="83"/>
      <c r="BG234" s="83"/>
      <c r="BH234" s="83"/>
      <c r="BI234" s="82" t="str">
        <f>IF([11]回答表!X46="○",[11]回答表!V375,IF([11]回答表!AA46="○",[11]回答表!V389,""))</f>
        <v/>
      </c>
      <c r="BJ234" s="83"/>
      <c r="BK234" s="83"/>
      <c r="BL234" s="86"/>
      <c r="BM234" s="82" t="str">
        <f>IF([11]回答表!X46="○",[11]回答表!V376,IF([11]回答表!AA46="○",[11]回答表!V390,""))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IF([11]回答表!X46="○",[11]回答表!BC377,IF([11]回答表!AA46="○",[11]回答表!BC391,""))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IF([11]回答表!X46="○",[11]回答表!BC381,IF([11]回答表!AA46="○",[11]回答表!BC395,""))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IF([11]回答表!X46="○",[11]回答表!BC378,IF([11]回答表!AA46="○",[11]回答表!BC392,""))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IF([11]回答表!X46="○",[11]回答表!BC379,IF([11]回答表!AA46="○",[11]回答表!BC393,""))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IF([11]回答表!AD46="○","○","")</f>
        <v/>
      </c>
      <c r="O243" s="98"/>
      <c r="P243" s="98"/>
      <c r="Q243" s="99"/>
      <c r="R243" s="39"/>
      <c r="S243" s="39"/>
      <c r="T243" s="39"/>
      <c r="U243" s="106" t="str">
        <f>IF([11]回答表!AD46="○",[11]回答表!B396,"")</f>
        <v/>
      </c>
      <c r="V243" s="107"/>
      <c r="W243" s="107"/>
      <c r="X243" s="107"/>
      <c r="Y243" s="107"/>
      <c r="Z243" s="107"/>
      <c r="AA243" s="107"/>
      <c r="AB243" s="107"/>
      <c r="AC243" s="107"/>
      <c r="AD243" s="107"/>
      <c r="AE243" s="107"/>
      <c r="AF243" s="107"/>
      <c r="AG243" s="107"/>
      <c r="AH243" s="107"/>
      <c r="AI243" s="107"/>
      <c r="AJ243" s="108"/>
      <c r="AK243" s="56"/>
      <c r="AL243" s="56"/>
      <c r="AM243" s="106" t="str">
        <f>IF([11]回答表!AD46="○",[11]回答表!B402,"")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IF([11]回答表!X47="○","○","")</f>
        <v/>
      </c>
      <c r="O254" s="98"/>
      <c r="P254" s="98"/>
      <c r="Q254" s="99"/>
      <c r="R254" s="39"/>
      <c r="S254" s="39"/>
      <c r="T254" s="39"/>
      <c r="U254" s="106" t="str">
        <f>IF([11]回答表!X47="○",[11]回答表!B414,IF([11]回答表!AA47="○",[11]回答表!B431,""))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IF([11]回答表!X47="○",[11]回答表!B424,IF([11]回答表!AA47="○",[11]回答表!B441,""))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IF([11]回答表!X47="○",[11]回答表!G420,IF([11]回答表!AA47="○",[11]回答表!G437,""))</f>
        <v/>
      </c>
      <c r="AN256" s="119"/>
      <c r="AO256" s="119"/>
      <c r="AP256" s="119"/>
      <c r="AQ256" s="119"/>
      <c r="AR256" s="119"/>
      <c r="AS256" s="119"/>
      <c r="AT256" s="120"/>
      <c r="AU256" s="118" t="str">
        <f>IF([11]回答表!X47="○",[11]回答表!G421,IF([11]回答表!AA47="○",[11]回答表!G438,""))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IF([11]回答表!X47="○",[11]回答表!E424,IF([11]回答表!AA47="○",[11]回答表!E441,""))</f>
        <v/>
      </c>
      <c r="BF257" s="83"/>
      <c r="BG257" s="83"/>
      <c r="BH257" s="83"/>
      <c r="BI257" s="82" t="str">
        <f>IF([11]回答表!X47="○",[11]回答表!E425,IF([11]回答表!AA47="○",[11]回答表!E442,""))</f>
        <v/>
      </c>
      <c r="BJ257" s="83"/>
      <c r="BK257" s="83"/>
      <c r="BL257" s="86"/>
      <c r="BM257" s="82" t="str">
        <f>IF([11]回答表!X47="○",[11]回答表!E426,IF([11]回答表!AA47="○",[11]回答表!E443,""))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IF([11]回答表!AD47="○","○","")</f>
        <v/>
      </c>
      <c r="O266" s="98"/>
      <c r="P266" s="98"/>
      <c r="Q266" s="99"/>
      <c r="R266" s="39"/>
      <c r="S266" s="39"/>
      <c r="T266" s="39"/>
      <c r="U266" s="106" t="str">
        <f>IF([11]回答表!AD47="○",[11]回答表!B448,"")</f>
        <v/>
      </c>
      <c r="V266" s="107"/>
      <c r="W266" s="107"/>
      <c r="X266" s="107"/>
      <c r="Y266" s="107"/>
      <c r="Z266" s="107"/>
      <c r="AA266" s="107"/>
      <c r="AB266" s="107"/>
      <c r="AC266" s="107"/>
      <c r="AD266" s="107"/>
      <c r="AE266" s="107"/>
      <c r="AF266" s="107"/>
      <c r="AG266" s="107"/>
      <c r="AH266" s="107"/>
      <c r="AI266" s="107"/>
      <c r="AJ266" s="108"/>
      <c r="AK266" s="50"/>
      <c r="AL266" s="50"/>
      <c r="AM266" s="106" t="str">
        <f>IF([11]回答表!AD47="○",[11]回答表!B454,"")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IF([11]回答表!R48="○",[11]回答表!B467,"")</f>
        <v>　本事業は令和元年度から開始された事業であり、現在基本設計の段階にある。造成事業終了後は民間企業等への分譲を予定しており、今後更なる事業展開する予定もないことから現行の経営体制・手法で問題はない。</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D7EF2-07D7-4E01-AD71-0E4220B21F16}">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IF(COUNTIF([5]回答表!K15,"*")&gt;0,[5]回答表!K15,"")</f>
        <v>大仙市</v>
      </c>
      <c r="D11" s="264"/>
      <c r="E11" s="264"/>
      <c r="F11" s="264"/>
      <c r="G11" s="264"/>
      <c r="H11" s="264"/>
      <c r="I11" s="264"/>
      <c r="J11" s="264"/>
      <c r="K11" s="264"/>
      <c r="L11" s="264"/>
      <c r="M11" s="264"/>
      <c r="N11" s="264"/>
      <c r="O11" s="264"/>
      <c r="P11" s="264"/>
      <c r="Q11" s="264"/>
      <c r="R11" s="264"/>
      <c r="S11" s="264"/>
      <c r="T11" s="264"/>
      <c r="U11" s="271" t="str">
        <f>IF(COUNTIF([5]回答表!F17,"*")&gt;0,[5]回答表!F17,"")</f>
        <v>介護サービス事業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IF(COUNTIF([5]回答表!W17,"*")&gt;0,[5]回答表!W17,"")</f>
        <v>指定介護老人福祉施設</v>
      </c>
      <c r="AP11" s="266"/>
      <c r="AQ11" s="266"/>
      <c r="AR11" s="266"/>
      <c r="AS11" s="266"/>
      <c r="AT11" s="266"/>
      <c r="AU11" s="266"/>
      <c r="AV11" s="266"/>
      <c r="AW11" s="266"/>
      <c r="AX11" s="266"/>
      <c r="AY11" s="266"/>
      <c r="AZ11" s="266"/>
      <c r="BA11" s="266"/>
      <c r="BB11" s="266"/>
      <c r="BC11" s="266"/>
      <c r="BD11" s="266"/>
      <c r="BE11" s="267"/>
      <c r="BF11" s="270" t="str">
        <f>IF(COUNTIF([5]回答表!F19,"*")&gt;0,[5]回答表!F19,"")</f>
        <v>介護老人福祉施設介護サービス事業特別会計</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IF([5]回答表!R41="○","○","")</f>
        <v/>
      </c>
      <c r="E24" s="122"/>
      <c r="F24" s="122"/>
      <c r="G24" s="122"/>
      <c r="H24" s="122"/>
      <c r="I24" s="122"/>
      <c r="J24" s="123"/>
      <c r="K24" s="121" t="str">
        <f>IF([5]回答表!R42="○","○","")</f>
        <v>○</v>
      </c>
      <c r="L24" s="122"/>
      <c r="M24" s="122"/>
      <c r="N24" s="122"/>
      <c r="O24" s="122"/>
      <c r="P24" s="122"/>
      <c r="Q24" s="123"/>
      <c r="R24" s="121" t="str">
        <f>IF([5]回答表!R43="○","○","")</f>
        <v/>
      </c>
      <c r="S24" s="122"/>
      <c r="T24" s="122"/>
      <c r="U24" s="122"/>
      <c r="V24" s="122"/>
      <c r="W24" s="122"/>
      <c r="X24" s="123"/>
      <c r="Y24" s="121" t="str">
        <f>IF([5]回答表!R44="○","○","")</f>
        <v/>
      </c>
      <c r="Z24" s="122"/>
      <c r="AA24" s="122"/>
      <c r="AB24" s="122"/>
      <c r="AC24" s="122"/>
      <c r="AD24" s="122"/>
      <c r="AE24" s="123"/>
      <c r="AF24" s="121" t="str">
        <f>IF([5]回答表!R45="○","○","")</f>
        <v/>
      </c>
      <c r="AG24" s="122"/>
      <c r="AH24" s="122"/>
      <c r="AI24" s="122"/>
      <c r="AJ24" s="122"/>
      <c r="AK24" s="122"/>
      <c r="AL24" s="123"/>
      <c r="AM24" s="121" t="str">
        <f>IF([5]回答表!R46="○","○","")</f>
        <v/>
      </c>
      <c r="AN24" s="122"/>
      <c r="AO24" s="122"/>
      <c r="AP24" s="122"/>
      <c r="AQ24" s="122"/>
      <c r="AR24" s="122"/>
      <c r="AS24" s="123"/>
      <c r="AT24" s="121" t="str">
        <f>IF([5]回答表!R47="○","○","")</f>
        <v/>
      </c>
      <c r="AU24" s="122"/>
      <c r="AV24" s="122"/>
      <c r="AW24" s="122"/>
      <c r="AX24" s="122"/>
      <c r="AY24" s="122"/>
      <c r="AZ24" s="123"/>
      <c r="BA24" s="19"/>
      <c r="BB24" s="118" t="str">
        <f>IF([5]回答表!R48="○","○","")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IF([5]回答表!X41="○","○","")</f>
        <v/>
      </c>
      <c r="O36" s="98"/>
      <c r="P36" s="98"/>
      <c r="Q36" s="99"/>
      <c r="R36" s="39"/>
      <c r="S36" s="39"/>
      <c r="T36" s="39"/>
      <c r="U36" s="106" t="str">
        <f>IF([5]回答表!X41="○",[5]回答表!B56,IF([5]回答表!AA41="○",[5]回答表!B76,""))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IF([5]回答表!X41="○",[5]回答表!S62,IF([5]回答表!AA41="○",[5]回答表!S82,""))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IF([5]回答表!X41="○",[5]回答表!G62,IF([5]回答表!AA41="○",[5]回答表!G82,""))</f>
        <v/>
      </c>
      <c r="AN38" s="119"/>
      <c r="AO38" s="119"/>
      <c r="AP38" s="119"/>
      <c r="AQ38" s="119"/>
      <c r="AR38" s="119"/>
      <c r="AS38" s="119"/>
      <c r="AT38" s="120"/>
      <c r="AU38" s="118" t="str">
        <f>IF([5]回答表!X41="○",[5]回答表!G63,IF([5]回答表!AA41="○",[5]回答表!G83,""))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IF([5]回答表!X41="○",[5]回答表!V62,IF([5]回答表!AA41="○",[5]回答表!V82,""))</f>
        <v/>
      </c>
      <c r="BF39" s="217"/>
      <c r="BG39" s="217"/>
      <c r="BH39" s="218"/>
      <c r="BI39" s="82" t="str">
        <f>IF([5]回答表!X41="○",[5]回答表!V63,IF([5]回答表!AA41="○",[5]回答表!V83,""))</f>
        <v/>
      </c>
      <c r="BJ39" s="217"/>
      <c r="BK39" s="217"/>
      <c r="BL39" s="218"/>
      <c r="BM39" s="82" t="str">
        <f>IF([5]回答表!X41="○",[5]回答表!V64,IF([5]回答表!AA41="○",[5]回答表!V84,""))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IF([5]回答表!X41="○",[5]回答表!O68,IF([5]回答表!AA41="○",[5]回答表!O88,""))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IF([5]回答表!X41="○",[5]回答表!O69,IF([5]回答表!AA41="○",[5]回答表!O89,""))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IF([5]回答表!AA41="○","○","")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IF([5]回答表!X41="○",[5]回答表!O70,IF([5]回答表!AA41="○",[5]回答表!O90,""))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IF([5]回答表!X41="○",[5]回答表!O71,IF([5]回答表!AA41="○",[5]回答表!O91,""))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IF([5]回答表!X41="○",[5]回答表!AG68,IF([5]回答表!AA41="○",[5]回答表!AG88,""))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IF([5]回答表!X41="○",[5]回答表!AG69,IF([5]回答表!AA41="○",[5]回答表!AG89,""))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IF([5]回答表!X41="○",[5]回答表!AG70,IF([5]回答表!AA41="○",[5]回答表!AG90,""))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IF([5]回答表!AD41="○","○","")</f>
        <v/>
      </c>
      <c r="O52" s="98"/>
      <c r="P52" s="98"/>
      <c r="Q52" s="99"/>
      <c r="R52" s="39"/>
      <c r="S52" s="39"/>
      <c r="T52" s="39"/>
      <c r="U52" s="106" t="str">
        <f>IF([5]回答表!AD41="○",[5]回答表!B96,"")</f>
        <v/>
      </c>
      <c r="V52" s="107"/>
      <c r="W52" s="107"/>
      <c r="X52" s="107"/>
      <c r="Y52" s="107"/>
      <c r="Z52" s="107"/>
      <c r="AA52" s="107"/>
      <c r="AB52" s="107"/>
      <c r="AC52" s="107"/>
      <c r="AD52" s="107"/>
      <c r="AE52" s="107"/>
      <c r="AF52" s="107"/>
      <c r="AG52" s="107"/>
      <c r="AH52" s="107"/>
      <c r="AI52" s="107"/>
      <c r="AJ52" s="108"/>
      <c r="AK52" s="56"/>
      <c r="AL52" s="56"/>
      <c r="AM52" s="106" t="str">
        <f>IF([5]回答表!AD41="○",[5]回答表!B101,"")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IF([5]回答表!X42="○","○","")</f>
        <v>○</v>
      </c>
      <c r="O63" s="98"/>
      <c r="P63" s="98"/>
      <c r="Q63" s="99"/>
      <c r="R63" s="39"/>
      <c r="S63" s="39"/>
      <c r="T63" s="39"/>
      <c r="U63" s="106" t="str">
        <f>IF([5]回答表!X42="○",[5]回答表!B111,IF([5]回答表!AA42="○",[5]回答表!B124,""))</f>
        <v>市立の介護保険施設を法人へ移譲、民営化したことにより、人件費の削減に繋がった。（人件費35,473千円の減）</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IF([5]回答表!X42="○",[5]回答表!S117,IF([5]回答表!AA42="○",[5]回答表!S130,""))</f>
        <v>平成</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IF([5]回答表!X42="○",[5]回答表!J117,IF([5]回答表!AA42="○",[5]回答表!J130,""))</f>
        <v>○</v>
      </c>
      <c r="AN66" s="119"/>
      <c r="AO66" s="119"/>
      <c r="AP66" s="119"/>
      <c r="AQ66" s="119"/>
      <c r="AR66" s="119"/>
      <c r="AS66" s="119"/>
      <c r="AT66" s="120"/>
      <c r="AU66" s="118">
        <f>IF([5]回答表!X42="○",[5]回答表!J118,IF([5]回答表!AA42="○",[5]回答表!J131,""))</f>
        <v>0</v>
      </c>
      <c r="AV66" s="119"/>
      <c r="AW66" s="119"/>
      <c r="AX66" s="119"/>
      <c r="AY66" s="119"/>
      <c r="AZ66" s="119"/>
      <c r="BA66" s="119"/>
      <c r="BB66" s="120"/>
      <c r="BC66" s="40"/>
      <c r="BD66" s="35"/>
      <c r="BE66" s="82">
        <f>IF([5]回答表!X42="○",[5]回答表!V117,IF([5]回答表!AA42="○",[5]回答表!V130,""))</f>
        <v>23</v>
      </c>
      <c r="BF66" s="83"/>
      <c r="BG66" s="83"/>
      <c r="BH66" s="83"/>
      <c r="BI66" s="82">
        <f>IF([5]回答表!X42="○",[5]回答表!V118,IF([5]回答表!AA42="○",[5]回答表!V131,""))</f>
        <v>4</v>
      </c>
      <c r="BJ66" s="83"/>
      <c r="BK66" s="83"/>
      <c r="BL66" s="83"/>
      <c r="BM66" s="82">
        <f>IF([5]回答表!X42="○",[5]回答表!V119,IF([5]回答表!AA42="○",[5]回答表!V132,""))</f>
        <v>1</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IF([5]回答表!AA42="○","○","")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IF([5]回答表!AD42="○","○","")</f>
        <v/>
      </c>
      <c r="O75" s="98"/>
      <c r="P75" s="98"/>
      <c r="Q75" s="99"/>
      <c r="R75" s="39"/>
      <c r="S75" s="39"/>
      <c r="T75" s="39"/>
      <c r="U75" s="106" t="str">
        <f>IF([5]回答表!AD42="○",[5]回答表!B137,"")</f>
        <v/>
      </c>
      <c r="V75" s="107"/>
      <c r="W75" s="107"/>
      <c r="X75" s="107"/>
      <c r="Y75" s="107"/>
      <c r="Z75" s="107"/>
      <c r="AA75" s="107"/>
      <c r="AB75" s="107"/>
      <c r="AC75" s="107"/>
      <c r="AD75" s="107"/>
      <c r="AE75" s="107"/>
      <c r="AF75" s="107"/>
      <c r="AG75" s="107"/>
      <c r="AH75" s="107"/>
      <c r="AI75" s="107"/>
      <c r="AJ75" s="108"/>
      <c r="AK75" s="56"/>
      <c r="AL75" s="56"/>
      <c r="AM75" s="106" t="str">
        <f>IF([5]回答表!AD42="○",[5]回答表!B143,"")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IF([5]回答表!F17="水道事業",IF([5]回答表!X43="○","○",""),"")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IF([5]回答表!F17="水道事業",IF([5]回答表!X43="○",[5]回答表!B154,IF([5]回答表!AA43="○",[5]回答表!B201,"")),"")</f>
        <v/>
      </c>
      <c r="AN87" s="107"/>
      <c r="AO87" s="107"/>
      <c r="AP87" s="107"/>
      <c r="AQ87" s="107"/>
      <c r="AR87" s="107"/>
      <c r="AS87" s="107"/>
      <c r="AT87" s="107"/>
      <c r="AU87" s="107"/>
      <c r="AV87" s="107"/>
      <c r="AW87" s="107"/>
      <c r="AX87" s="107"/>
      <c r="AY87" s="107"/>
      <c r="AZ87" s="107"/>
      <c r="BA87" s="107"/>
      <c r="BB87" s="108"/>
      <c r="BC87" s="40"/>
      <c r="BD87" s="35"/>
      <c r="BE87" s="115" t="str">
        <f>IF([5]回答表!F17="水道事業",IF([5]回答表!X43="○",[5]回答表!B190,IF([5]回答表!AA43="○",[5]回答表!B238,"")),"")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IF([5]回答表!F17="水道事業",IF([5]回答表!X43="○",[5]回答表!J162,IF([5]回答表!AA43="○",[5]回答表!J209,"")),"")</f>
        <v/>
      </c>
      <c r="V89" s="119"/>
      <c r="W89" s="119"/>
      <c r="X89" s="119"/>
      <c r="Y89" s="119"/>
      <c r="Z89" s="119"/>
      <c r="AA89" s="119"/>
      <c r="AB89" s="120"/>
      <c r="AC89" s="118" t="str">
        <f>IF([5]回答表!F17="水道事業",IF([5]回答表!X43="○",[5]回答表!J169,IF([5]回答表!AA43="○",[5]回答表!J216,"")),"")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IF([5]回答表!F17="水道事業",IF([5]回答表!X43="○",[5]回答表!E190,IF([5]回答表!AA43="○",[5]回答表!E238,"")),"")</f>
        <v/>
      </c>
      <c r="BF90" s="83"/>
      <c r="BG90" s="83"/>
      <c r="BH90" s="83"/>
      <c r="BI90" s="82" t="str">
        <f>IF([5]回答表!F17="水道事業",IF([5]回答表!X43="○",[5]回答表!E191,IF([5]回答表!AA43="○",[5]回答表!E239,"")),"")</f>
        <v/>
      </c>
      <c r="BJ90" s="83"/>
      <c r="BK90" s="83"/>
      <c r="BL90" s="83"/>
      <c r="BM90" s="82" t="str">
        <f>IF([5]回答表!F17="水道事業",IF([5]回答表!X43="○",[5]回答表!E192,IF([5]回答表!AA43="○",[5]回答表!E240,"")),"")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IF([5]回答表!F17="水道事業",IF([5]回答表!AA43="○","○",""),"")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IF([5]回答表!F17="水道事業",IF([5]回答表!X43="○",[5]回答表!J172,IF([5]回答表!AA43="○",[5]回答表!J219,"")),"")</f>
        <v/>
      </c>
      <c r="V94" s="119"/>
      <c r="W94" s="119"/>
      <c r="X94" s="119"/>
      <c r="Y94" s="119"/>
      <c r="Z94" s="119"/>
      <c r="AA94" s="119"/>
      <c r="AB94" s="120"/>
      <c r="AC94" s="118" t="str">
        <f>IF([5]回答表!F17="水道事業",IF([5]回答表!X43="○",[5]回答表!J176,IF([5]回答表!AA43="○",[5]回答表!J223,"")),"")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IF([5]回答表!F17="水道事業",IF([5]回答表!AD43="○","○",""),"")</f>
        <v/>
      </c>
      <c r="O99" s="98"/>
      <c r="P99" s="98"/>
      <c r="Q99" s="99"/>
      <c r="R99" s="39"/>
      <c r="S99" s="39"/>
      <c r="T99" s="39"/>
      <c r="U99" s="106" t="str">
        <f>IF([5]回答表!F17="水道事業",IF([5]回答表!AD43="○",[5]回答表!B249,""),"")</f>
        <v/>
      </c>
      <c r="V99" s="107"/>
      <c r="W99" s="107"/>
      <c r="X99" s="107"/>
      <c r="Y99" s="107"/>
      <c r="Z99" s="107"/>
      <c r="AA99" s="107"/>
      <c r="AB99" s="107"/>
      <c r="AC99" s="107"/>
      <c r="AD99" s="107"/>
      <c r="AE99" s="107"/>
      <c r="AF99" s="107"/>
      <c r="AG99" s="107"/>
      <c r="AH99" s="107"/>
      <c r="AI99" s="107"/>
      <c r="AJ99" s="108"/>
      <c r="AK99" s="56"/>
      <c r="AL99" s="56"/>
      <c r="AM99" s="106" t="str">
        <f>IF([5]回答表!F17="水道事業",IF([5]回答表!AD43="○",[5]回答表!B255,""),"")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IF([5]回答表!F17="簡易水道事業",IF([5]回答表!X43="○","○",""),"")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IF([5]回答表!F17="簡易水道事業",IF([5]回答表!X43="○",[5]回答表!B154,IF([5]回答表!AA43="○",[5]回答表!B201,"")),"")</f>
        <v/>
      </c>
      <c r="AN111" s="107"/>
      <c r="AO111" s="107"/>
      <c r="AP111" s="107"/>
      <c r="AQ111" s="107"/>
      <c r="AR111" s="107"/>
      <c r="AS111" s="107"/>
      <c r="AT111" s="107"/>
      <c r="AU111" s="107"/>
      <c r="AV111" s="107"/>
      <c r="AW111" s="107"/>
      <c r="AX111" s="107"/>
      <c r="AY111" s="107"/>
      <c r="AZ111" s="107"/>
      <c r="BA111" s="107"/>
      <c r="BB111" s="108"/>
      <c r="BC111" s="40"/>
      <c r="BD111" s="35"/>
      <c r="BE111" s="115" t="str">
        <f>IF([5]回答表!F17="簡易水道事業",IF([5]回答表!X43="○",[5]回答表!B190,IF([5]回答表!AA43="○",[5]回答表!B238,"")),"")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IF([5]回答表!F17="簡易水道事業",IF([5]回答表!X43="○",[5]回答表!Y181,IF([5]回答表!AA43="○",[5]回答表!Y229,"")),"")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IF([5]回答表!F17="簡易水道事業",IF([5]回答表!X43="○",[5]回答表!E190,IF([5]回答表!AA43="○",[5]回答表!E238,"")),"")</f>
        <v/>
      </c>
      <c r="BF114" s="83"/>
      <c r="BG114" s="83"/>
      <c r="BH114" s="83"/>
      <c r="BI114" s="82" t="str">
        <f>IF([5]回答表!F17="簡易水道事業",IF([5]回答表!X43="○",[5]回答表!E191,IF([5]回答表!AA43="○",[5]回答表!E239,"")),"")</f>
        <v/>
      </c>
      <c r="BJ114" s="83"/>
      <c r="BK114" s="83"/>
      <c r="BL114" s="83"/>
      <c r="BM114" s="82" t="str">
        <f>IF([5]回答表!F17="簡易水道事業",IF([5]回答表!X43="○",[5]回答表!E192,IF([5]回答表!AA43="○",[5]回答表!E240,"")),"")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IF([5]回答表!F17="簡易水道事業",IF([5]回答表!AA43="○","○",""),"")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IF([5]回答表!F17="簡易水道事業",IF([5]回答表!X43="○",[5]回答表!Y182,IF([5]回答表!AA43="○",[5]回答表!Y230,"")),"")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IF([5]回答表!F17="簡易水道事業",IF([5]回答表!AD43="○","○",""),"")</f>
        <v/>
      </c>
      <c r="O123" s="98"/>
      <c r="P123" s="98"/>
      <c r="Q123" s="99"/>
      <c r="R123" s="39"/>
      <c r="S123" s="39"/>
      <c r="T123" s="39"/>
      <c r="U123" s="106" t="str">
        <f>IF([5]回答表!F17="簡易水道事業",IF([5]回答表!AD43="○",[5]回答表!B249,""),"")</f>
        <v/>
      </c>
      <c r="V123" s="107"/>
      <c r="W123" s="107"/>
      <c r="X123" s="107"/>
      <c r="Y123" s="107"/>
      <c r="Z123" s="107"/>
      <c r="AA123" s="107"/>
      <c r="AB123" s="107"/>
      <c r="AC123" s="107"/>
      <c r="AD123" s="107"/>
      <c r="AE123" s="107"/>
      <c r="AF123" s="107"/>
      <c r="AG123" s="107"/>
      <c r="AH123" s="107"/>
      <c r="AI123" s="107"/>
      <c r="AJ123" s="108"/>
      <c r="AK123" s="56"/>
      <c r="AL123" s="56"/>
      <c r="AM123" s="106" t="str">
        <f>IF([5]回答表!F17="簡易水道事業",IF([5]回答表!AD43="○",[5]回答表!B255,""),"")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IF([5]回答表!F17="下水道事業",IF([5]回答表!X43="○","○",""),"")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IF([5]回答表!F17="下水道事業",IF([5]回答表!X43="○",[5]回答表!B154,IF([5]回答表!AA43="○",[5]回答表!B201,"")),"")</f>
        <v/>
      </c>
      <c r="AN135" s="107"/>
      <c r="AO135" s="107"/>
      <c r="AP135" s="107"/>
      <c r="AQ135" s="107"/>
      <c r="AR135" s="107"/>
      <c r="AS135" s="107"/>
      <c r="AT135" s="107"/>
      <c r="AU135" s="107"/>
      <c r="AV135" s="107"/>
      <c r="AW135" s="107"/>
      <c r="AX135" s="107"/>
      <c r="AY135" s="107"/>
      <c r="AZ135" s="107"/>
      <c r="BA135" s="107"/>
      <c r="BB135" s="108"/>
      <c r="BC135" s="40"/>
      <c r="BD135" s="35"/>
      <c r="BE135" s="115" t="str">
        <f>IF([5]回答表!F17="下水道事業",IF([5]回答表!X43="○",[5]回答表!B190,IF([5]回答表!AA43="○",[5]回答表!B238,"")),"")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IF([5]回答表!F17="下水道事業",IF([5]回答表!X43="○",[5]回答表!Y184,IF([5]回答表!AA43="○",[5]回答表!Y232,"")),"")</f>
        <v/>
      </c>
      <c r="V137" s="119"/>
      <c r="W137" s="119"/>
      <c r="X137" s="119"/>
      <c r="Y137" s="119"/>
      <c r="Z137" s="119"/>
      <c r="AA137" s="119"/>
      <c r="AB137" s="120"/>
      <c r="AC137" s="118" t="str">
        <f>IF([5]回答表!F17="下水道事業",IF([5]回答表!X43="○",[5]回答表!Y185,IF([5]回答表!AA43="○",[5]回答表!Y233,"")),"")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IF([5]回答表!F17="下水道事業",IF([5]回答表!X43="○",[5]回答表!E190,IF([5]回答表!AA43="○",[5]回答表!E238,"")),"")</f>
        <v/>
      </c>
      <c r="BF138" s="83"/>
      <c r="BG138" s="83"/>
      <c r="BH138" s="83"/>
      <c r="BI138" s="82" t="str">
        <f>IF([5]回答表!F17="下水道事業",IF([5]回答表!X43="○",[5]回答表!E191,IF([5]回答表!AA43="○",[5]回答表!E239,"")),"")</f>
        <v/>
      </c>
      <c r="BJ138" s="83"/>
      <c r="BK138" s="83"/>
      <c r="BL138" s="83"/>
      <c r="BM138" s="82" t="str">
        <f>IF([5]回答表!F17="下水道事業",IF([5]回答表!X43="○",[5]回答表!E192,IF([5]回答表!AA43="○",[5]回答表!E240,"")),"")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IF([5]回答表!F17="下水道事業",IF([5]回答表!AA43="○","○",""),"")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IF([5]回答表!F17="下水道事業",IF([5]回答表!X43="○",[5]回答表!Y186,IF([5]回答表!AA43="○",[5]回答表!Y234,"")),"")</f>
        <v/>
      </c>
      <c r="V142" s="119"/>
      <c r="W142" s="119"/>
      <c r="X142" s="119"/>
      <c r="Y142" s="119"/>
      <c r="Z142" s="119"/>
      <c r="AA142" s="119"/>
      <c r="AB142" s="120"/>
      <c r="AC142" s="118" t="str">
        <f>IF([5]回答表!F17="下水道事業",IF([5]回答表!X43="○",[5]回答表!Y187,IF([5]回答表!AA43="○",[5]回答表!Y235,"")),"")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IF([5]回答表!F17="下水道事業",IF([5]回答表!AD43="○","○",""),"")</f>
        <v/>
      </c>
      <c r="O147" s="98"/>
      <c r="P147" s="98"/>
      <c r="Q147" s="99"/>
      <c r="R147" s="39"/>
      <c r="S147" s="39"/>
      <c r="T147" s="39"/>
      <c r="U147" s="106" t="str">
        <f>IF([5]回答表!F17="下水道事業",IF([5]回答表!AD43="○",[5]回答表!B249,""),"")</f>
        <v/>
      </c>
      <c r="V147" s="107"/>
      <c r="W147" s="107"/>
      <c r="X147" s="107"/>
      <c r="Y147" s="107"/>
      <c r="Z147" s="107"/>
      <c r="AA147" s="107"/>
      <c r="AB147" s="107"/>
      <c r="AC147" s="107"/>
      <c r="AD147" s="107"/>
      <c r="AE147" s="107"/>
      <c r="AF147" s="107"/>
      <c r="AG147" s="107"/>
      <c r="AH147" s="107"/>
      <c r="AI147" s="107"/>
      <c r="AJ147" s="108"/>
      <c r="AK147" s="56"/>
      <c r="AL147" s="56"/>
      <c r="AM147" s="106" t="str">
        <f>IF([5]回答表!F17="下水道事業",IF([5]回答表!AD43="○",[5]回答表!B255,""),"")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IF([5]回答表!BD17="○",IF([5]回答表!X43="○","○",""),"")</f>
        <v/>
      </c>
      <c r="O159" s="98"/>
      <c r="P159" s="98"/>
      <c r="Q159" s="99"/>
      <c r="R159" s="39"/>
      <c r="S159" s="39"/>
      <c r="T159" s="39"/>
      <c r="U159" s="106" t="str">
        <f>IF([5]回答表!BD17="○",IF([5]回答表!X43="○",[5]回答表!B154,IF([5]回答表!AA43="○",[5]回答表!B201,"")),"")</f>
        <v/>
      </c>
      <c r="V159" s="107"/>
      <c r="W159" s="107"/>
      <c r="X159" s="107"/>
      <c r="Y159" s="107"/>
      <c r="Z159" s="107"/>
      <c r="AA159" s="107"/>
      <c r="AB159" s="107"/>
      <c r="AC159" s="107"/>
      <c r="AD159" s="107"/>
      <c r="AE159" s="107"/>
      <c r="AF159" s="107"/>
      <c r="AG159" s="107"/>
      <c r="AH159" s="107"/>
      <c r="AI159" s="107"/>
      <c r="AJ159" s="108"/>
      <c r="AK159" s="50"/>
      <c r="AL159" s="50"/>
      <c r="AM159" s="115" t="str">
        <f>IF([5]回答表!BD17="○",IF([5]回答表!X43="○",[5]回答表!B190,IF([5]回答表!AA43="○",[5]回答表!B238,"")),"")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IF([5]回答表!BD17="○",IF([5]回答表!X43="○",[5]回答表!E190,IF([5]回答表!AA43="○",[5]回答表!E238,"")),"")</f>
        <v/>
      </c>
      <c r="AN162" s="83"/>
      <c r="AO162" s="83"/>
      <c r="AP162" s="83"/>
      <c r="AQ162" s="82" t="str">
        <f>IF([5]回答表!BD17="○",IF([5]回答表!X43="○",[5]回答表!E191,IF([5]回答表!AA43="○",[5]回答表!E239,"")),"")</f>
        <v/>
      </c>
      <c r="AR162" s="83"/>
      <c r="AS162" s="83"/>
      <c r="AT162" s="83"/>
      <c r="AU162" s="82" t="str">
        <f>IF([5]回答表!BD17="○",IF([5]回答表!X43="○",[5]回答表!E192,IF([5]回答表!AA43="○",[5]回答表!E240,"")),"")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IF([5]回答表!BD17="○",IF([5]回答表!AA43="○","○",""),"")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IF([5]回答表!BD17="○",IF([5]回答表!AD43="○","○",""),"")</f>
        <v/>
      </c>
      <c r="O171" s="98"/>
      <c r="P171" s="98"/>
      <c r="Q171" s="99"/>
      <c r="R171" s="39"/>
      <c r="S171" s="39"/>
      <c r="T171" s="39"/>
      <c r="U171" s="106" t="str">
        <f>IF([5]回答表!BD17="○",IF([5]回答表!AD43="○",[5]回答表!B249,""),"")</f>
        <v/>
      </c>
      <c r="V171" s="107"/>
      <c r="W171" s="107"/>
      <c r="X171" s="107"/>
      <c r="Y171" s="107"/>
      <c r="Z171" s="107"/>
      <c r="AA171" s="107"/>
      <c r="AB171" s="107"/>
      <c r="AC171" s="107"/>
      <c r="AD171" s="107"/>
      <c r="AE171" s="107"/>
      <c r="AF171" s="107"/>
      <c r="AG171" s="107"/>
      <c r="AH171" s="107"/>
      <c r="AI171" s="107"/>
      <c r="AJ171" s="108"/>
      <c r="AK171" s="56"/>
      <c r="AL171" s="56"/>
      <c r="AM171" s="106" t="str">
        <f>IF([5]回答表!BD17="○",IF([5]回答表!AD43="○",[5]回答表!B255,""),"")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IF([5]回答表!X44="○","○","")</f>
        <v/>
      </c>
      <c r="O183" s="98"/>
      <c r="P183" s="98"/>
      <c r="Q183" s="99"/>
      <c r="R183" s="39"/>
      <c r="S183" s="39"/>
      <c r="T183" s="39"/>
      <c r="U183" s="106" t="str">
        <f>IF([5]回答表!X44="○",[5]回答表!B266,IF([5]回答表!AA44="○",[5]回答表!B283,""))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IF([5]回答表!X44="○",[5]回答表!U272,IF([5]回答表!AA44="○",[5]回答表!U289,""))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IF([5]回答表!X44="○",[5]回答表!G272,IF([5]回答表!AA44="○",[5]回答表!G289,""))</f>
        <v/>
      </c>
      <c r="AN186" s="119"/>
      <c r="AO186" s="119"/>
      <c r="AP186" s="119"/>
      <c r="AQ186" s="119"/>
      <c r="AR186" s="119"/>
      <c r="AS186" s="119"/>
      <c r="AT186" s="120"/>
      <c r="AU186" s="118" t="str">
        <f>IF([5]回答表!X44="○",[5]回答表!G273,IF([5]回答表!AA44="○",[5]回答表!G290,""))</f>
        <v/>
      </c>
      <c r="AV186" s="119"/>
      <c r="AW186" s="119"/>
      <c r="AX186" s="119"/>
      <c r="AY186" s="119"/>
      <c r="AZ186" s="119"/>
      <c r="BA186" s="119"/>
      <c r="BB186" s="120"/>
      <c r="BC186" s="40"/>
      <c r="BD186" s="35"/>
      <c r="BE186" s="82" t="str">
        <f>IF([5]回答表!X44="○",[5]回答表!X272,IF([5]回答表!AA44="○",[5]回答表!X289,""))</f>
        <v/>
      </c>
      <c r="BF186" s="83"/>
      <c r="BG186" s="83"/>
      <c r="BH186" s="83"/>
      <c r="BI186" s="82" t="str">
        <f>IF([5]回答表!X44="○",[5]回答表!X273,IF([5]回答表!AA44="○",[5]回答表!X290,""))</f>
        <v/>
      </c>
      <c r="BJ186" s="83"/>
      <c r="BK186" s="83"/>
      <c r="BL186" s="86"/>
      <c r="BM186" s="82" t="str">
        <f>IF([5]回答表!X44="○",[5]回答表!X274,IF([5]回答表!AA44="○",[5]回答表!X291,""))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IF([5]回答表!AA44="○","○","")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IF([5]回答表!AD44="○","○","")</f>
        <v/>
      </c>
      <c r="O195" s="98"/>
      <c r="P195" s="98"/>
      <c r="Q195" s="99"/>
      <c r="R195" s="39"/>
      <c r="S195" s="39"/>
      <c r="T195" s="39"/>
      <c r="U195" s="106" t="str">
        <f>IF([5]回答表!AD44="○",[5]回答表!B296,"")</f>
        <v/>
      </c>
      <c r="V195" s="107"/>
      <c r="W195" s="107"/>
      <c r="X195" s="107"/>
      <c r="Y195" s="107"/>
      <c r="Z195" s="107"/>
      <c r="AA195" s="107"/>
      <c r="AB195" s="107"/>
      <c r="AC195" s="107"/>
      <c r="AD195" s="107"/>
      <c r="AE195" s="107"/>
      <c r="AF195" s="107"/>
      <c r="AG195" s="107"/>
      <c r="AH195" s="107"/>
      <c r="AI195" s="107"/>
      <c r="AJ195" s="108"/>
      <c r="AK195" s="61"/>
      <c r="AL195" s="61"/>
      <c r="AM195" s="106" t="str">
        <f>IF([5]回答表!AD44="○",[5]回答表!B302,"")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IF([5]回答表!X45="○","○","")</f>
        <v/>
      </c>
      <c r="O207" s="98"/>
      <c r="P207" s="98"/>
      <c r="Q207" s="99"/>
      <c r="R207" s="39"/>
      <c r="S207" s="39"/>
      <c r="T207" s="39"/>
      <c r="U207" s="106" t="str">
        <f>IF([5]回答表!X45="○",[5]回答表!B314,IF([5]回答表!AA45="○",[5]回答表!B337,""))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IF([5]回答表!X45="○",[5]回答表!B320,"")</f>
        <v/>
      </c>
      <c r="AO207" s="164"/>
      <c r="AP207" s="164"/>
      <c r="AQ207" s="164"/>
      <c r="AR207" s="164"/>
      <c r="AS207" s="164"/>
      <c r="AT207" s="164"/>
      <c r="AU207" s="164"/>
      <c r="AV207" s="164"/>
      <c r="AW207" s="164"/>
      <c r="AX207" s="164"/>
      <c r="AY207" s="164"/>
      <c r="AZ207" s="164"/>
      <c r="BA207" s="164"/>
      <c r="BB207" s="165"/>
      <c r="BC207" s="40"/>
      <c r="BD207" s="35"/>
      <c r="BE207" s="115" t="str">
        <f>IF([5]回答表!X45="○",[5]回答表!B326,IF([5]回答表!AA45="○",[5]回答表!B343,""))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IF([5]回答表!X45="○",[5]回答表!E326,IF([5]回答表!AA45="○",[5]回答表!E343,""))</f>
        <v/>
      </c>
      <c r="BF210" s="83"/>
      <c r="BG210" s="83"/>
      <c r="BH210" s="83"/>
      <c r="BI210" s="82" t="str">
        <f>IF([5]回答表!X45="○",[5]回答表!E327,IF([5]回答表!AA45="○",[5]回答表!E344,""))</f>
        <v/>
      </c>
      <c r="BJ210" s="83"/>
      <c r="BK210" s="83"/>
      <c r="BL210" s="86"/>
      <c r="BM210" s="82" t="str">
        <f>IF([5]回答表!X45="○",[5]回答表!E328,IF([5]回答表!AA45="○",[5]回答表!E345,""))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IF([5]回答表!AA45="○","○","")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IF([5]回答表!AD45="○","○","")</f>
        <v/>
      </c>
      <c r="O219" s="98"/>
      <c r="P219" s="98"/>
      <c r="Q219" s="99"/>
      <c r="R219" s="39"/>
      <c r="S219" s="39"/>
      <c r="T219" s="39"/>
      <c r="U219" s="106" t="str">
        <f>IF([5]回答表!AD45="○",[5]回答表!B350,"")</f>
        <v/>
      </c>
      <c r="V219" s="107"/>
      <c r="W219" s="107"/>
      <c r="X219" s="107"/>
      <c r="Y219" s="107"/>
      <c r="Z219" s="107"/>
      <c r="AA219" s="107"/>
      <c r="AB219" s="107"/>
      <c r="AC219" s="107"/>
      <c r="AD219" s="107"/>
      <c r="AE219" s="107"/>
      <c r="AF219" s="107"/>
      <c r="AG219" s="107"/>
      <c r="AH219" s="107"/>
      <c r="AI219" s="107"/>
      <c r="AJ219" s="108"/>
      <c r="AK219" s="61"/>
      <c r="AL219" s="61"/>
      <c r="AM219" s="106" t="str">
        <f>IF([5]回答表!AD45="○",[5]回答表!B356,"")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IF([5]回答表!X46="○","○","")</f>
        <v/>
      </c>
      <c r="O231" s="98"/>
      <c r="P231" s="98"/>
      <c r="Q231" s="99"/>
      <c r="R231" s="39"/>
      <c r="S231" s="39"/>
      <c r="T231" s="39"/>
      <c r="U231" s="106" t="str">
        <f>IF([5]回答表!X46="○",[5]回答表!B368,IF([5]回答表!AA46="○",[5]回答表!B382,""))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IF([5]回答表!X46="○",[5]回答表!BC375,IF([5]回答表!AA46="○",[5]回答表!BC389,""))</f>
        <v/>
      </c>
      <c r="AR231" s="150"/>
      <c r="AS231" s="150"/>
      <c r="AT231" s="150"/>
      <c r="AU231" s="155" t="s">
        <v>63</v>
      </c>
      <c r="AV231" s="156"/>
      <c r="AW231" s="156"/>
      <c r="AX231" s="157"/>
      <c r="AY231" s="150" t="str">
        <f>IF([5]回答表!X46="○",[5]回答表!BC380,IF([5]回答表!AA46="○",[5]回答表!BC394,""))</f>
        <v/>
      </c>
      <c r="AZ231" s="150"/>
      <c r="BA231" s="150"/>
      <c r="BB231" s="150"/>
      <c r="BC231" s="40"/>
      <c r="BD231" s="35"/>
      <c r="BE231" s="115" t="str">
        <f>IF([5]回答表!X46="○",[5]回答表!S374,IF([5]回答表!AA46="○",[5]回答表!S388,""))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IF([5]回答表!X46="○",[5]回答表!BC376,IF([5]回答表!AA46="○",[5]回答表!BC390,""))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IF([5]回答表!X46="○",[5]回答表!V374,IF([5]回答表!AA46="○",[5]回答表!V388,""))</f>
        <v/>
      </c>
      <c r="BF234" s="83"/>
      <c r="BG234" s="83"/>
      <c r="BH234" s="83"/>
      <c r="BI234" s="82" t="str">
        <f>IF([5]回答表!X46="○",[5]回答表!V375,IF([5]回答表!AA46="○",[5]回答表!V389,""))</f>
        <v/>
      </c>
      <c r="BJ234" s="83"/>
      <c r="BK234" s="83"/>
      <c r="BL234" s="86"/>
      <c r="BM234" s="82" t="str">
        <f>IF([5]回答表!X46="○",[5]回答表!V376,IF([5]回答表!AA46="○",[5]回答表!V390,""))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IF([5]回答表!X46="○",[5]回答表!BC377,IF([5]回答表!AA46="○",[5]回答表!BC391,""))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IF([5]回答表!X46="○",[5]回答表!BC381,IF([5]回答表!AA46="○",[5]回答表!BC395,""))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IF([5]回答表!AA46="○","○","")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IF([5]回答表!X46="○",[5]回答表!BC378,IF([5]回答表!AA46="○",[5]回答表!BC392,""))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IF([5]回答表!X46="○",[5]回答表!BC379,IF([5]回答表!AA46="○",[5]回答表!BC393,""))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IF([5]回答表!AD46="○","○","")</f>
        <v/>
      </c>
      <c r="O243" s="98"/>
      <c r="P243" s="98"/>
      <c r="Q243" s="99"/>
      <c r="R243" s="39"/>
      <c r="S243" s="39"/>
      <c r="T243" s="39"/>
      <c r="U243" s="106" t="str">
        <f>IF([5]回答表!AD46="○",[5]回答表!B396,"")</f>
        <v/>
      </c>
      <c r="V243" s="107"/>
      <c r="W243" s="107"/>
      <c r="X243" s="107"/>
      <c r="Y243" s="107"/>
      <c r="Z243" s="107"/>
      <c r="AA243" s="107"/>
      <c r="AB243" s="107"/>
      <c r="AC243" s="107"/>
      <c r="AD243" s="107"/>
      <c r="AE243" s="107"/>
      <c r="AF243" s="107"/>
      <c r="AG243" s="107"/>
      <c r="AH243" s="107"/>
      <c r="AI243" s="107"/>
      <c r="AJ243" s="108"/>
      <c r="AK243" s="56"/>
      <c r="AL243" s="56"/>
      <c r="AM243" s="106" t="str">
        <f>IF([5]回答表!AD46="○",[5]回答表!B402,"")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IF([5]回答表!X47="○","○","")</f>
        <v/>
      </c>
      <c r="O254" s="98"/>
      <c r="P254" s="98"/>
      <c r="Q254" s="99"/>
      <c r="R254" s="39"/>
      <c r="S254" s="39"/>
      <c r="T254" s="39"/>
      <c r="U254" s="106" t="str">
        <f>IF([5]回答表!X47="○",[5]回答表!B414,IF([5]回答表!AA47="○",[5]回答表!B431,""))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IF([5]回答表!X47="○",[5]回答表!B424,IF([5]回答表!AA47="○",[5]回答表!B441,""))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IF([5]回答表!X47="○",[5]回答表!G420,IF([5]回答表!AA47="○",[5]回答表!G437,""))</f>
        <v/>
      </c>
      <c r="AN256" s="119"/>
      <c r="AO256" s="119"/>
      <c r="AP256" s="119"/>
      <c r="AQ256" s="119"/>
      <c r="AR256" s="119"/>
      <c r="AS256" s="119"/>
      <c r="AT256" s="120"/>
      <c r="AU256" s="118" t="str">
        <f>IF([5]回答表!X47="○",[5]回答表!G421,IF([5]回答表!AA47="○",[5]回答表!G438,""))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IF([5]回答表!X47="○",[5]回答表!E424,IF([5]回答表!AA47="○",[5]回答表!E441,""))</f>
        <v/>
      </c>
      <c r="BF257" s="83"/>
      <c r="BG257" s="83"/>
      <c r="BH257" s="83"/>
      <c r="BI257" s="82" t="str">
        <f>IF([5]回答表!X47="○",[5]回答表!E425,IF([5]回答表!AA47="○",[5]回答表!E442,""))</f>
        <v/>
      </c>
      <c r="BJ257" s="83"/>
      <c r="BK257" s="83"/>
      <c r="BL257" s="86"/>
      <c r="BM257" s="82" t="str">
        <f>IF([5]回答表!X47="○",[5]回答表!E426,IF([5]回答表!AA47="○",[5]回答表!E443,""))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IF([5]回答表!AA47="○","○","")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IF([5]回答表!AD47="○","○","")</f>
        <v/>
      </c>
      <c r="O266" s="98"/>
      <c r="P266" s="98"/>
      <c r="Q266" s="99"/>
      <c r="R266" s="39"/>
      <c r="S266" s="39"/>
      <c r="T266" s="39"/>
      <c r="U266" s="106" t="str">
        <f>IF([5]回答表!AD47="○",[5]回答表!B448,"")</f>
        <v/>
      </c>
      <c r="V266" s="107"/>
      <c r="W266" s="107"/>
      <c r="X266" s="107"/>
      <c r="Y266" s="107"/>
      <c r="Z266" s="107"/>
      <c r="AA266" s="107"/>
      <c r="AB266" s="107"/>
      <c r="AC266" s="107"/>
      <c r="AD266" s="107"/>
      <c r="AE266" s="107"/>
      <c r="AF266" s="107"/>
      <c r="AG266" s="107"/>
      <c r="AH266" s="107"/>
      <c r="AI266" s="107"/>
      <c r="AJ266" s="108"/>
      <c r="AK266" s="50"/>
      <c r="AL266" s="50"/>
      <c r="AM266" s="106" t="str">
        <f>IF([5]回答表!AD47="○",[5]回答表!B454,"")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IF([5]回答表!R48="○",[5]回答表!B467,"")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BE207:BH209"/>
    <mergeCell ref="BI207:BL209"/>
    <mergeCell ref="BM207:BP209"/>
    <mergeCell ref="BI135:BL137"/>
    <mergeCell ref="BM135:BP137"/>
    <mergeCell ref="C275:BQ277"/>
    <mergeCell ref="D279:BP297"/>
    <mergeCell ref="BE87:BH89"/>
    <mergeCell ref="BI87:BL89"/>
    <mergeCell ref="BM87:BP89"/>
    <mergeCell ref="BE90:BH93"/>
    <mergeCell ref="D52:M55"/>
    <mergeCell ref="N52:Q55"/>
    <mergeCell ref="U52:AJ55"/>
    <mergeCell ref="AM52:BP55"/>
    <mergeCell ref="BI36:BL38"/>
    <mergeCell ref="BM36:BP38"/>
    <mergeCell ref="AM38:AT40"/>
    <mergeCell ref="AU38:BB40"/>
    <mergeCell ref="BE214:BH216"/>
    <mergeCell ref="BI214:BL216"/>
    <mergeCell ref="BM214:BP216"/>
    <mergeCell ref="BE210:BH213"/>
    <mergeCell ref="BI210:BL213"/>
    <mergeCell ref="BM210:BP213"/>
    <mergeCell ref="BI111:BL113"/>
    <mergeCell ref="BM111:BP113"/>
    <mergeCell ref="BI114:BL117"/>
    <mergeCell ref="BM114:BP117"/>
    <mergeCell ref="BI118:BL120"/>
    <mergeCell ref="BM118:BP120"/>
    <mergeCell ref="BE135:BH137"/>
    <mergeCell ref="BI90:BL93"/>
    <mergeCell ref="BM90:BP93"/>
    <mergeCell ref="BE94:BH96"/>
    <mergeCell ref="D36:M39"/>
    <mergeCell ref="N36:Q39"/>
    <mergeCell ref="U36:AJ47"/>
    <mergeCell ref="AM36:AT37"/>
    <mergeCell ref="BF8:BP10"/>
    <mergeCell ref="BF11:BP13"/>
    <mergeCell ref="AM24:AS26"/>
    <mergeCell ref="AT24:AZ26"/>
    <mergeCell ref="U8:AN10"/>
    <mergeCell ref="U11:AN13"/>
    <mergeCell ref="D24:J26"/>
    <mergeCell ref="K24:Q26"/>
    <mergeCell ref="D18:AZ19"/>
    <mergeCell ref="D20:J23"/>
    <mergeCell ref="K20:Q23"/>
    <mergeCell ref="R20:X23"/>
    <mergeCell ref="Y20:AZ22"/>
    <mergeCell ref="D32:Q33"/>
    <mergeCell ref="R32:BB33"/>
    <mergeCell ref="BM39:BP42"/>
    <mergeCell ref="BM43:BP45"/>
    <mergeCell ref="C8:T10"/>
    <mergeCell ref="D44:M47"/>
    <mergeCell ref="N44:Q47"/>
    <mergeCell ref="BE39:BH42"/>
    <mergeCell ref="BI39:BL42"/>
    <mergeCell ref="BE43:BH45"/>
    <mergeCell ref="BI43:BL45"/>
    <mergeCell ref="AO44:BB44"/>
    <mergeCell ref="AO45:BB45"/>
    <mergeCell ref="AO46:BB46"/>
    <mergeCell ref="R24:X26"/>
    <mergeCell ref="Y24:AE26"/>
    <mergeCell ref="AF24:AL26"/>
    <mergeCell ref="BB20:BJ23"/>
    <mergeCell ref="BB24:BJ26"/>
    <mergeCell ref="AU36:BB37"/>
    <mergeCell ref="BE36:BH38"/>
    <mergeCell ref="AO11:BE13"/>
    <mergeCell ref="AO8:BE10"/>
    <mergeCell ref="AR31:BB31"/>
    <mergeCell ref="Y23:AE23"/>
    <mergeCell ref="AF23:AL23"/>
    <mergeCell ref="AM23:AS23"/>
    <mergeCell ref="AT23:AZ23"/>
    <mergeCell ref="D59:Q60"/>
    <mergeCell ref="R59:BB60"/>
    <mergeCell ref="D63:M66"/>
    <mergeCell ref="N63:Q66"/>
    <mergeCell ref="U63:AJ72"/>
    <mergeCell ref="AM63:AT65"/>
    <mergeCell ref="AU63:BB65"/>
    <mergeCell ref="D69:M72"/>
    <mergeCell ref="N69:Q72"/>
    <mergeCell ref="BI63:BL65"/>
    <mergeCell ref="BM63:BP65"/>
    <mergeCell ref="AM66:AT68"/>
    <mergeCell ref="AU66:BB68"/>
    <mergeCell ref="BE66:BH69"/>
    <mergeCell ref="AO47:BB47"/>
    <mergeCell ref="AO48:BB48"/>
    <mergeCell ref="AM42:AN42"/>
    <mergeCell ref="AM43:AN43"/>
    <mergeCell ref="AM44:AN44"/>
    <mergeCell ref="AM45:AN45"/>
    <mergeCell ref="AO42:BB42"/>
    <mergeCell ref="AO43:BB43"/>
    <mergeCell ref="AM46:AN46"/>
    <mergeCell ref="AM47:AN47"/>
    <mergeCell ref="AR58:BB58"/>
    <mergeCell ref="BI66:BL69"/>
    <mergeCell ref="BM66:BP69"/>
    <mergeCell ref="BE70:BH72"/>
    <mergeCell ref="BI70:BL72"/>
    <mergeCell ref="BM70:BP72"/>
    <mergeCell ref="D87:M90"/>
    <mergeCell ref="N87:Q90"/>
    <mergeCell ref="U87:AB88"/>
    <mergeCell ref="AC87:AJ88"/>
    <mergeCell ref="AM87:BB96"/>
    <mergeCell ref="D75:M78"/>
    <mergeCell ref="N75:Q78"/>
    <mergeCell ref="U75:AJ78"/>
    <mergeCell ref="AM75:BP78"/>
    <mergeCell ref="BI94:BL96"/>
    <mergeCell ref="BM94:BP96"/>
    <mergeCell ref="AR81:BB82"/>
    <mergeCell ref="BE138:BH141"/>
    <mergeCell ref="BI138:BL141"/>
    <mergeCell ref="BM138:BP141"/>
    <mergeCell ref="U140:AB141"/>
    <mergeCell ref="AC140:AJ141"/>
    <mergeCell ref="D93:M96"/>
    <mergeCell ref="N93:Q96"/>
    <mergeCell ref="U94:AB96"/>
    <mergeCell ref="AC94:AJ96"/>
    <mergeCell ref="U92:AB93"/>
    <mergeCell ref="AC92:AJ93"/>
    <mergeCell ref="AR129:BB130"/>
    <mergeCell ref="D131:Q132"/>
    <mergeCell ref="R131:BB132"/>
    <mergeCell ref="D135:M138"/>
    <mergeCell ref="N135:Q138"/>
    <mergeCell ref="U135:AB136"/>
    <mergeCell ref="AC135:AJ136"/>
    <mergeCell ref="AM135:BB144"/>
    <mergeCell ref="D141:M144"/>
    <mergeCell ref="N141:Q144"/>
    <mergeCell ref="U137:AB139"/>
    <mergeCell ref="AC137:AJ139"/>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D195:M198"/>
    <mergeCell ref="N195:Q198"/>
    <mergeCell ref="U195:AJ198"/>
    <mergeCell ref="AM195:BP198"/>
    <mergeCell ref="BI183:BL185"/>
    <mergeCell ref="BM183:BP185"/>
    <mergeCell ref="BE183:BH185"/>
    <mergeCell ref="D189:M192"/>
    <mergeCell ref="N189:Q192"/>
    <mergeCell ref="BE190:BH192"/>
    <mergeCell ref="BI190:BL192"/>
    <mergeCell ref="BM190:BP192"/>
    <mergeCell ref="AM186:AT188"/>
    <mergeCell ref="AU186:BB188"/>
    <mergeCell ref="BE186:BH189"/>
    <mergeCell ref="BI186:BL189"/>
    <mergeCell ref="BM186:BP189"/>
    <mergeCell ref="D183:M186"/>
    <mergeCell ref="N183:Q186"/>
    <mergeCell ref="U183:AJ192"/>
    <mergeCell ref="AM183:AT185"/>
    <mergeCell ref="AU183:BB185"/>
    <mergeCell ref="D266:M269"/>
    <mergeCell ref="N266:Q269"/>
    <mergeCell ref="U266:AJ269"/>
    <mergeCell ref="AM266:BP269"/>
    <mergeCell ref="BE254:BH256"/>
    <mergeCell ref="BI254:BL256"/>
    <mergeCell ref="AY231:BB235"/>
    <mergeCell ref="BE231:BH233"/>
    <mergeCell ref="BI231:BL233"/>
    <mergeCell ref="BM231:BP233"/>
    <mergeCell ref="AM233:AP234"/>
    <mergeCell ref="AQ233:AT234"/>
    <mergeCell ref="BE234:BH237"/>
    <mergeCell ref="BI234:BL237"/>
    <mergeCell ref="BM234:BP237"/>
    <mergeCell ref="AM235:AP236"/>
    <mergeCell ref="N231:Q234"/>
    <mergeCell ref="U231:AJ240"/>
    <mergeCell ref="AM231:AP232"/>
    <mergeCell ref="AQ231:AT232"/>
    <mergeCell ref="AU231:AX235"/>
    <mergeCell ref="AQ235:AT236"/>
    <mergeCell ref="AU236:AX240"/>
    <mergeCell ref="BM254:BP256"/>
    <mergeCell ref="AM256:AT258"/>
    <mergeCell ref="AU256:BB258"/>
    <mergeCell ref="BE257:BH260"/>
    <mergeCell ref="BI257:BL260"/>
    <mergeCell ref="BM257:BP260"/>
    <mergeCell ref="C11:T13"/>
    <mergeCell ref="BE261:BH263"/>
    <mergeCell ref="BI261:BL263"/>
    <mergeCell ref="BM261:BP263"/>
    <mergeCell ref="D219:M222"/>
    <mergeCell ref="N219:Q222"/>
    <mergeCell ref="U219:AJ222"/>
    <mergeCell ref="AM219:BP222"/>
    <mergeCell ref="AR225:BB226"/>
    <mergeCell ref="D227:Q228"/>
    <mergeCell ref="R227:BB228"/>
    <mergeCell ref="D213:M216"/>
    <mergeCell ref="N213:Q216"/>
    <mergeCell ref="AR201:BB202"/>
    <mergeCell ref="D203:Q204"/>
    <mergeCell ref="R203:BB204"/>
    <mergeCell ref="D207:M210"/>
    <mergeCell ref="N207:Q210"/>
    <mergeCell ref="AR249:BB249"/>
    <mergeCell ref="D250:Q251"/>
    <mergeCell ref="R250:BB251"/>
    <mergeCell ref="D254:M257"/>
    <mergeCell ref="N254:Q257"/>
    <mergeCell ref="U254:AJ263"/>
    <mergeCell ref="AM254:AT255"/>
    <mergeCell ref="AU254:BB255"/>
    <mergeCell ref="D260:M263"/>
    <mergeCell ref="N260:Q263"/>
    <mergeCell ref="D117:M120"/>
    <mergeCell ref="N117:Q120"/>
    <mergeCell ref="BE118:BH120"/>
    <mergeCell ref="D243:M246"/>
    <mergeCell ref="N243:Q246"/>
    <mergeCell ref="U243:AJ246"/>
    <mergeCell ref="AM243:BP246"/>
    <mergeCell ref="AY236:BB240"/>
    <mergeCell ref="D237:M240"/>
    <mergeCell ref="N237:Q240"/>
    <mergeCell ref="AM237:AP238"/>
    <mergeCell ref="AQ237:AT238"/>
    <mergeCell ref="BE238:BH240"/>
    <mergeCell ref="BI238:BL240"/>
    <mergeCell ref="AM239:AP240"/>
    <mergeCell ref="AQ239:AT240"/>
    <mergeCell ref="D123:M126"/>
    <mergeCell ref="N123:Q126"/>
    <mergeCell ref="U123:AJ126"/>
    <mergeCell ref="AM123:BP126"/>
    <mergeCell ref="BM238:BP240"/>
    <mergeCell ref="D231:M234"/>
    <mergeCell ref="U207:AJ216"/>
    <mergeCell ref="AN207:BB216"/>
    <mergeCell ref="AM48:AN48"/>
    <mergeCell ref="U111:AJ112"/>
    <mergeCell ref="U116:AJ117"/>
    <mergeCell ref="U118:AJ120"/>
    <mergeCell ref="U113:AJ115"/>
    <mergeCell ref="AR105:BB106"/>
    <mergeCell ref="AM111:BB120"/>
    <mergeCell ref="BE111:BH113"/>
    <mergeCell ref="BE114:BH117"/>
    <mergeCell ref="U89:AB91"/>
    <mergeCell ref="AC89:AJ91"/>
    <mergeCell ref="BE63:BH65"/>
    <mergeCell ref="D83:Q84"/>
    <mergeCell ref="R83:BB84"/>
    <mergeCell ref="D107:Q108"/>
    <mergeCell ref="R107:BB108"/>
    <mergeCell ref="D111:M114"/>
    <mergeCell ref="N111:Q114"/>
    <mergeCell ref="D99:M102"/>
    <mergeCell ref="N99:Q102"/>
    <mergeCell ref="U99:AJ102"/>
    <mergeCell ref="AM99:BP102"/>
  </mergeCells>
  <phoneticPr fontId="2"/>
  <conditionalFormatting sqref="A29:XFD30 A28:BI28 BR28:XFD28">
    <cfRule type="expression" dxfId="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E0A36-74B4-451D-AEE3-C15C28DA1F2C}">
  <sheetPr>
    <pageSetUpPr fitToPage="1"/>
  </sheetPr>
  <dimension ref="A1:CE298"/>
  <sheetViews>
    <sheetView showZeros="0" zoomScale="55" zoomScaleNormal="55" workbookViewId="0">
      <selection activeCell="BG29" sqref="BG29"/>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IF(COUNTIF([7]回答表!K15,"*")&gt;0,[7]回答表!K15,"")</f>
        <v>大仙市</v>
      </c>
      <c r="D11" s="264"/>
      <c r="E11" s="264"/>
      <c r="F11" s="264"/>
      <c r="G11" s="264"/>
      <c r="H11" s="264"/>
      <c r="I11" s="264"/>
      <c r="J11" s="264"/>
      <c r="K11" s="264"/>
      <c r="L11" s="264"/>
      <c r="M11" s="264"/>
      <c r="N11" s="264"/>
      <c r="O11" s="264"/>
      <c r="P11" s="264"/>
      <c r="Q11" s="264"/>
      <c r="R11" s="264"/>
      <c r="S11" s="264"/>
      <c r="T11" s="264"/>
      <c r="U11" s="271" t="str">
        <f>IF(COUNTIF([7]回答表!F17,"*")&gt;0,[7]回答表!F17,"")</f>
        <v>介護サービス事業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IF(COUNTIF([7]回答表!W17,"*")&gt;0,[7]回答表!W17,"")</f>
        <v>介護老人保健施設</v>
      </c>
      <c r="AP11" s="266"/>
      <c r="AQ11" s="266"/>
      <c r="AR11" s="266"/>
      <c r="AS11" s="266"/>
      <c r="AT11" s="266"/>
      <c r="AU11" s="266"/>
      <c r="AV11" s="266"/>
      <c r="AW11" s="266"/>
      <c r="AX11" s="266"/>
      <c r="AY11" s="266"/>
      <c r="AZ11" s="266"/>
      <c r="BA11" s="266"/>
      <c r="BB11" s="266"/>
      <c r="BC11" s="266"/>
      <c r="BD11" s="266"/>
      <c r="BE11" s="267"/>
      <c r="BF11" s="270" t="str">
        <f>IF(COUNTIF([7]回答表!F19,"*")&gt;0,[7]回答表!F19,"")</f>
        <v>介護老人保健施設介護サービス事業特別会計</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IF([7]回答表!R41="○","○","")</f>
        <v/>
      </c>
      <c r="E24" s="122"/>
      <c r="F24" s="122"/>
      <c r="G24" s="122"/>
      <c r="H24" s="122"/>
      <c r="I24" s="122"/>
      <c r="J24" s="123"/>
      <c r="K24" s="121" t="str">
        <f>IF([7]回答表!R42="○","○","")</f>
        <v>○</v>
      </c>
      <c r="L24" s="122"/>
      <c r="M24" s="122"/>
      <c r="N24" s="122"/>
      <c r="O24" s="122"/>
      <c r="P24" s="122"/>
      <c r="Q24" s="123"/>
      <c r="R24" s="121" t="str">
        <f>IF([7]回答表!R43="○","○","")</f>
        <v/>
      </c>
      <c r="S24" s="122"/>
      <c r="T24" s="122"/>
      <c r="U24" s="122"/>
      <c r="V24" s="122"/>
      <c r="W24" s="122"/>
      <c r="X24" s="123"/>
      <c r="Y24" s="121" t="str">
        <f>IF([7]回答表!R44="○","○","")</f>
        <v/>
      </c>
      <c r="Z24" s="122"/>
      <c r="AA24" s="122"/>
      <c r="AB24" s="122"/>
      <c r="AC24" s="122"/>
      <c r="AD24" s="122"/>
      <c r="AE24" s="123"/>
      <c r="AF24" s="121" t="str">
        <f>IF([7]回答表!R45="○","○","")</f>
        <v/>
      </c>
      <c r="AG24" s="122"/>
      <c r="AH24" s="122"/>
      <c r="AI24" s="122"/>
      <c r="AJ24" s="122"/>
      <c r="AK24" s="122"/>
      <c r="AL24" s="123"/>
      <c r="AM24" s="121" t="str">
        <f>IF([7]回答表!R46="○","○","")</f>
        <v/>
      </c>
      <c r="AN24" s="122"/>
      <c r="AO24" s="122"/>
      <c r="AP24" s="122"/>
      <c r="AQ24" s="122"/>
      <c r="AR24" s="122"/>
      <c r="AS24" s="123"/>
      <c r="AT24" s="121" t="str">
        <f>IF([7]回答表!R47="○","○","")</f>
        <v/>
      </c>
      <c r="AU24" s="122"/>
      <c r="AV24" s="122"/>
      <c r="AW24" s="122"/>
      <c r="AX24" s="122"/>
      <c r="AY24" s="122"/>
      <c r="AZ24" s="123"/>
      <c r="BA24" s="19"/>
      <c r="BB24" s="118" t="str">
        <f>IF([7]回答表!R48="○","○","")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IF([7]回答表!X41="○","○","")</f>
        <v/>
      </c>
      <c r="O36" s="98"/>
      <c r="P36" s="98"/>
      <c r="Q36" s="99"/>
      <c r="R36" s="39"/>
      <c r="S36" s="39"/>
      <c r="T36" s="39"/>
      <c r="U36" s="106" t="str">
        <f>IF([7]回答表!X41="○",[7]回答表!B56,IF([7]回答表!AA41="○",[7]回答表!B76,""))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IF([7]回答表!X41="○",[7]回答表!S62,IF([7]回答表!AA41="○",[7]回答表!S82,""))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IF([7]回答表!X41="○",[7]回答表!G62,IF([7]回答表!AA41="○",[7]回答表!G82,""))</f>
        <v/>
      </c>
      <c r="AN38" s="119"/>
      <c r="AO38" s="119"/>
      <c r="AP38" s="119"/>
      <c r="AQ38" s="119"/>
      <c r="AR38" s="119"/>
      <c r="AS38" s="119"/>
      <c r="AT38" s="120"/>
      <c r="AU38" s="118" t="str">
        <f>IF([7]回答表!X41="○",[7]回答表!G63,IF([7]回答表!AA41="○",[7]回答表!G83,""))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IF([7]回答表!X41="○",[7]回答表!V62,IF([7]回答表!AA41="○",[7]回答表!V82,""))</f>
        <v/>
      </c>
      <c r="BF39" s="217"/>
      <c r="BG39" s="217"/>
      <c r="BH39" s="218"/>
      <c r="BI39" s="82" t="str">
        <f>IF([7]回答表!X41="○",[7]回答表!V63,IF([7]回答表!AA41="○",[7]回答表!V83,""))</f>
        <v/>
      </c>
      <c r="BJ39" s="217"/>
      <c r="BK39" s="217"/>
      <c r="BL39" s="218"/>
      <c r="BM39" s="82" t="str">
        <f>IF([7]回答表!X41="○",[7]回答表!V64,IF([7]回答表!AA41="○",[7]回答表!V84,""))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IF([7]回答表!X41="○",[7]回答表!O68,IF([7]回答表!AA41="○",[7]回答表!O88,""))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IF([7]回答表!X41="○",[7]回答表!O69,IF([7]回答表!AA41="○",[7]回答表!O89,""))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IF([7]回答表!AA41="○","○","")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IF([7]回答表!X41="○",[7]回答表!O70,IF([7]回答表!AA41="○",[7]回答表!O90,""))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IF([7]回答表!X41="○",[7]回答表!O71,IF([7]回答表!AA41="○",[7]回答表!O91,""))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IF([7]回答表!X41="○",[7]回答表!AG68,IF([7]回答表!AA41="○",[7]回答表!AG88,""))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IF([7]回答表!X41="○",[7]回答表!AG69,IF([7]回答表!AA41="○",[7]回答表!AG89,""))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IF([7]回答表!X41="○",[7]回答表!AG70,IF([7]回答表!AA41="○",[7]回答表!AG90,""))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IF([7]回答表!AD41="○","○","")</f>
        <v/>
      </c>
      <c r="O52" s="98"/>
      <c r="P52" s="98"/>
      <c r="Q52" s="99"/>
      <c r="R52" s="39"/>
      <c r="S52" s="39"/>
      <c r="T52" s="39"/>
      <c r="U52" s="106" t="str">
        <f>IF([7]回答表!AD41="○",[7]回答表!B96,"")</f>
        <v/>
      </c>
      <c r="V52" s="107"/>
      <c r="W52" s="107"/>
      <c r="X52" s="107"/>
      <c r="Y52" s="107"/>
      <c r="Z52" s="107"/>
      <c r="AA52" s="107"/>
      <c r="AB52" s="107"/>
      <c r="AC52" s="107"/>
      <c r="AD52" s="107"/>
      <c r="AE52" s="107"/>
      <c r="AF52" s="107"/>
      <c r="AG52" s="107"/>
      <c r="AH52" s="107"/>
      <c r="AI52" s="107"/>
      <c r="AJ52" s="108"/>
      <c r="AK52" s="56"/>
      <c r="AL52" s="56"/>
      <c r="AM52" s="106" t="str">
        <f>IF([7]回答表!AD41="○",[7]回答表!B101,"")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IF([7]回答表!X42="○","○","")</f>
        <v>○</v>
      </c>
      <c r="O63" s="98"/>
      <c r="P63" s="98"/>
      <c r="Q63" s="99"/>
      <c r="R63" s="39"/>
      <c r="S63" s="39"/>
      <c r="T63" s="39"/>
      <c r="U63" s="106" t="str">
        <f>IF([7]回答表!X42="○",[7]回答表!B111,IF([7]回答表!AA42="○",[7]回答表!B124,""))</f>
        <v>市立の介護保険施設を法人へ移譲、民営化したことにより、人件費の削減に繋がった。（人件費41,815千円の減）</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IF([7]回答表!X42="○",[7]回答表!S117,IF([7]回答表!AA42="○",[7]回答表!S130,""))</f>
        <v>平成</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IF([7]回答表!X42="○",[7]回答表!J117,IF([7]回答表!AA42="○",[7]回答表!J130,""))</f>
        <v>○</v>
      </c>
      <c r="AN66" s="119"/>
      <c r="AO66" s="119"/>
      <c r="AP66" s="119"/>
      <c r="AQ66" s="119"/>
      <c r="AR66" s="119"/>
      <c r="AS66" s="119"/>
      <c r="AT66" s="120"/>
      <c r="AU66" s="118">
        <f>IF([7]回答表!X42="○",[7]回答表!J118,IF([7]回答表!AA42="○",[7]回答表!J131,""))</f>
        <v>0</v>
      </c>
      <c r="AV66" s="119"/>
      <c r="AW66" s="119"/>
      <c r="AX66" s="119"/>
      <c r="AY66" s="119"/>
      <c r="AZ66" s="119"/>
      <c r="BA66" s="119"/>
      <c r="BB66" s="120"/>
      <c r="BC66" s="40"/>
      <c r="BD66" s="35"/>
      <c r="BE66" s="82">
        <f>IF([7]回答表!X42="○",[7]回答表!V117,IF([7]回答表!AA42="○",[7]回答表!V130,""))</f>
        <v>24</v>
      </c>
      <c r="BF66" s="83"/>
      <c r="BG66" s="83"/>
      <c r="BH66" s="83"/>
      <c r="BI66" s="82">
        <f>IF([7]回答表!X42="○",[7]回答表!V118,IF([7]回答表!AA42="○",[7]回答表!V131,""))</f>
        <v>4</v>
      </c>
      <c r="BJ66" s="83"/>
      <c r="BK66" s="83"/>
      <c r="BL66" s="83"/>
      <c r="BM66" s="82">
        <f>IF([7]回答表!X42="○",[7]回答表!V119,IF([7]回答表!AA42="○",[7]回答表!V132,""))</f>
        <v>1</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IF([7]回答表!AA42="○","○","")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IF([7]回答表!AD42="○","○","")</f>
        <v/>
      </c>
      <c r="O75" s="98"/>
      <c r="P75" s="98"/>
      <c r="Q75" s="99"/>
      <c r="R75" s="39"/>
      <c r="S75" s="39"/>
      <c r="T75" s="39"/>
      <c r="U75" s="106" t="str">
        <f>IF([7]回答表!AD42="○",[7]回答表!B137,"")</f>
        <v/>
      </c>
      <c r="V75" s="107"/>
      <c r="W75" s="107"/>
      <c r="X75" s="107"/>
      <c r="Y75" s="107"/>
      <c r="Z75" s="107"/>
      <c r="AA75" s="107"/>
      <c r="AB75" s="107"/>
      <c r="AC75" s="107"/>
      <c r="AD75" s="107"/>
      <c r="AE75" s="107"/>
      <c r="AF75" s="107"/>
      <c r="AG75" s="107"/>
      <c r="AH75" s="107"/>
      <c r="AI75" s="107"/>
      <c r="AJ75" s="108"/>
      <c r="AK75" s="56"/>
      <c r="AL75" s="56"/>
      <c r="AM75" s="106" t="str">
        <f>IF([7]回答表!AD42="○",[7]回答表!B143,"")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IF([7]回答表!F17="水道事業",IF([7]回答表!X43="○","○",""),"")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IF([7]回答表!F17="水道事業",IF([7]回答表!X43="○",[7]回答表!B154,IF([7]回答表!AA43="○",[7]回答表!B201,"")),"")</f>
        <v/>
      </c>
      <c r="AN87" s="107"/>
      <c r="AO87" s="107"/>
      <c r="AP87" s="107"/>
      <c r="AQ87" s="107"/>
      <c r="AR87" s="107"/>
      <c r="AS87" s="107"/>
      <c r="AT87" s="107"/>
      <c r="AU87" s="107"/>
      <c r="AV87" s="107"/>
      <c r="AW87" s="107"/>
      <c r="AX87" s="107"/>
      <c r="AY87" s="107"/>
      <c r="AZ87" s="107"/>
      <c r="BA87" s="107"/>
      <c r="BB87" s="108"/>
      <c r="BC87" s="40"/>
      <c r="BD87" s="35"/>
      <c r="BE87" s="115" t="str">
        <f>IF([7]回答表!F17="水道事業",IF([7]回答表!X43="○",[7]回答表!B190,IF([7]回答表!AA43="○",[7]回答表!B238,"")),"")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IF([7]回答表!F17="水道事業",IF([7]回答表!X43="○",[7]回答表!J162,IF([7]回答表!AA43="○",[7]回答表!J209,"")),"")</f>
        <v/>
      </c>
      <c r="V89" s="119"/>
      <c r="W89" s="119"/>
      <c r="X89" s="119"/>
      <c r="Y89" s="119"/>
      <c r="Z89" s="119"/>
      <c r="AA89" s="119"/>
      <c r="AB89" s="120"/>
      <c r="AC89" s="118" t="str">
        <f>IF([7]回答表!F17="水道事業",IF([7]回答表!X43="○",[7]回答表!J169,IF([7]回答表!AA43="○",[7]回答表!J216,"")),"")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IF([7]回答表!F17="水道事業",IF([7]回答表!X43="○",[7]回答表!E190,IF([7]回答表!AA43="○",[7]回答表!E238,"")),"")</f>
        <v/>
      </c>
      <c r="BF90" s="83"/>
      <c r="BG90" s="83"/>
      <c r="BH90" s="83"/>
      <c r="BI90" s="82" t="str">
        <f>IF([7]回答表!F17="水道事業",IF([7]回答表!X43="○",[7]回答表!E191,IF([7]回答表!AA43="○",[7]回答表!E239,"")),"")</f>
        <v/>
      </c>
      <c r="BJ90" s="83"/>
      <c r="BK90" s="83"/>
      <c r="BL90" s="83"/>
      <c r="BM90" s="82" t="str">
        <f>IF([7]回答表!F17="水道事業",IF([7]回答表!X43="○",[7]回答表!E192,IF([7]回答表!AA43="○",[7]回答表!E240,"")),"")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IF([7]回答表!F17="水道事業",IF([7]回答表!AA43="○","○",""),"")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IF([7]回答表!F17="水道事業",IF([7]回答表!X43="○",[7]回答表!J172,IF([7]回答表!AA43="○",[7]回答表!J219,"")),"")</f>
        <v/>
      </c>
      <c r="V94" s="119"/>
      <c r="W94" s="119"/>
      <c r="X94" s="119"/>
      <c r="Y94" s="119"/>
      <c r="Z94" s="119"/>
      <c r="AA94" s="119"/>
      <c r="AB94" s="120"/>
      <c r="AC94" s="118" t="str">
        <f>IF([7]回答表!F17="水道事業",IF([7]回答表!X43="○",[7]回答表!J176,IF([7]回答表!AA43="○",[7]回答表!J223,"")),"")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IF([7]回答表!F17="水道事業",IF([7]回答表!AD43="○","○",""),"")</f>
        <v/>
      </c>
      <c r="O99" s="98"/>
      <c r="P99" s="98"/>
      <c r="Q99" s="99"/>
      <c r="R99" s="39"/>
      <c r="S99" s="39"/>
      <c r="T99" s="39"/>
      <c r="U99" s="106" t="str">
        <f>IF([7]回答表!F17="水道事業",IF([7]回答表!AD43="○",[7]回答表!B249,""),"")</f>
        <v/>
      </c>
      <c r="V99" s="107"/>
      <c r="W99" s="107"/>
      <c r="X99" s="107"/>
      <c r="Y99" s="107"/>
      <c r="Z99" s="107"/>
      <c r="AA99" s="107"/>
      <c r="AB99" s="107"/>
      <c r="AC99" s="107"/>
      <c r="AD99" s="107"/>
      <c r="AE99" s="107"/>
      <c r="AF99" s="107"/>
      <c r="AG99" s="107"/>
      <c r="AH99" s="107"/>
      <c r="AI99" s="107"/>
      <c r="AJ99" s="108"/>
      <c r="AK99" s="56"/>
      <c r="AL99" s="56"/>
      <c r="AM99" s="106" t="str">
        <f>IF([7]回答表!F17="水道事業",IF([7]回答表!AD43="○",[7]回答表!B255,""),"")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IF([7]回答表!F17="簡易水道事業",IF([7]回答表!X43="○","○",""),"")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IF([7]回答表!F17="簡易水道事業",IF([7]回答表!X43="○",[7]回答表!B154,IF([7]回答表!AA43="○",[7]回答表!B201,"")),"")</f>
        <v/>
      </c>
      <c r="AN111" s="107"/>
      <c r="AO111" s="107"/>
      <c r="AP111" s="107"/>
      <c r="AQ111" s="107"/>
      <c r="AR111" s="107"/>
      <c r="AS111" s="107"/>
      <c r="AT111" s="107"/>
      <c r="AU111" s="107"/>
      <c r="AV111" s="107"/>
      <c r="AW111" s="107"/>
      <c r="AX111" s="107"/>
      <c r="AY111" s="107"/>
      <c r="AZ111" s="107"/>
      <c r="BA111" s="107"/>
      <c r="BB111" s="108"/>
      <c r="BC111" s="40"/>
      <c r="BD111" s="35"/>
      <c r="BE111" s="115" t="str">
        <f>IF([7]回答表!F17="簡易水道事業",IF([7]回答表!X43="○",[7]回答表!B190,IF([7]回答表!AA43="○",[7]回答表!B238,"")),"")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IF([7]回答表!F17="簡易水道事業",IF([7]回答表!X43="○",[7]回答表!Y181,IF([7]回答表!AA43="○",[7]回答表!Y229,"")),"")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IF([7]回答表!F17="簡易水道事業",IF([7]回答表!X43="○",[7]回答表!E190,IF([7]回答表!AA43="○",[7]回答表!E238,"")),"")</f>
        <v/>
      </c>
      <c r="BF114" s="83"/>
      <c r="BG114" s="83"/>
      <c r="BH114" s="83"/>
      <c r="BI114" s="82" t="str">
        <f>IF([7]回答表!F17="簡易水道事業",IF([7]回答表!X43="○",[7]回答表!E191,IF([7]回答表!AA43="○",[7]回答表!E239,"")),"")</f>
        <v/>
      </c>
      <c r="BJ114" s="83"/>
      <c r="BK114" s="83"/>
      <c r="BL114" s="83"/>
      <c r="BM114" s="82" t="str">
        <f>IF([7]回答表!F17="簡易水道事業",IF([7]回答表!X43="○",[7]回答表!E192,IF([7]回答表!AA43="○",[7]回答表!E240,"")),"")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74</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IF([7]回答表!F17="簡易水道事業",IF([7]回答表!AA43="○","○",""),"")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IF([7]回答表!F17="簡易水道事業",IF([7]回答表!X43="○",[7]回答表!Y182,IF([7]回答表!AA43="○",[7]回答表!Y230,"")),"")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IF([7]回答表!F17="簡易水道事業",IF([7]回答表!AD43="○","○",""),"")</f>
        <v/>
      </c>
      <c r="O123" s="98"/>
      <c r="P123" s="98"/>
      <c r="Q123" s="99"/>
      <c r="R123" s="39"/>
      <c r="S123" s="39"/>
      <c r="T123" s="39"/>
      <c r="U123" s="106" t="str">
        <f>IF([7]回答表!F17="簡易水道事業",IF([7]回答表!AD43="○",[7]回答表!B249,""),"")</f>
        <v/>
      </c>
      <c r="V123" s="107"/>
      <c r="W123" s="107"/>
      <c r="X123" s="107"/>
      <c r="Y123" s="107"/>
      <c r="Z123" s="107"/>
      <c r="AA123" s="107"/>
      <c r="AB123" s="107"/>
      <c r="AC123" s="107"/>
      <c r="AD123" s="107"/>
      <c r="AE123" s="107"/>
      <c r="AF123" s="107"/>
      <c r="AG123" s="107"/>
      <c r="AH123" s="107"/>
      <c r="AI123" s="107"/>
      <c r="AJ123" s="108"/>
      <c r="AK123" s="56"/>
      <c r="AL123" s="56"/>
      <c r="AM123" s="106" t="str">
        <f>IF([7]回答表!F17="簡易水道事業",IF([7]回答表!AD43="○",[7]回答表!B255,""),"")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IF([7]回答表!F17="下水道事業",IF([7]回答表!X43="○","○",""),"")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IF([7]回答表!F17="下水道事業",IF([7]回答表!X43="○",[7]回答表!B154,IF([7]回答表!AA43="○",[7]回答表!B201,"")),"")</f>
        <v/>
      </c>
      <c r="AN135" s="107"/>
      <c r="AO135" s="107"/>
      <c r="AP135" s="107"/>
      <c r="AQ135" s="107"/>
      <c r="AR135" s="107"/>
      <c r="AS135" s="107"/>
      <c r="AT135" s="107"/>
      <c r="AU135" s="107"/>
      <c r="AV135" s="107"/>
      <c r="AW135" s="107"/>
      <c r="AX135" s="107"/>
      <c r="AY135" s="107"/>
      <c r="AZ135" s="107"/>
      <c r="BA135" s="107"/>
      <c r="BB135" s="108"/>
      <c r="BC135" s="40"/>
      <c r="BD135" s="35"/>
      <c r="BE135" s="115" t="str">
        <f>IF([7]回答表!F17="下水道事業",IF([7]回答表!X43="○",[7]回答表!B190,IF([7]回答表!AA43="○",[7]回答表!B238,"")),"")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IF([7]回答表!F17="下水道事業",IF([7]回答表!X43="○",[7]回答表!Y184,IF([7]回答表!AA43="○",[7]回答表!Y232,"")),"")</f>
        <v/>
      </c>
      <c r="V137" s="119"/>
      <c r="W137" s="119"/>
      <c r="X137" s="119"/>
      <c r="Y137" s="119"/>
      <c r="Z137" s="119"/>
      <c r="AA137" s="119"/>
      <c r="AB137" s="120"/>
      <c r="AC137" s="118" t="str">
        <f>IF([7]回答表!F17="下水道事業",IF([7]回答表!X43="○",[7]回答表!Y185,IF([7]回答表!AA43="○",[7]回答表!Y233,"")),"")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IF([7]回答表!F17="下水道事業",IF([7]回答表!X43="○",[7]回答表!E190,IF([7]回答表!AA43="○",[7]回答表!E238,"")),"")</f>
        <v/>
      </c>
      <c r="BF138" s="83"/>
      <c r="BG138" s="83"/>
      <c r="BH138" s="83"/>
      <c r="BI138" s="82" t="str">
        <f>IF([7]回答表!F17="下水道事業",IF([7]回答表!X43="○",[7]回答表!E191,IF([7]回答表!AA43="○",[7]回答表!E239,"")),"")</f>
        <v/>
      </c>
      <c r="BJ138" s="83"/>
      <c r="BK138" s="83"/>
      <c r="BL138" s="83"/>
      <c r="BM138" s="82" t="str">
        <f>IF([7]回答表!F17="下水道事業",IF([7]回答表!X43="○",[7]回答表!E192,IF([7]回答表!AA43="○",[7]回答表!E240,"")),"")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IF([7]回答表!F17="下水道事業",IF([7]回答表!AA43="○","○",""),"")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IF([7]回答表!F17="下水道事業",IF([7]回答表!X43="○",[7]回答表!Y186,IF([7]回答表!AA43="○",[7]回答表!Y234,"")),"")</f>
        <v/>
      </c>
      <c r="V142" s="119"/>
      <c r="W142" s="119"/>
      <c r="X142" s="119"/>
      <c r="Y142" s="119"/>
      <c r="Z142" s="119"/>
      <c r="AA142" s="119"/>
      <c r="AB142" s="120"/>
      <c r="AC142" s="118" t="str">
        <f>IF([7]回答表!F17="下水道事業",IF([7]回答表!X43="○",[7]回答表!Y187,IF([7]回答表!AA43="○",[7]回答表!Y235,"")),"")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IF([7]回答表!F17="下水道事業",IF([7]回答表!AD43="○","○",""),"")</f>
        <v/>
      </c>
      <c r="O147" s="98"/>
      <c r="P147" s="98"/>
      <c r="Q147" s="99"/>
      <c r="R147" s="39"/>
      <c r="S147" s="39"/>
      <c r="T147" s="39"/>
      <c r="U147" s="106" t="str">
        <f>IF([7]回答表!F17="下水道事業",IF([7]回答表!AD43="○",[7]回答表!B249,""),"")</f>
        <v/>
      </c>
      <c r="V147" s="107"/>
      <c r="W147" s="107"/>
      <c r="X147" s="107"/>
      <c r="Y147" s="107"/>
      <c r="Z147" s="107"/>
      <c r="AA147" s="107"/>
      <c r="AB147" s="107"/>
      <c r="AC147" s="107"/>
      <c r="AD147" s="107"/>
      <c r="AE147" s="107"/>
      <c r="AF147" s="107"/>
      <c r="AG147" s="107"/>
      <c r="AH147" s="107"/>
      <c r="AI147" s="107"/>
      <c r="AJ147" s="108"/>
      <c r="AK147" s="56"/>
      <c r="AL147" s="56"/>
      <c r="AM147" s="106" t="str">
        <f>IF([7]回答表!F17="下水道事業",IF([7]回答表!AD43="○",[7]回答表!B255,""),"")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IF([7]回答表!BD17="○",IF([7]回答表!X43="○","○",""),"")</f>
        <v/>
      </c>
      <c r="O159" s="98"/>
      <c r="P159" s="98"/>
      <c r="Q159" s="99"/>
      <c r="R159" s="39"/>
      <c r="S159" s="39"/>
      <c r="T159" s="39"/>
      <c r="U159" s="106" t="str">
        <f>IF([7]回答表!BD17="○",IF([7]回答表!X43="○",[7]回答表!B154,IF([7]回答表!AA43="○",[7]回答表!B201,"")),"")</f>
        <v/>
      </c>
      <c r="V159" s="107"/>
      <c r="W159" s="107"/>
      <c r="X159" s="107"/>
      <c r="Y159" s="107"/>
      <c r="Z159" s="107"/>
      <c r="AA159" s="107"/>
      <c r="AB159" s="107"/>
      <c r="AC159" s="107"/>
      <c r="AD159" s="107"/>
      <c r="AE159" s="107"/>
      <c r="AF159" s="107"/>
      <c r="AG159" s="107"/>
      <c r="AH159" s="107"/>
      <c r="AI159" s="107"/>
      <c r="AJ159" s="108"/>
      <c r="AK159" s="50"/>
      <c r="AL159" s="50"/>
      <c r="AM159" s="115" t="str">
        <f>IF([7]回答表!BD17="○",IF([7]回答表!X43="○",[7]回答表!B190,IF([7]回答表!AA43="○",[7]回答表!B238,"")),"")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IF([7]回答表!BD17="○",IF([7]回答表!X43="○",[7]回答表!E190,IF([7]回答表!AA43="○",[7]回答表!E238,"")),"")</f>
        <v/>
      </c>
      <c r="AN162" s="83"/>
      <c r="AO162" s="83"/>
      <c r="AP162" s="83"/>
      <c r="AQ162" s="82" t="str">
        <f>IF([7]回答表!BD17="○",IF([7]回答表!X43="○",[7]回答表!E191,IF([7]回答表!AA43="○",[7]回答表!E239,"")),"")</f>
        <v/>
      </c>
      <c r="AR162" s="83"/>
      <c r="AS162" s="83"/>
      <c r="AT162" s="83"/>
      <c r="AU162" s="82" t="str">
        <f>IF([7]回答表!BD17="○",IF([7]回答表!X43="○",[7]回答表!E192,IF([7]回答表!AA43="○",[7]回答表!E240,"")),"")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IF([7]回答表!BD17="○",IF([7]回答表!AA43="○","○",""),"")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IF([7]回答表!BD17="○",IF([7]回答表!AD43="○","○",""),"")</f>
        <v/>
      </c>
      <c r="O171" s="98"/>
      <c r="P171" s="98"/>
      <c r="Q171" s="99"/>
      <c r="R171" s="39"/>
      <c r="S171" s="39"/>
      <c r="T171" s="39"/>
      <c r="U171" s="106" t="str">
        <f>IF([7]回答表!BD17="○",IF([7]回答表!AD43="○",[7]回答表!B249,""),"")</f>
        <v/>
      </c>
      <c r="V171" s="107"/>
      <c r="W171" s="107"/>
      <c r="X171" s="107"/>
      <c r="Y171" s="107"/>
      <c r="Z171" s="107"/>
      <c r="AA171" s="107"/>
      <c r="AB171" s="107"/>
      <c r="AC171" s="107"/>
      <c r="AD171" s="107"/>
      <c r="AE171" s="107"/>
      <c r="AF171" s="107"/>
      <c r="AG171" s="107"/>
      <c r="AH171" s="107"/>
      <c r="AI171" s="107"/>
      <c r="AJ171" s="108"/>
      <c r="AK171" s="56"/>
      <c r="AL171" s="56"/>
      <c r="AM171" s="106" t="str">
        <f>IF([7]回答表!BD17="○",IF([7]回答表!AD43="○",[7]回答表!B255,""),"")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IF([7]回答表!X44="○","○","")</f>
        <v/>
      </c>
      <c r="O183" s="98"/>
      <c r="P183" s="98"/>
      <c r="Q183" s="99"/>
      <c r="R183" s="39"/>
      <c r="S183" s="39"/>
      <c r="T183" s="39"/>
      <c r="U183" s="106" t="str">
        <f>IF([7]回答表!X44="○",[7]回答表!B266,IF([7]回答表!AA44="○",[7]回答表!B283,""))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IF([7]回答表!X44="○",[7]回答表!U272,IF([7]回答表!AA44="○",[7]回答表!U289,""))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IF([7]回答表!X44="○",[7]回答表!G272,IF([7]回答表!AA44="○",[7]回答表!G289,""))</f>
        <v/>
      </c>
      <c r="AN186" s="119"/>
      <c r="AO186" s="119"/>
      <c r="AP186" s="119"/>
      <c r="AQ186" s="119"/>
      <c r="AR186" s="119"/>
      <c r="AS186" s="119"/>
      <c r="AT186" s="120"/>
      <c r="AU186" s="118" t="str">
        <f>IF([7]回答表!X44="○",[7]回答表!G273,IF([7]回答表!AA44="○",[7]回答表!G290,""))</f>
        <v/>
      </c>
      <c r="AV186" s="119"/>
      <c r="AW186" s="119"/>
      <c r="AX186" s="119"/>
      <c r="AY186" s="119"/>
      <c r="AZ186" s="119"/>
      <c r="BA186" s="119"/>
      <c r="BB186" s="120"/>
      <c r="BC186" s="40"/>
      <c r="BD186" s="35"/>
      <c r="BE186" s="82" t="str">
        <f>IF([7]回答表!X44="○",[7]回答表!X272,IF([7]回答表!AA44="○",[7]回答表!X289,""))</f>
        <v/>
      </c>
      <c r="BF186" s="83"/>
      <c r="BG186" s="83"/>
      <c r="BH186" s="83"/>
      <c r="BI186" s="82" t="str">
        <f>IF([7]回答表!X44="○",[7]回答表!X273,IF([7]回答表!AA44="○",[7]回答表!X290,""))</f>
        <v/>
      </c>
      <c r="BJ186" s="83"/>
      <c r="BK186" s="83"/>
      <c r="BL186" s="86"/>
      <c r="BM186" s="82" t="str">
        <f>IF([7]回答表!X44="○",[7]回答表!X274,IF([7]回答表!AA44="○",[7]回答表!X291,""))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IF([7]回答表!AA44="○","○","")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IF([7]回答表!AD44="○","○","")</f>
        <v/>
      </c>
      <c r="O195" s="98"/>
      <c r="P195" s="98"/>
      <c r="Q195" s="99"/>
      <c r="R195" s="39"/>
      <c r="S195" s="39"/>
      <c r="T195" s="39"/>
      <c r="U195" s="106" t="str">
        <f>IF([7]回答表!AD44="○",[7]回答表!B296,"")</f>
        <v/>
      </c>
      <c r="V195" s="107"/>
      <c r="W195" s="107"/>
      <c r="X195" s="107"/>
      <c r="Y195" s="107"/>
      <c r="Z195" s="107"/>
      <c r="AA195" s="107"/>
      <c r="AB195" s="107"/>
      <c r="AC195" s="107"/>
      <c r="AD195" s="107"/>
      <c r="AE195" s="107"/>
      <c r="AF195" s="107"/>
      <c r="AG195" s="107"/>
      <c r="AH195" s="107"/>
      <c r="AI195" s="107"/>
      <c r="AJ195" s="108"/>
      <c r="AK195" s="61"/>
      <c r="AL195" s="61"/>
      <c r="AM195" s="106" t="str">
        <f>IF([7]回答表!AD44="○",[7]回答表!B302,"")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IF([7]回答表!X45="○","○","")</f>
        <v/>
      </c>
      <c r="O207" s="98"/>
      <c r="P207" s="98"/>
      <c r="Q207" s="99"/>
      <c r="R207" s="39"/>
      <c r="S207" s="39"/>
      <c r="T207" s="39"/>
      <c r="U207" s="106" t="str">
        <f>IF([7]回答表!X45="○",[7]回答表!B314,IF([7]回答表!AA45="○",[7]回答表!B337,""))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IF([7]回答表!X45="○",[7]回答表!B320,"")</f>
        <v/>
      </c>
      <c r="AO207" s="164"/>
      <c r="AP207" s="164"/>
      <c r="AQ207" s="164"/>
      <c r="AR207" s="164"/>
      <c r="AS207" s="164"/>
      <c r="AT207" s="164"/>
      <c r="AU207" s="164"/>
      <c r="AV207" s="164"/>
      <c r="AW207" s="164"/>
      <c r="AX207" s="164"/>
      <c r="AY207" s="164"/>
      <c r="AZ207" s="164"/>
      <c r="BA207" s="164"/>
      <c r="BB207" s="165"/>
      <c r="BC207" s="40"/>
      <c r="BD207" s="35"/>
      <c r="BE207" s="115" t="str">
        <f>IF([7]回答表!X45="○",[7]回答表!B326,IF([7]回答表!AA45="○",[7]回答表!B343,""))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IF([7]回答表!X45="○",[7]回答表!E326,IF([7]回答表!AA45="○",[7]回答表!E343,""))</f>
        <v/>
      </c>
      <c r="BF210" s="83"/>
      <c r="BG210" s="83"/>
      <c r="BH210" s="83"/>
      <c r="BI210" s="82" t="str">
        <f>IF([7]回答表!X45="○",[7]回答表!E327,IF([7]回答表!AA45="○",[7]回答表!E344,""))</f>
        <v/>
      </c>
      <c r="BJ210" s="83"/>
      <c r="BK210" s="83"/>
      <c r="BL210" s="86"/>
      <c r="BM210" s="82" t="str">
        <f>IF([7]回答表!X45="○",[7]回答表!E328,IF([7]回答表!AA45="○",[7]回答表!E345,""))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IF([7]回答表!AA45="○","○","")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IF([7]回答表!AD45="○","○","")</f>
        <v/>
      </c>
      <c r="O219" s="98"/>
      <c r="P219" s="98"/>
      <c r="Q219" s="99"/>
      <c r="R219" s="39"/>
      <c r="S219" s="39"/>
      <c r="T219" s="39"/>
      <c r="U219" s="106" t="str">
        <f>IF([7]回答表!AD45="○",[7]回答表!B350,"")</f>
        <v/>
      </c>
      <c r="V219" s="107"/>
      <c r="W219" s="107"/>
      <c r="X219" s="107"/>
      <c r="Y219" s="107"/>
      <c r="Z219" s="107"/>
      <c r="AA219" s="107"/>
      <c r="AB219" s="107"/>
      <c r="AC219" s="107"/>
      <c r="AD219" s="107"/>
      <c r="AE219" s="107"/>
      <c r="AF219" s="107"/>
      <c r="AG219" s="107"/>
      <c r="AH219" s="107"/>
      <c r="AI219" s="107"/>
      <c r="AJ219" s="108"/>
      <c r="AK219" s="61"/>
      <c r="AL219" s="61"/>
      <c r="AM219" s="106" t="str">
        <f>IF([7]回答表!AD45="○",[7]回答表!B356,"")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IF([7]回答表!X46="○","○","")</f>
        <v/>
      </c>
      <c r="O231" s="98"/>
      <c r="P231" s="98"/>
      <c r="Q231" s="99"/>
      <c r="R231" s="39"/>
      <c r="S231" s="39"/>
      <c r="T231" s="39"/>
      <c r="U231" s="106" t="str">
        <f>IF([7]回答表!X46="○",[7]回答表!B368,IF([7]回答表!AA46="○",[7]回答表!B382,""))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IF([7]回答表!X46="○",[7]回答表!BC375,IF([7]回答表!AA46="○",[7]回答表!BC389,""))</f>
        <v/>
      </c>
      <c r="AR231" s="150"/>
      <c r="AS231" s="150"/>
      <c r="AT231" s="150"/>
      <c r="AU231" s="155" t="s">
        <v>63</v>
      </c>
      <c r="AV231" s="156"/>
      <c r="AW231" s="156"/>
      <c r="AX231" s="157"/>
      <c r="AY231" s="150" t="str">
        <f>IF([7]回答表!X46="○",[7]回答表!BC380,IF([7]回答表!AA46="○",[7]回答表!BC394,""))</f>
        <v/>
      </c>
      <c r="AZ231" s="150"/>
      <c r="BA231" s="150"/>
      <c r="BB231" s="150"/>
      <c r="BC231" s="40"/>
      <c r="BD231" s="35"/>
      <c r="BE231" s="115" t="str">
        <f>IF([7]回答表!X46="○",[7]回答表!S374,IF([7]回答表!AA46="○",[7]回答表!S388,""))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IF([7]回答表!X46="○",[7]回答表!BC376,IF([7]回答表!AA46="○",[7]回答表!BC390,""))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IF([7]回答表!X46="○",[7]回答表!V374,IF([7]回答表!AA46="○",[7]回答表!V388,""))</f>
        <v/>
      </c>
      <c r="BF234" s="83"/>
      <c r="BG234" s="83"/>
      <c r="BH234" s="83"/>
      <c r="BI234" s="82" t="str">
        <f>IF([7]回答表!X46="○",[7]回答表!V375,IF([7]回答表!AA46="○",[7]回答表!V389,""))</f>
        <v/>
      </c>
      <c r="BJ234" s="83"/>
      <c r="BK234" s="83"/>
      <c r="BL234" s="86"/>
      <c r="BM234" s="82" t="str">
        <f>IF([7]回答表!X46="○",[7]回答表!V376,IF([7]回答表!AA46="○",[7]回答表!V390,""))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IF([7]回答表!X46="○",[7]回答表!BC377,IF([7]回答表!AA46="○",[7]回答表!BC391,""))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IF([7]回答表!X46="○",[7]回答表!BC381,IF([7]回答表!AA46="○",[7]回答表!BC395,""))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IF([7]回答表!AA46="○","○","")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IF([7]回答表!X46="○",[7]回答表!BC378,IF([7]回答表!AA46="○",[7]回答表!BC392,""))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IF([7]回答表!X46="○",[7]回答表!BC379,IF([7]回答表!AA46="○",[7]回答表!BC393,""))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IF([7]回答表!AD46="○","○","")</f>
        <v/>
      </c>
      <c r="O243" s="98"/>
      <c r="P243" s="98"/>
      <c r="Q243" s="99"/>
      <c r="R243" s="39"/>
      <c r="S243" s="39"/>
      <c r="T243" s="39"/>
      <c r="U243" s="106" t="str">
        <f>IF([7]回答表!AD46="○",[7]回答表!B396,"")</f>
        <v/>
      </c>
      <c r="V243" s="107"/>
      <c r="W243" s="107"/>
      <c r="X243" s="107"/>
      <c r="Y243" s="107"/>
      <c r="Z243" s="107"/>
      <c r="AA243" s="107"/>
      <c r="AB243" s="107"/>
      <c r="AC243" s="107"/>
      <c r="AD243" s="107"/>
      <c r="AE243" s="107"/>
      <c r="AF243" s="107"/>
      <c r="AG243" s="107"/>
      <c r="AH243" s="107"/>
      <c r="AI243" s="107"/>
      <c r="AJ243" s="108"/>
      <c r="AK243" s="56"/>
      <c r="AL243" s="56"/>
      <c r="AM243" s="106" t="str">
        <f>IF([7]回答表!AD46="○",[7]回答表!B402,"")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IF([7]回答表!X47="○","○","")</f>
        <v/>
      </c>
      <c r="O254" s="98"/>
      <c r="P254" s="98"/>
      <c r="Q254" s="99"/>
      <c r="R254" s="39"/>
      <c r="S254" s="39"/>
      <c r="T254" s="39"/>
      <c r="U254" s="106" t="str">
        <f>IF([7]回答表!X47="○",[7]回答表!B414,IF([7]回答表!AA47="○",[7]回答表!B431,""))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IF([7]回答表!X47="○",[7]回答表!B424,IF([7]回答表!AA47="○",[7]回答表!B441,""))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IF([7]回答表!X47="○",[7]回答表!G420,IF([7]回答表!AA47="○",[7]回答表!G437,""))</f>
        <v/>
      </c>
      <c r="AN256" s="119"/>
      <c r="AO256" s="119"/>
      <c r="AP256" s="119"/>
      <c r="AQ256" s="119"/>
      <c r="AR256" s="119"/>
      <c r="AS256" s="119"/>
      <c r="AT256" s="120"/>
      <c r="AU256" s="118" t="str">
        <f>IF([7]回答表!X47="○",[7]回答表!G421,IF([7]回答表!AA47="○",[7]回答表!G438,""))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IF([7]回答表!X47="○",[7]回答表!E424,IF([7]回答表!AA47="○",[7]回答表!E441,""))</f>
        <v/>
      </c>
      <c r="BF257" s="83"/>
      <c r="BG257" s="83"/>
      <c r="BH257" s="83"/>
      <c r="BI257" s="82" t="str">
        <f>IF([7]回答表!X47="○",[7]回答表!E425,IF([7]回答表!AA47="○",[7]回答表!E442,""))</f>
        <v/>
      </c>
      <c r="BJ257" s="83"/>
      <c r="BK257" s="83"/>
      <c r="BL257" s="86"/>
      <c r="BM257" s="82" t="str">
        <f>IF([7]回答表!X47="○",[7]回答表!E426,IF([7]回答表!AA47="○",[7]回答表!E443,""))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IF([7]回答表!AA47="○","○","")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IF([7]回答表!AD47="○","○","")</f>
        <v/>
      </c>
      <c r="O266" s="98"/>
      <c r="P266" s="98"/>
      <c r="Q266" s="99"/>
      <c r="R266" s="39"/>
      <c r="S266" s="39"/>
      <c r="T266" s="39"/>
      <c r="U266" s="106" t="str">
        <f>IF([7]回答表!AD47="○",[7]回答表!B448,"")</f>
        <v/>
      </c>
      <c r="V266" s="107"/>
      <c r="W266" s="107"/>
      <c r="X266" s="107"/>
      <c r="Y266" s="107"/>
      <c r="Z266" s="107"/>
      <c r="AA266" s="107"/>
      <c r="AB266" s="107"/>
      <c r="AC266" s="107"/>
      <c r="AD266" s="107"/>
      <c r="AE266" s="107"/>
      <c r="AF266" s="107"/>
      <c r="AG266" s="107"/>
      <c r="AH266" s="107"/>
      <c r="AI266" s="107"/>
      <c r="AJ266" s="108"/>
      <c r="AK266" s="50"/>
      <c r="AL266" s="50"/>
      <c r="AM266" s="106" t="str">
        <f>IF([7]回答表!AD47="○",[7]回答表!B454,"")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IF([7]回答表!R48="○",[7]回答表!B467,"")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D243:M246"/>
    <mergeCell ref="N243:Q246"/>
    <mergeCell ref="U243:AJ246"/>
    <mergeCell ref="AR105:BB106"/>
    <mergeCell ref="D107:Q108"/>
    <mergeCell ref="R107:BB108"/>
    <mergeCell ref="D111:M114"/>
    <mergeCell ref="N111:Q114"/>
    <mergeCell ref="D99:M102"/>
    <mergeCell ref="N99:Q102"/>
    <mergeCell ref="U99:AJ102"/>
    <mergeCell ref="AM99:BP102"/>
    <mergeCell ref="BI111:BL113"/>
    <mergeCell ref="U111:AJ112"/>
    <mergeCell ref="U116:AJ117"/>
    <mergeCell ref="U118:AJ120"/>
    <mergeCell ref="U113:AJ115"/>
    <mergeCell ref="AM111:BB120"/>
    <mergeCell ref="BE111:BH113"/>
    <mergeCell ref="BE114:BH117"/>
    <mergeCell ref="D117:M120"/>
    <mergeCell ref="N117:Q120"/>
    <mergeCell ref="BE118:BH120"/>
    <mergeCell ref="C11:T13"/>
    <mergeCell ref="BE261:BH263"/>
    <mergeCell ref="BI261:BL263"/>
    <mergeCell ref="BM261:BP263"/>
    <mergeCell ref="D266:M269"/>
    <mergeCell ref="N266:Q269"/>
    <mergeCell ref="U266:AJ269"/>
    <mergeCell ref="AM266:BP269"/>
    <mergeCell ref="BE254:BH256"/>
    <mergeCell ref="BI254:BL256"/>
    <mergeCell ref="AM243:BP246"/>
    <mergeCell ref="AY236:BB240"/>
    <mergeCell ref="D237:M240"/>
    <mergeCell ref="N237:Q240"/>
    <mergeCell ref="AM237:AP238"/>
    <mergeCell ref="AQ237:AT238"/>
    <mergeCell ref="BE238:BH240"/>
    <mergeCell ref="BM238:BP240"/>
    <mergeCell ref="BE234:BH237"/>
    <mergeCell ref="BI234:BL237"/>
    <mergeCell ref="BI238:BL240"/>
    <mergeCell ref="AM239:AP240"/>
    <mergeCell ref="AQ239:AT240"/>
    <mergeCell ref="D123:M126"/>
    <mergeCell ref="AR249:BB249"/>
    <mergeCell ref="D250:Q251"/>
    <mergeCell ref="R250:BB251"/>
    <mergeCell ref="D254:M257"/>
    <mergeCell ref="N254:Q257"/>
    <mergeCell ref="U254:AJ263"/>
    <mergeCell ref="BM254:BP256"/>
    <mergeCell ref="AM256:AT258"/>
    <mergeCell ref="AU256:BB258"/>
    <mergeCell ref="BE257:BH260"/>
    <mergeCell ref="BI257:BL260"/>
    <mergeCell ref="BM257:BP260"/>
    <mergeCell ref="AM254:AT255"/>
    <mergeCell ref="AU254:BB255"/>
    <mergeCell ref="D260:M263"/>
    <mergeCell ref="N260:Q263"/>
    <mergeCell ref="AO43:BB43"/>
    <mergeCell ref="N231:Q234"/>
    <mergeCell ref="U231:AJ240"/>
    <mergeCell ref="AM231:AP232"/>
    <mergeCell ref="AQ231:AT232"/>
    <mergeCell ref="AU231:AX235"/>
    <mergeCell ref="AQ235:AT236"/>
    <mergeCell ref="AU236:AX240"/>
    <mergeCell ref="N219:Q222"/>
    <mergeCell ref="N123:Q126"/>
    <mergeCell ref="U123:AJ126"/>
    <mergeCell ref="AM123:BP126"/>
    <mergeCell ref="U219:AJ222"/>
    <mergeCell ref="D83:Q84"/>
    <mergeCell ref="R83:BB84"/>
    <mergeCell ref="AM235:AP236"/>
    <mergeCell ref="AM46:AN46"/>
    <mergeCell ref="AM47:AN47"/>
    <mergeCell ref="AM48:AN48"/>
    <mergeCell ref="AC89:AJ91"/>
    <mergeCell ref="U92:AB93"/>
    <mergeCell ref="AC92:AJ93"/>
    <mergeCell ref="BM234:BP237"/>
    <mergeCell ref="D213:M216"/>
    <mergeCell ref="N213:Q216"/>
    <mergeCell ref="AR201:BB202"/>
    <mergeCell ref="D203:Q204"/>
    <mergeCell ref="R203:BB204"/>
    <mergeCell ref="D207:M210"/>
    <mergeCell ref="N207:Q210"/>
    <mergeCell ref="U207:AJ216"/>
    <mergeCell ref="AN207:BB216"/>
    <mergeCell ref="AM219:BP222"/>
    <mergeCell ref="AR225:BB226"/>
    <mergeCell ref="D227:Q228"/>
    <mergeCell ref="R227:BB228"/>
    <mergeCell ref="AY231:BB235"/>
    <mergeCell ref="BE231:BH233"/>
    <mergeCell ref="BI231:BL233"/>
    <mergeCell ref="BM231:BP233"/>
    <mergeCell ref="AM233:AP234"/>
    <mergeCell ref="AQ233:AT234"/>
    <mergeCell ref="D231:M234"/>
    <mergeCell ref="D219:M222"/>
    <mergeCell ref="D195:M198"/>
    <mergeCell ref="N195:Q198"/>
    <mergeCell ref="U195:AJ198"/>
    <mergeCell ref="AM195:BP198"/>
    <mergeCell ref="BI183:BL185"/>
    <mergeCell ref="BM183:BP185"/>
    <mergeCell ref="AM186:AT188"/>
    <mergeCell ref="AU186:BB188"/>
    <mergeCell ref="BE186:BH189"/>
    <mergeCell ref="BI186:BL189"/>
    <mergeCell ref="AR177:BB178"/>
    <mergeCell ref="D179:Q180"/>
    <mergeCell ref="R179:BB180"/>
    <mergeCell ref="AQ162:AT165"/>
    <mergeCell ref="AU162:AX165"/>
    <mergeCell ref="D165:M168"/>
    <mergeCell ref="N165:Q168"/>
    <mergeCell ref="AM166:AP168"/>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BE142:BH144"/>
    <mergeCell ref="BI142:BL144"/>
    <mergeCell ref="BM142:BP144"/>
    <mergeCell ref="D147:M150"/>
    <mergeCell ref="N147:Q150"/>
    <mergeCell ref="U147:AJ150"/>
    <mergeCell ref="AQ166:AT168"/>
    <mergeCell ref="AU166:AX168"/>
    <mergeCell ref="D159:M162"/>
    <mergeCell ref="N159:Q162"/>
    <mergeCell ref="U159:AJ168"/>
    <mergeCell ref="AM159:AP161"/>
    <mergeCell ref="AQ159:AT161"/>
    <mergeCell ref="AU159:AX161"/>
    <mergeCell ref="AM162:AP165"/>
    <mergeCell ref="D141:M144"/>
    <mergeCell ref="N141:Q144"/>
    <mergeCell ref="U142:AB144"/>
    <mergeCell ref="AC142:AJ144"/>
    <mergeCell ref="AM147:BP150"/>
    <mergeCell ref="AR153:BB154"/>
    <mergeCell ref="D155:Q156"/>
    <mergeCell ref="R155:BB156"/>
    <mergeCell ref="AR129:BB130"/>
    <mergeCell ref="D131:Q132"/>
    <mergeCell ref="R131:BB132"/>
    <mergeCell ref="D135:M138"/>
    <mergeCell ref="N135:Q138"/>
    <mergeCell ref="U135:AB136"/>
    <mergeCell ref="U137:AB139"/>
    <mergeCell ref="AC137:AJ139"/>
    <mergeCell ref="BE138:BH141"/>
    <mergeCell ref="BI138:BL141"/>
    <mergeCell ref="BM138:BP141"/>
    <mergeCell ref="U140:AB141"/>
    <mergeCell ref="AC140:AJ141"/>
    <mergeCell ref="AC135:AJ136"/>
    <mergeCell ref="AM135:BB144"/>
    <mergeCell ref="D87:M90"/>
    <mergeCell ref="N87:Q90"/>
    <mergeCell ref="U87:AB88"/>
    <mergeCell ref="AC87:AJ88"/>
    <mergeCell ref="AM87:BB96"/>
    <mergeCell ref="D93:M96"/>
    <mergeCell ref="N93:Q96"/>
    <mergeCell ref="U94:AB96"/>
    <mergeCell ref="AC94:AJ96"/>
    <mergeCell ref="U89:AB91"/>
    <mergeCell ref="BM70:BP72"/>
    <mergeCell ref="D44:M47"/>
    <mergeCell ref="N44:Q47"/>
    <mergeCell ref="D63:M66"/>
    <mergeCell ref="N63:Q66"/>
    <mergeCell ref="U63:AJ72"/>
    <mergeCell ref="D75:M78"/>
    <mergeCell ref="N75:Q78"/>
    <mergeCell ref="U75:AJ78"/>
    <mergeCell ref="AM75:BP78"/>
    <mergeCell ref="BE63:BH65"/>
    <mergeCell ref="BI63:BL65"/>
    <mergeCell ref="BM63:BP65"/>
    <mergeCell ref="AM66:AT68"/>
    <mergeCell ref="AU66:BB68"/>
    <mergeCell ref="BE66:BH69"/>
    <mergeCell ref="U8:AN10"/>
    <mergeCell ref="U11:AN13"/>
    <mergeCell ref="AO11:BE13"/>
    <mergeCell ref="AO8:BE10"/>
    <mergeCell ref="AM63:AT65"/>
    <mergeCell ref="AU63:BB65"/>
    <mergeCell ref="D69:M72"/>
    <mergeCell ref="N69:Q72"/>
    <mergeCell ref="AO44:BB44"/>
    <mergeCell ref="AO45:BB45"/>
    <mergeCell ref="AO46:BB46"/>
    <mergeCell ref="AO47:BB47"/>
    <mergeCell ref="AO48:BB48"/>
    <mergeCell ref="AM44:AN44"/>
    <mergeCell ref="BE39:BH42"/>
    <mergeCell ref="BE43:BH45"/>
    <mergeCell ref="D59:Q60"/>
    <mergeCell ref="R59:BB60"/>
    <mergeCell ref="AM42:AN42"/>
    <mergeCell ref="AM43:AN43"/>
    <mergeCell ref="AM45:AN45"/>
    <mergeCell ref="N36:Q39"/>
    <mergeCell ref="BE70:BH72"/>
    <mergeCell ref="AO42:BB42"/>
    <mergeCell ref="C8:T10"/>
    <mergeCell ref="BM114:BP117"/>
    <mergeCell ref="BI118:BL120"/>
    <mergeCell ref="BM118:BP120"/>
    <mergeCell ref="D24:J26"/>
    <mergeCell ref="K24:Q26"/>
    <mergeCell ref="D52:M55"/>
    <mergeCell ref="N52:Q55"/>
    <mergeCell ref="AR31:BB31"/>
    <mergeCell ref="Y23:AE23"/>
    <mergeCell ref="AF23:AL23"/>
    <mergeCell ref="AM23:AS23"/>
    <mergeCell ref="AT23:AZ23"/>
    <mergeCell ref="R24:X26"/>
    <mergeCell ref="Y24:AE26"/>
    <mergeCell ref="AF24:AL26"/>
    <mergeCell ref="BB20:BJ23"/>
    <mergeCell ref="BB24:BJ26"/>
    <mergeCell ref="U36:AJ47"/>
    <mergeCell ref="AM36:AT37"/>
    <mergeCell ref="BF8:BP10"/>
    <mergeCell ref="BF11:BP13"/>
    <mergeCell ref="AM24:AS26"/>
    <mergeCell ref="AT24:AZ26"/>
    <mergeCell ref="D18:AZ19"/>
    <mergeCell ref="D20:J23"/>
    <mergeCell ref="K20:Q23"/>
    <mergeCell ref="R20:X23"/>
    <mergeCell ref="Y20:AZ22"/>
    <mergeCell ref="D32:Q33"/>
    <mergeCell ref="R32:BB33"/>
    <mergeCell ref="AU36:BB37"/>
    <mergeCell ref="BE36:BH38"/>
    <mergeCell ref="D36:M39"/>
    <mergeCell ref="C275:BQ277"/>
    <mergeCell ref="D279:BP297"/>
    <mergeCell ref="BE87:BH89"/>
    <mergeCell ref="BI87:BL89"/>
    <mergeCell ref="BM87:BP89"/>
    <mergeCell ref="BM39:BP42"/>
    <mergeCell ref="BM43:BP45"/>
    <mergeCell ref="AR58:BB58"/>
    <mergeCell ref="AR81:BB82"/>
    <mergeCell ref="U52:AJ55"/>
    <mergeCell ref="AM52:BP55"/>
    <mergeCell ref="BI36:BL38"/>
    <mergeCell ref="BM36:BP38"/>
    <mergeCell ref="AM38:AT40"/>
    <mergeCell ref="AU38:BB40"/>
    <mergeCell ref="BE214:BH216"/>
    <mergeCell ref="BI214:BL216"/>
    <mergeCell ref="BM214:BP216"/>
    <mergeCell ref="BI39:BL42"/>
    <mergeCell ref="BI43:BL45"/>
    <mergeCell ref="BI66:BL69"/>
    <mergeCell ref="BM66:BP69"/>
    <mergeCell ref="BI70:BL72"/>
    <mergeCell ref="BM111:BP113"/>
    <mergeCell ref="BI114:BL117"/>
    <mergeCell ref="BE207:BH209"/>
    <mergeCell ref="BI207:BL209"/>
    <mergeCell ref="BM207:BP209"/>
    <mergeCell ref="BE210:BH213"/>
    <mergeCell ref="BI210:BL213"/>
    <mergeCell ref="BM210:BP213"/>
    <mergeCell ref="BE90:BH93"/>
    <mergeCell ref="BI90:BL93"/>
    <mergeCell ref="BM90:BP93"/>
    <mergeCell ref="BE94:BH96"/>
    <mergeCell ref="BI94:BL96"/>
    <mergeCell ref="BM94:BP96"/>
    <mergeCell ref="BE135:BH137"/>
    <mergeCell ref="BI135:BL137"/>
    <mergeCell ref="BM135:BP137"/>
    <mergeCell ref="BI190:BL192"/>
    <mergeCell ref="BM190:BP192"/>
  </mergeCells>
  <phoneticPr fontId="2"/>
  <conditionalFormatting sqref="A29:XFD30 A28:BI28 BR28:XF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CDEC4-B642-41FD-B34D-DD72B4DD4F4D}">
  <sheetPr>
    <pageSetUpPr fitToPage="1"/>
  </sheetPr>
  <dimension ref="A1:CE298"/>
  <sheetViews>
    <sheetView showZeros="0" zoomScale="55" zoomScaleNormal="55" workbookViewId="0">
      <selection activeCell="CX65" sqref="CX65"/>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IF(COUNTIF([6]回答表!K15,"*")&gt;0,[6]回答表!K15,"")</f>
        <v>大仙市</v>
      </c>
      <c r="D11" s="264"/>
      <c r="E11" s="264"/>
      <c r="F11" s="264"/>
      <c r="G11" s="264"/>
      <c r="H11" s="264"/>
      <c r="I11" s="264"/>
      <c r="J11" s="264"/>
      <c r="K11" s="264"/>
      <c r="L11" s="264"/>
      <c r="M11" s="264"/>
      <c r="N11" s="264"/>
      <c r="O11" s="264"/>
      <c r="P11" s="264"/>
      <c r="Q11" s="264"/>
      <c r="R11" s="264"/>
      <c r="S11" s="264"/>
      <c r="T11" s="264"/>
      <c r="U11" s="271" t="str">
        <f>IF(COUNTIF([6]回答表!F17,"*")&gt;0,[6]回答表!F17,"")</f>
        <v>介護サービス事業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IF(COUNTIF([6]回答表!W17,"*")&gt;0,[6]回答表!W17,"")</f>
        <v>老人短期入所施設</v>
      </c>
      <c r="AP11" s="266"/>
      <c r="AQ11" s="266"/>
      <c r="AR11" s="266"/>
      <c r="AS11" s="266"/>
      <c r="AT11" s="266"/>
      <c r="AU11" s="266"/>
      <c r="AV11" s="266"/>
      <c r="AW11" s="266"/>
      <c r="AX11" s="266"/>
      <c r="AY11" s="266"/>
      <c r="AZ11" s="266"/>
      <c r="BA11" s="266"/>
      <c r="BB11" s="266"/>
      <c r="BC11" s="266"/>
      <c r="BD11" s="266"/>
      <c r="BE11" s="267"/>
      <c r="BF11" s="270" t="str">
        <f>IF(COUNTIF([6]回答表!F19,"*")&gt;0,[6]回答表!F19,"")</f>
        <v>介護老人福祉施設介護サービス事業特別会計</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IF([6]回答表!R41="○","○","")</f>
        <v/>
      </c>
      <c r="E24" s="122"/>
      <c r="F24" s="122"/>
      <c r="G24" s="122"/>
      <c r="H24" s="122"/>
      <c r="I24" s="122"/>
      <c r="J24" s="123"/>
      <c r="K24" s="121" t="str">
        <f>IF([6]回答表!R42="○","○","")</f>
        <v>○</v>
      </c>
      <c r="L24" s="122"/>
      <c r="M24" s="122"/>
      <c r="N24" s="122"/>
      <c r="O24" s="122"/>
      <c r="P24" s="122"/>
      <c r="Q24" s="123"/>
      <c r="R24" s="121" t="str">
        <f>IF([6]回答表!R43="○","○","")</f>
        <v/>
      </c>
      <c r="S24" s="122"/>
      <c r="T24" s="122"/>
      <c r="U24" s="122"/>
      <c r="V24" s="122"/>
      <c r="W24" s="122"/>
      <c r="X24" s="123"/>
      <c r="Y24" s="121" t="str">
        <f>IF([6]回答表!R44="○","○","")</f>
        <v/>
      </c>
      <c r="Z24" s="122"/>
      <c r="AA24" s="122"/>
      <c r="AB24" s="122"/>
      <c r="AC24" s="122"/>
      <c r="AD24" s="122"/>
      <c r="AE24" s="123"/>
      <c r="AF24" s="121" t="str">
        <f>IF([6]回答表!R45="○","○","")</f>
        <v/>
      </c>
      <c r="AG24" s="122"/>
      <c r="AH24" s="122"/>
      <c r="AI24" s="122"/>
      <c r="AJ24" s="122"/>
      <c r="AK24" s="122"/>
      <c r="AL24" s="123"/>
      <c r="AM24" s="121" t="str">
        <f>IF([6]回答表!R46="○","○","")</f>
        <v/>
      </c>
      <c r="AN24" s="122"/>
      <c r="AO24" s="122"/>
      <c r="AP24" s="122"/>
      <c r="AQ24" s="122"/>
      <c r="AR24" s="122"/>
      <c r="AS24" s="123"/>
      <c r="AT24" s="121" t="str">
        <f>IF([6]回答表!R47="○","○","")</f>
        <v/>
      </c>
      <c r="AU24" s="122"/>
      <c r="AV24" s="122"/>
      <c r="AW24" s="122"/>
      <c r="AX24" s="122"/>
      <c r="AY24" s="122"/>
      <c r="AZ24" s="123"/>
      <c r="BA24" s="19"/>
      <c r="BB24" s="118" t="str">
        <f>IF([6]回答表!R48="○","○","")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IF([6]回答表!X41="○","○","")</f>
        <v/>
      </c>
      <c r="O36" s="98"/>
      <c r="P36" s="98"/>
      <c r="Q36" s="99"/>
      <c r="R36" s="39"/>
      <c r="S36" s="39"/>
      <c r="T36" s="39"/>
      <c r="U36" s="106" t="str">
        <f>IF([6]回答表!X41="○",[6]回答表!B56,IF([6]回答表!AA41="○",[6]回答表!B76,""))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IF([6]回答表!X41="○",[6]回答表!S62,IF([6]回答表!AA41="○",[6]回答表!S82,""))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IF([6]回答表!X41="○",[6]回答表!G62,IF([6]回答表!AA41="○",[6]回答表!G82,""))</f>
        <v/>
      </c>
      <c r="AN38" s="119"/>
      <c r="AO38" s="119"/>
      <c r="AP38" s="119"/>
      <c r="AQ38" s="119"/>
      <c r="AR38" s="119"/>
      <c r="AS38" s="119"/>
      <c r="AT38" s="120"/>
      <c r="AU38" s="118" t="str">
        <f>IF([6]回答表!X41="○",[6]回答表!G63,IF([6]回答表!AA41="○",[6]回答表!G83,""))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IF([6]回答表!X41="○",[6]回答表!V62,IF([6]回答表!AA41="○",[6]回答表!V82,""))</f>
        <v/>
      </c>
      <c r="BF39" s="217"/>
      <c r="BG39" s="217"/>
      <c r="BH39" s="218"/>
      <c r="BI39" s="82" t="str">
        <f>IF([6]回答表!X41="○",[6]回答表!V63,IF([6]回答表!AA41="○",[6]回答表!V83,""))</f>
        <v/>
      </c>
      <c r="BJ39" s="217"/>
      <c r="BK39" s="217"/>
      <c r="BL39" s="218"/>
      <c r="BM39" s="82" t="str">
        <f>IF([6]回答表!X41="○",[6]回答表!V64,IF([6]回答表!AA41="○",[6]回答表!V84,""))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IF([6]回答表!X41="○",[6]回答表!O68,IF([6]回答表!AA41="○",[6]回答表!O88,""))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IF([6]回答表!X41="○",[6]回答表!O69,IF([6]回答表!AA41="○",[6]回答表!O89,""))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IF([6]回答表!AA41="○","○","")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IF([6]回答表!X41="○",[6]回答表!O70,IF([6]回答表!AA41="○",[6]回答表!O90,""))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IF([6]回答表!X41="○",[6]回答表!O71,IF([6]回答表!AA41="○",[6]回答表!O91,""))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IF([6]回答表!X41="○",[6]回答表!AG68,IF([6]回答表!AA41="○",[6]回答表!AG88,""))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IF([6]回答表!X41="○",[6]回答表!AG69,IF([6]回答表!AA41="○",[6]回答表!AG89,""))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IF([6]回答表!X41="○",[6]回答表!AG70,IF([6]回答表!AA41="○",[6]回答表!AG90,""))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IF([6]回答表!AD41="○","○","")</f>
        <v/>
      </c>
      <c r="O52" s="98"/>
      <c r="P52" s="98"/>
      <c r="Q52" s="99"/>
      <c r="R52" s="39"/>
      <c r="S52" s="39"/>
      <c r="T52" s="39"/>
      <c r="U52" s="106" t="str">
        <f>IF([6]回答表!AD41="○",[6]回答表!B96,"")</f>
        <v/>
      </c>
      <c r="V52" s="107"/>
      <c r="W52" s="107"/>
      <c r="X52" s="107"/>
      <c r="Y52" s="107"/>
      <c r="Z52" s="107"/>
      <c r="AA52" s="107"/>
      <c r="AB52" s="107"/>
      <c r="AC52" s="107"/>
      <c r="AD52" s="107"/>
      <c r="AE52" s="107"/>
      <c r="AF52" s="107"/>
      <c r="AG52" s="107"/>
      <c r="AH52" s="107"/>
      <c r="AI52" s="107"/>
      <c r="AJ52" s="108"/>
      <c r="AK52" s="56"/>
      <c r="AL52" s="56"/>
      <c r="AM52" s="106" t="str">
        <f>IF([6]回答表!AD41="○",[6]回答表!B101,"")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IF([6]回答表!X42="○","○","")</f>
        <v>○</v>
      </c>
      <c r="O63" s="98"/>
      <c r="P63" s="98"/>
      <c r="Q63" s="99"/>
      <c r="R63" s="39"/>
      <c r="S63" s="39"/>
      <c r="T63" s="39"/>
      <c r="U63" s="106" t="str">
        <f>IF([6]回答表!X42="○",[6]回答表!B111,IF([6]回答表!AA42="○",[6]回答表!B124,""))</f>
        <v>市立の介護保険施設４施設を法人へ移譲、民営化したことにより、施設数の削減が図られた。</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IF([6]回答表!X42="○",[6]回答表!S117,IF([6]回答表!AA42="○",[6]回答表!S130,""))</f>
        <v>平成</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IF([6]回答表!X42="○",[6]回答表!J117,IF([6]回答表!AA42="○",[6]回答表!J130,""))</f>
        <v>○</v>
      </c>
      <c r="AN66" s="119"/>
      <c r="AO66" s="119"/>
      <c r="AP66" s="119"/>
      <c r="AQ66" s="119"/>
      <c r="AR66" s="119"/>
      <c r="AS66" s="119"/>
      <c r="AT66" s="120"/>
      <c r="AU66" s="118">
        <f>IF([6]回答表!X42="○",[6]回答表!J118,IF([6]回答表!AA42="○",[6]回答表!J131,""))</f>
        <v>0</v>
      </c>
      <c r="AV66" s="119"/>
      <c r="AW66" s="119"/>
      <c r="AX66" s="119"/>
      <c r="AY66" s="119"/>
      <c r="AZ66" s="119"/>
      <c r="BA66" s="119"/>
      <c r="BB66" s="120"/>
      <c r="BC66" s="40"/>
      <c r="BD66" s="35"/>
      <c r="BE66" s="82">
        <f>IF([6]回答表!X42="○",[6]回答表!V117,IF([6]回答表!AA42="○",[6]回答表!V130,""))</f>
        <v>23</v>
      </c>
      <c r="BF66" s="83"/>
      <c r="BG66" s="83"/>
      <c r="BH66" s="83"/>
      <c r="BI66" s="82">
        <f>IF([6]回答表!X42="○",[6]回答表!V118,IF([6]回答表!AA42="○",[6]回答表!V131,""))</f>
        <v>4</v>
      </c>
      <c r="BJ66" s="83"/>
      <c r="BK66" s="83"/>
      <c r="BL66" s="83"/>
      <c r="BM66" s="82">
        <f>IF([6]回答表!X42="○",[6]回答表!V119,IF([6]回答表!AA42="○",[6]回答表!V132,""))</f>
        <v>1</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IF([6]回答表!AA42="○","○","")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IF([6]回答表!AD42="○","○","")</f>
        <v/>
      </c>
      <c r="O75" s="98"/>
      <c r="P75" s="98"/>
      <c r="Q75" s="99"/>
      <c r="R75" s="39"/>
      <c r="S75" s="39"/>
      <c r="T75" s="39"/>
      <c r="U75" s="106" t="str">
        <f>IF([6]回答表!AD42="○",[6]回答表!B137,"")</f>
        <v/>
      </c>
      <c r="V75" s="107"/>
      <c r="W75" s="107"/>
      <c r="X75" s="107"/>
      <c r="Y75" s="107"/>
      <c r="Z75" s="107"/>
      <c r="AA75" s="107"/>
      <c r="AB75" s="107"/>
      <c r="AC75" s="107"/>
      <c r="AD75" s="107"/>
      <c r="AE75" s="107"/>
      <c r="AF75" s="107"/>
      <c r="AG75" s="107"/>
      <c r="AH75" s="107"/>
      <c r="AI75" s="107"/>
      <c r="AJ75" s="108"/>
      <c r="AK75" s="56"/>
      <c r="AL75" s="56"/>
      <c r="AM75" s="106" t="str">
        <f>IF([6]回答表!AD42="○",[6]回答表!B143,"")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IF([6]回答表!F17="水道事業",IF([6]回答表!X43="○","○",""),"")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IF([6]回答表!F17="水道事業",IF([6]回答表!X43="○",[6]回答表!B154,IF([6]回答表!AA43="○",[6]回答表!B201,"")),"")</f>
        <v/>
      </c>
      <c r="AN87" s="107"/>
      <c r="AO87" s="107"/>
      <c r="AP87" s="107"/>
      <c r="AQ87" s="107"/>
      <c r="AR87" s="107"/>
      <c r="AS87" s="107"/>
      <c r="AT87" s="107"/>
      <c r="AU87" s="107"/>
      <c r="AV87" s="107"/>
      <c r="AW87" s="107"/>
      <c r="AX87" s="107"/>
      <c r="AY87" s="107"/>
      <c r="AZ87" s="107"/>
      <c r="BA87" s="107"/>
      <c r="BB87" s="108"/>
      <c r="BC87" s="40"/>
      <c r="BD87" s="35"/>
      <c r="BE87" s="115" t="str">
        <f>IF([6]回答表!F17="水道事業",IF([6]回答表!X43="○",[6]回答表!B190,IF([6]回答表!AA43="○",[6]回答表!B238,"")),"")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IF([6]回答表!F17="水道事業",IF([6]回答表!X43="○",[6]回答表!J162,IF([6]回答表!AA43="○",[6]回答表!J209,"")),"")</f>
        <v/>
      </c>
      <c r="V89" s="119"/>
      <c r="W89" s="119"/>
      <c r="X89" s="119"/>
      <c r="Y89" s="119"/>
      <c r="Z89" s="119"/>
      <c r="AA89" s="119"/>
      <c r="AB89" s="120"/>
      <c r="AC89" s="118" t="str">
        <f>IF([6]回答表!F17="水道事業",IF([6]回答表!X43="○",[6]回答表!J169,IF([6]回答表!AA43="○",[6]回答表!J216,"")),"")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IF([6]回答表!F17="水道事業",IF([6]回答表!X43="○",[6]回答表!E190,IF([6]回答表!AA43="○",[6]回答表!E238,"")),"")</f>
        <v/>
      </c>
      <c r="BF90" s="83"/>
      <c r="BG90" s="83"/>
      <c r="BH90" s="83"/>
      <c r="BI90" s="82" t="str">
        <f>IF([6]回答表!F17="水道事業",IF([6]回答表!X43="○",[6]回答表!E191,IF([6]回答表!AA43="○",[6]回答表!E239,"")),"")</f>
        <v/>
      </c>
      <c r="BJ90" s="83"/>
      <c r="BK90" s="83"/>
      <c r="BL90" s="83"/>
      <c r="BM90" s="82" t="str">
        <f>IF([6]回答表!F17="水道事業",IF([6]回答表!X43="○",[6]回答表!E192,IF([6]回答表!AA43="○",[6]回答表!E240,"")),"")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IF([6]回答表!F17="水道事業",IF([6]回答表!AA43="○","○",""),"")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IF([6]回答表!F17="水道事業",IF([6]回答表!X43="○",[6]回答表!J172,IF([6]回答表!AA43="○",[6]回答表!J219,"")),"")</f>
        <v/>
      </c>
      <c r="V94" s="119"/>
      <c r="W94" s="119"/>
      <c r="X94" s="119"/>
      <c r="Y94" s="119"/>
      <c r="Z94" s="119"/>
      <c r="AA94" s="119"/>
      <c r="AB94" s="120"/>
      <c r="AC94" s="118" t="str">
        <f>IF([6]回答表!F17="水道事業",IF([6]回答表!X43="○",[6]回答表!J176,IF([6]回答表!AA43="○",[6]回答表!J223,"")),"")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IF([6]回答表!F17="水道事業",IF([6]回答表!AD43="○","○",""),"")</f>
        <v/>
      </c>
      <c r="O99" s="98"/>
      <c r="P99" s="98"/>
      <c r="Q99" s="99"/>
      <c r="R99" s="39"/>
      <c r="S99" s="39"/>
      <c r="T99" s="39"/>
      <c r="U99" s="106" t="str">
        <f>IF([6]回答表!F17="水道事業",IF([6]回答表!AD43="○",[6]回答表!B249,""),"")</f>
        <v/>
      </c>
      <c r="V99" s="107"/>
      <c r="W99" s="107"/>
      <c r="X99" s="107"/>
      <c r="Y99" s="107"/>
      <c r="Z99" s="107"/>
      <c r="AA99" s="107"/>
      <c r="AB99" s="107"/>
      <c r="AC99" s="107"/>
      <c r="AD99" s="107"/>
      <c r="AE99" s="107"/>
      <c r="AF99" s="107"/>
      <c r="AG99" s="107"/>
      <c r="AH99" s="107"/>
      <c r="AI99" s="107"/>
      <c r="AJ99" s="108"/>
      <c r="AK99" s="56"/>
      <c r="AL99" s="56"/>
      <c r="AM99" s="106" t="str">
        <f>IF([6]回答表!F17="水道事業",IF([6]回答表!AD43="○",[6]回答表!B255,""),"")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IF([6]回答表!F17="簡易水道事業",IF([6]回答表!X43="○","○",""),"")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IF([6]回答表!F17="簡易水道事業",IF([6]回答表!X43="○",[6]回答表!B154,IF([6]回答表!AA43="○",[6]回答表!B201,"")),"")</f>
        <v/>
      </c>
      <c r="AN111" s="107"/>
      <c r="AO111" s="107"/>
      <c r="AP111" s="107"/>
      <c r="AQ111" s="107"/>
      <c r="AR111" s="107"/>
      <c r="AS111" s="107"/>
      <c r="AT111" s="107"/>
      <c r="AU111" s="107"/>
      <c r="AV111" s="107"/>
      <c r="AW111" s="107"/>
      <c r="AX111" s="107"/>
      <c r="AY111" s="107"/>
      <c r="AZ111" s="107"/>
      <c r="BA111" s="107"/>
      <c r="BB111" s="108"/>
      <c r="BC111" s="40"/>
      <c r="BD111" s="35"/>
      <c r="BE111" s="115" t="str">
        <f>IF([6]回答表!F17="簡易水道事業",IF([6]回答表!X43="○",[6]回答表!B190,IF([6]回答表!AA43="○",[6]回答表!B238,"")),"")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IF([6]回答表!F17="簡易水道事業",IF([6]回答表!X43="○",[6]回答表!Y181,IF([6]回答表!AA43="○",[6]回答表!Y229,"")),"")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IF([6]回答表!F17="簡易水道事業",IF([6]回答表!X43="○",[6]回答表!E190,IF([6]回答表!AA43="○",[6]回答表!E238,"")),"")</f>
        <v/>
      </c>
      <c r="BF114" s="83"/>
      <c r="BG114" s="83"/>
      <c r="BH114" s="83"/>
      <c r="BI114" s="82" t="str">
        <f>IF([6]回答表!F17="簡易水道事業",IF([6]回答表!X43="○",[6]回答表!E191,IF([6]回答表!AA43="○",[6]回答表!E239,"")),"")</f>
        <v/>
      </c>
      <c r="BJ114" s="83"/>
      <c r="BK114" s="83"/>
      <c r="BL114" s="83"/>
      <c r="BM114" s="82" t="str">
        <f>IF([6]回答表!F17="簡易水道事業",IF([6]回答表!X43="○",[6]回答表!E192,IF([6]回答表!AA43="○",[6]回答表!E240,"")),"")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IF([6]回答表!F17="簡易水道事業",IF([6]回答表!AA43="○","○",""),"")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IF([6]回答表!F17="簡易水道事業",IF([6]回答表!X43="○",[6]回答表!Y182,IF([6]回答表!AA43="○",[6]回答表!Y230,"")),"")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IF([6]回答表!F17="簡易水道事業",IF([6]回答表!AD43="○","○",""),"")</f>
        <v/>
      </c>
      <c r="O123" s="98"/>
      <c r="P123" s="98"/>
      <c r="Q123" s="99"/>
      <c r="R123" s="39"/>
      <c r="S123" s="39"/>
      <c r="T123" s="39"/>
      <c r="U123" s="106" t="str">
        <f>IF([6]回答表!F17="簡易水道事業",IF([6]回答表!AD43="○",[6]回答表!B249,""),"")</f>
        <v/>
      </c>
      <c r="V123" s="107"/>
      <c r="W123" s="107"/>
      <c r="X123" s="107"/>
      <c r="Y123" s="107"/>
      <c r="Z123" s="107"/>
      <c r="AA123" s="107"/>
      <c r="AB123" s="107"/>
      <c r="AC123" s="107"/>
      <c r="AD123" s="107"/>
      <c r="AE123" s="107"/>
      <c r="AF123" s="107"/>
      <c r="AG123" s="107"/>
      <c r="AH123" s="107"/>
      <c r="AI123" s="107"/>
      <c r="AJ123" s="108"/>
      <c r="AK123" s="56"/>
      <c r="AL123" s="56"/>
      <c r="AM123" s="106" t="str">
        <f>IF([6]回答表!F17="簡易水道事業",IF([6]回答表!AD43="○",[6]回答表!B255,""),"")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IF([6]回答表!F17="下水道事業",IF([6]回答表!X43="○","○",""),"")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IF([6]回答表!F17="下水道事業",IF([6]回答表!X43="○",[6]回答表!B154,IF([6]回答表!AA43="○",[6]回答表!B201,"")),"")</f>
        <v/>
      </c>
      <c r="AN135" s="107"/>
      <c r="AO135" s="107"/>
      <c r="AP135" s="107"/>
      <c r="AQ135" s="107"/>
      <c r="AR135" s="107"/>
      <c r="AS135" s="107"/>
      <c r="AT135" s="107"/>
      <c r="AU135" s="107"/>
      <c r="AV135" s="107"/>
      <c r="AW135" s="107"/>
      <c r="AX135" s="107"/>
      <c r="AY135" s="107"/>
      <c r="AZ135" s="107"/>
      <c r="BA135" s="107"/>
      <c r="BB135" s="108"/>
      <c r="BC135" s="40"/>
      <c r="BD135" s="35"/>
      <c r="BE135" s="115" t="str">
        <f>IF([6]回答表!F17="下水道事業",IF([6]回答表!X43="○",[6]回答表!B190,IF([6]回答表!AA43="○",[6]回答表!B238,"")),"")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IF([6]回答表!F17="下水道事業",IF([6]回答表!X43="○",[6]回答表!Y184,IF([6]回答表!AA43="○",[6]回答表!Y232,"")),"")</f>
        <v/>
      </c>
      <c r="V137" s="119"/>
      <c r="W137" s="119"/>
      <c r="X137" s="119"/>
      <c r="Y137" s="119"/>
      <c r="Z137" s="119"/>
      <c r="AA137" s="119"/>
      <c r="AB137" s="120"/>
      <c r="AC137" s="118" t="str">
        <f>IF([6]回答表!F17="下水道事業",IF([6]回答表!X43="○",[6]回答表!Y185,IF([6]回答表!AA43="○",[6]回答表!Y233,"")),"")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IF([6]回答表!F17="下水道事業",IF([6]回答表!X43="○",[6]回答表!E190,IF([6]回答表!AA43="○",[6]回答表!E238,"")),"")</f>
        <v/>
      </c>
      <c r="BF138" s="83"/>
      <c r="BG138" s="83"/>
      <c r="BH138" s="83"/>
      <c r="BI138" s="82" t="str">
        <f>IF([6]回答表!F17="下水道事業",IF([6]回答表!X43="○",[6]回答表!E191,IF([6]回答表!AA43="○",[6]回答表!E239,"")),"")</f>
        <v/>
      </c>
      <c r="BJ138" s="83"/>
      <c r="BK138" s="83"/>
      <c r="BL138" s="83"/>
      <c r="BM138" s="82" t="str">
        <f>IF([6]回答表!F17="下水道事業",IF([6]回答表!X43="○",[6]回答表!E192,IF([6]回答表!AA43="○",[6]回答表!E240,"")),"")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IF([6]回答表!F17="下水道事業",IF([6]回答表!AA43="○","○",""),"")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IF([6]回答表!F17="下水道事業",IF([6]回答表!X43="○",[6]回答表!Y186,IF([6]回答表!AA43="○",[6]回答表!Y234,"")),"")</f>
        <v/>
      </c>
      <c r="V142" s="119"/>
      <c r="W142" s="119"/>
      <c r="X142" s="119"/>
      <c r="Y142" s="119"/>
      <c r="Z142" s="119"/>
      <c r="AA142" s="119"/>
      <c r="AB142" s="120"/>
      <c r="AC142" s="118" t="str">
        <f>IF([6]回答表!F17="下水道事業",IF([6]回答表!X43="○",[6]回答表!Y187,IF([6]回答表!AA43="○",[6]回答表!Y235,"")),"")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IF([6]回答表!F17="下水道事業",IF([6]回答表!AD43="○","○",""),"")</f>
        <v/>
      </c>
      <c r="O147" s="98"/>
      <c r="P147" s="98"/>
      <c r="Q147" s="99"/>
      <c r="R147" s="39"/>
      <c r="S147" s="39"/>
      <c r="T147" s="39"/>
      <c r="U147" s="106" t="str">
        <f>IF([6]回答表!F17="下水道事業",IF([6]回答表!AD43="○",[6]回答表!B249,""),"")</f>
        <v/>
      </c>
      <c r="V147" s="107"/>
      <c r="W147" s="107"/>
      <c r="X147" s="107"/>
      <c r="Y147" s="107"/>
      <c r="Z147" s="107"/>
      <c r="AA147" s="107"/>
      <c r="AB147" s="107"/>
      <c r="AC147" s="107"/>
      <c r="AD147" s="107"/>
      <c r="AE147" s="107"/>
      <c r="AF147" s="107"/>
      <c r="AG147" s="107"/>
      <c r="AH147" s="107"/>
      <c r="AI147" s="107"/>
      <c r="AJ147" s="108"/>
      <c r="AK147" s="56"/>
      <c r="AL147" s="56"/>
      <c r="AM147" s="106" t="str">
        <f>IF([6]回答表!F17="下水道事業",IF([6]回答表!AD43="○",[6]回答表!B255,""),"")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IF([6]回答表!BD17="○",IF([6]回答表!X43="○","○",""),"")</f>
        <v/>
      </c>
      <c r="O159" s="98"/>
      <c r="P159" s="98"/>
      <c r="Q159" s="99"/>
      <c r="R159" s="39"/>
      <c r="S159" s="39"/>
      <c r="T159" s="39"/>
      <c r="U159" s="106" t="str">
        <f>IF([6]回答表!BD17="○",IF([6]回答表!X43="○",[6]回答表!B154,IF([6]回答表!AA43="○",[6]回答表!B201,"")),"")</f>
        <v/>
      </c>
      <c r="V159" s="107"/>
      <c r="W159" s="107"/>
      <c r="X159" s="107"/>
      <c r="Y159" s="107"/>
      <c r="Z159" s="107"/>
      <c r="AA159" s="107"/>
      <c r="AB159" s="107"/>
      <c r="AC159" s="107"/>
      <c r="AD159" s="107"/>
      <c r="AE159" s="107"/>
      <c r="AF159" s="107"/>
      <c r="AG159" s="107"/>
      <c r="AH159" s="107"/>
      <c r="AI159" s="107"/>
      <c r="AJ159" s="108"/>
      <c r="AK159" s="50"/>
      <c r="AL159" s="50"/>
      <c r="AM159" s="115" t="str">
        <f>IF([6]回答表!BD17="○",IF([6]回答表!X43="○",[6]回答表!B190,IF([6]回答表!AA43="○",[6]回答表!B238,"")),"")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IF([6]回答表!BD17="○",IF([6]回答表!X43="○",[6]回答表!E190,IF([6]回答表!AA43="○",[6]回答表!E238,"")),"")</f>
        <v/>
      </c>
      <c r="AN162" s="83"/>
      <c r="AO162" s="83"/>
      <c r="AP162" s="83"/>
      <c r="AQ162" s="82" t="str">
        <f>IF([6]回答表!BD17="○",IF([6]回答表!X43="○",[6]回答表!E191,IF([6]回答表!AA43="○",[6]回答表!E239,"")),"")</f>
        <v/>
      </c>
      <c r="AR162" s="83"/>
      <c r="AS162" s="83"/>
      <c r="AT162" s="83"/>
      <c r="AU162" s="82" t="str">
        <f>IF([6]回答表!BD17="○",IF([6]回答表!X43="○",[6]回答表!E192,IF([6]回答表!AA43="○",[6]回答表!E240,"")),"")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IF([6]回答表!BD17="○",IF([6]回答表!AA43="○","○",""),"")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IF([6]回答表!BD17="○",IF([6]回答表!AD43="○","○",""),"")</f>
        <v/>
      </c>
      <c r="O171" s="98"/>
      <c r="P171" s="98"/>
      <c r="Q171" s="99"/>
      <c r="R171" s="39"/>
      <c r="S171" s="39"/>
      <c r="T171" s="39"/>
      <c r="U171" s="106" t="str">
        <f>IF([6]回答表!BD17="○",IF([6]回答表!AD43="○",[6]回答表!B249,""),"")</f>
        <v/>
      </c>
      <c r="V171" s="107"/>
      <c r="W171" s="107"/>
      <c r="X171" s="107"/>
      <c r="Y171" s="107"/>
      <c r="Z171" s="107"/>
      <c r="AA171" s="107"/>
      <c r="AB171" s="107"/>
      <c r="AC171" s="107"/>
      <c r="AD171" s="107"/>
      <c r="AE171" s="107"/>
      <c r="AF171" s="107"/>
      <c r="AG171" s="107"/>
      <c r="AH171" s="107"/>
      <c r="AI171" s="107"/>
      <c r="AJ171" s="108"/>
      <c r="AK171" s="56"/>
      <c r="AL171" s="56"/>
      <c r="AM171" s="106" t="str">
        <f>IF([6]回答表!BD17="○",IF([6]回答表!AD43="○",[6]回答表!B255,""),"")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IF([6]回答表!X44="○","○","")</f>
        <v/>
      </c>
      <c r="O183" s="98"/>
      <c r="P183" s="98"/>
      <c r="Q183" s="99"/>
      <c r="R183" s="39"/>
      <c r="S183" s="39"/>
      <c r="T183" s="39"/>
      <c r="U183" s="106" t="str">
        <f>IF([6]回答表!X44="○",[6]回答表!B266,IF([6]回答表!AA44="○",[6]回答表!B283,""))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IF([6]回答表!X44="○",[6]回答表!U272,IF([6]回答表!AA44="○",[6]回答表!U289,""))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IF([6]回答表!X44="○",[6]回答表!G272,IF([6]回答表!AA44="○",[6]回答表!G289,""))</f>
        <v/>
      </c>
      <c r="AN186" s="119"/>
      <c r="AO186" s="119"/>
      <c r="AP186" s="119"/>
      <c r="AQ186" s="119"/>
      <c r="AR186" s="119"/>
      <c r="AS186" s="119"/>
      <c r="AT186" s="120"/>
      <c r="AU186" s="118" t="str">
        <f>IF([6]回答表!X44="○",[6]回答表!G273,IF([6]回答表!AA44="○",[6]回答表!G290,""))</f>
        <v/>
      </c>
      <c r="AV186" s="119"/>
      <c r="AW186" s="119"/>
      <c r="AX186" s="119"/>
      <c r="AY186" s="119"/>
      <c r="AZ186" s="119"/>
      <c r="BA186" s="119"/>
      <c r="BB186" s="120"/>
      <c r="BC186" s="40"/>
      <c r="BD186" s="35"/>
      <c r="BE186" s="82" t="str">
        <f>IF([6]回答表!X44="○",[6]回答表!X272,IF([6]回答表!AA44="○",[6]回答表!X289,""))</f>
        <v/>
      </c>
      <c r="BF186" s="83"/>
      <c r="BG186" s="83"/>
      <c r="BH186" s="83"/>
      <c r="BI186" s="82" t="str">
        <f>IF([6]回答表!X44="○",[6]回答表!X273,IF([6]回答表!AA44="○",[6]回答表!X290,""))</f>
        <v/>
      </c>
      <c r="BJ186" s="83"/>
      <c r="BK186" s="83"/>
      <c r="BL186" s="86"/>
      <c r="BM186" s="82" t="str">
        <f>IF([6]回答表!X44="○",[6]回答表!X274,IF([6]回答表!AA44="○",[6]回答表!X291,""))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IF([6]回答表!AA44="○","○","")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IF([6]回答表!AD44="○","○","")</f>
        <v/>
      </c>
      <c r="O195" s="98"/>
      <c r="P195" s="98"/>
      <c r="Q195" s="99"/>
      <c r="R195" s="39"/>
      <c r="S195" s="39"/>
      <c r="T195" s="39"/>
      <c r="U195" s="106" t="str">
        <f>IF([6]回答表!AD44="○",[6]回答表!B296,"")</f>
        <v/>
      </c>
      <c r="V195" s="107"/>
      <c r="W195" s="107"/>
      <c r="X195" s="107"/>
      <c r="Y195" s="107"/>
      <c r="Z195" s="107"/>
      <c r="AA195" s="107"/>
      <c r="AB195" s="107"/>
      <c r="AC195" s="107"/>
      <c r="AD195" s="107"/>
      <c r="AE195" s="107"/>
      <c r="AF195" s="107"/>
      <c r="AG195" s="107"/>
      <c r="AH195" s="107"/>
      <c r="AI195" s="107"/>
      <c r="AJ195" s="108"/>
      <c r="AK195" s="61"/>
      <c r="AL195" s="61"/>
      <c r="AM195" s="106" t="str">
        <f>IF([6]回答表!AD44="○",[6]回答表!B302,"")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IF([6]回答表!X45="○","○","")</f>
        <v/>
      </c>
      <c r="O207" s="98"/>
      <c r="P207" s="98"/>
      <c r="Q207" s="99"/>
      <c r="R207" s="39"/>
      <c r="S207" s="39"/>
      <c r="T207" s="39"/>
      <c r="U207" s="106" t="str">
        <f>IF([6]回答表!X45="○",[6]回答表!B314,IF([6]回答表!AA45="○",[6]回答表!B337,""))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IF([6]回答表!X45="○",[6]回答表!B320,"")</f>
        <v/>
      </c>
      <c r="AO207" s="164"/>
      <c r="AP207" s="164"/>
      <c r="AQ207" s="164"/>
      <c r="AR207" s="164"/>
      <c r="AS207" s="164"/>
      <c r="AT207" s="164"/>
      <c r="AU207" s="164"/>
      <c r="AV207" s="164"/>
      <c r="AW207" s="164"/>
      <c r="AX207" s="164"/>
      <c r="AY207" s="164"/>
      <c r="AZ207" s="164"/>
      <c r="BA207" s="164"/>
      <c r="BB207" s="165"/>
      <c r="BC207" s="40"/>
      <c r="BD207" s="35"/>
      <c r="BE207" s="115" t="str">
        <f>IF([6]回答表!X45="○",[6]回答表!B326,IF([6]回答表!AA45="○",[6]回答表!B343,""))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IF([6]回答表!X45="○",[6]回答表!E326,IF([6]回答表!AA45="○",[6]回答表!E343,""))</f>
        <v/>
      </c>
      <c r="BF210" s="83"/>
      <c r="BG210" s="83"/>
      <c r="BH210" s="83"/>
      <c r="BI210" s="82" t="str">
        <f>IF([6]回答表!X45="○",[6]回答表!E327,IF([6]回答表!AA45="○",[6]回答表!E344,""))</f>
        <v/>
      </c>
      <c r="BJ210" s="83"/>
      <c r="BK210" s="83"/>
      <c r="BL210" s="86"/>
      <c r="BM210" s="82" t="str">
        <f>IF([6]回答表!X45="○",[6]回答表!E328,IF([6]回答表!AA45="○",[6]回答表!E345,""))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IF([6]回答表!AA45="○","○","")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IF([6]回答表!AD45="○","○","")</f>
        <v/>
      </c>
      <c r="O219" s="98"/>
      <c r="P219" s="98"/>
      <c r="Q219" s="99"/>
      <c r="R219" s="39"/>
      <c r="S219" s="39"/>
      <c r="T219" s="39"/>
      <c r="U219" s="106" t="str">
        <f>IF([6]回答表!AD45="○",[6]回答表!B350,"")</f>
        <v/>
      </c>
      <c r="V219" s="107"/>
      <c r="W219" s="107"/>
      <c r="X219" s="107"/>
      <c r="Y219" s="107"/>
      <c r="Z219" s="107"/>
      <c r="AA219" s="107"/>
      <c r="AB219" s="107"/>
      <c r="AC219" s="107"/>
      <c r="AD219" s="107"/>
      <c r="AE219" s="107"/>
      <c r="AF219" s="107"/>
      <c r="AG219" s="107"/>
      <c r="AH219" s="107"/>
      <c r="AI219" s="107"/>
      <c r="AJ219" s="108"/>
      <c r="AK219" s="61"/>
      <c r="AL219" s="61"/>
      <c r="AM219" s="106" t="str">
        <f>IF([6]回答表!AD45="○",[6]回答表!B356,"")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IF([6]回答表!X46="○","○","")</f>
        <v/>
      </c>
      <c r="O231" s="98"/>
      <c r="P231" s="98"/>
      <c r="Q231" s="99"/>
      <c r="R231" s="39"/>
      <c r="S231" s="39"/>
      <c r="T231" s="39"/>
      <c r="U231" s="106" t="str">
        <f>IF([6]回答表!X46="○",[6]回答表!B368,IF([6]回答表!AA46="○",[6]回答表!B382,""))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IF([6]回答表!X46="○",[6]回答表!BC375,IF([6]回答表!AA46="○",[6]回答表!BC389,""))</f>
        <v/>
      </c>
      <c r="AR231" s="150"/>
      <c r="AS231" s="150"/>
      <c r="AT231" s="150"/>
      <c r="AU231" s="155" t="s">
        <v>63</v>
      </c>
      <c r="AV231" s="156"/>
      <c r="AW231" s="156"/>
      <c r="AX231" s="157"/>
      <c r="AY231" s="150" t="str">
        <f>IF([6]回答表!X46="○",[6]回答表!BC380,IF([6]回答表!AA46="○",[6]回答表!BC394,""))</f>
        <v/>
      </c>
      <c r="AZ231" s="150"/>
      <c r="BA231" s="150"/>
      <c r="BB231" s="150"/>
      <c r="BC231" s="40"/>
      <c r="BD231" s="35"/>
      <c r="BE231" s="115" t="str">
        <f>IF([6]回答表!X46="○",[6]回答表!S374,IF([6]回答表!AA46="○",[6]回答表!S388,""))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IF([6]回答表!X46="○",[6]回答表!BC376,IF([6]回答表!AA46="○",[6]回答表!BC390,""))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IF([6]回答表!X46="○",[6]回答表!V374,IF([6]回答表!AA46="○",[6]回答表!V388,""))</f>
        <v/>
      </c>
      <c r="BF234" s="83"/>
      <c r="BG234" s="83"/>
      <c r="BH234" s="83"/>
      <c r="BI234" s="82" t="str">
        <f>IF([6]回答表!X46="○",[6]回答表!V375,IF([6]回答表!AA46="○",[6]回答表!V389,""))</f>
        <v/>
      </c>
      <c r="BJ234" s="83"/>
      <c r="BK234" s="83"/>
      <c r="BL234" s="86"/>
      <c r="BM234" s="82" t="str">
        <f>IF([6]回答表!X46="○",[6]回答表!V376,IF([6]回答表!AA46="○",[6]回答表!V390,""))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IF([6]回答表!X46="○",[6]回答表!BC377,IF([6]回答表!AA46="○",[6]回答表!BC391,""))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IF([6]回答表!X46="○",[6]回答表!BC381,IF([6]回答表!AA46="○",[6]回答表!BC395,""))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IF([6]回答表!AA46="○","○","")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IF([6]回答表!X46="○",[6]回答表!BC378,IF([6]回答表!AA46="○",[6]回答表!BC392,""))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IF([6]回答表!X46="○",[6]回答表!BC379,IF([6]回答表!AA46="○",[6]回答表!BC393,""))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IF([6]回答表!AD46="○","○","")</f>
        <v/>
      </c>
      <c r="O243" s="98"/>
      <c r="P243" s="98"/>
      <c r="Q243" s="99"/>
      <c r="R243" s="39"/>
      <c r="S243" s="39"/>
      <c r="T243" s="39"/>
      <c r="U243" s="106" t="str">
        <f>IF([6]回答表!AD46="○",[6]回答表!B396,"")</f>
        <v/>
      </c>
      <c r="V243" s="107"/>
      <c r="W243" s="107"/>
      <c r="X243" s="107"/>
      <c r="Y243" s="107"/>
      <c r="Z243" s="107"/>
      <c r="AA243" s="107"/>
      <c r="AB243" s="107"/>
      <c r="AC243" s="107"/>
      <c r="AD243" s="107"/>
      <c r="AE243" s="107"/>
      <c r="AF243" s="107"/>
      <c r="AG243" s="107"/>
      <c r="AH243" s="107"/>
      <c r="AI243" s="107"/>
      <c r="AJ243" s="108"/>
      <c r="AK243" s="56"/>
      <c r="AL243" s="56"/>
      <c r="AM243" s="106" t="str">
        <f>IF([6]回答表!AD46="○",[6]回答表!B402,"")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IF([6]回答表!X47="○","○","")</f>
        <v/>
      </c>
      <c r="O254" s="98"/>
      <c r="P254" s="98"/>
      <c r="Q254" s="99"/>
      <c r="R254" s="39"/>
      <c r="S254" s="39"/>
      <c r="T254" s="39"/>
      <c r="U254" s="106" t="str">
        <f>IF([6]回答表!X47="○",[6]回答表!B414,IF([6]回答表!AA47="○",[6]回答表!B431,""))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IF([6]回答表!X47="○",[6]回答表!B424,IF([6]回答表!AA47="○",[6]回答表!B441,""))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IF([6]回答表!X47="○",[6]回答表!G420,IF([6]回答表!AA47="○",[6]回答表!G437,""))</f>
        <v/>
      </c>
      <c r="AN256" s="119"/>
      <c r="AO256" s="119"/>
      <c r="AP256" s="119"/>
      <c r="AQ256" s="119"/>
      <c r="AR256" s="119"/>
      <c r="AS256" s="119"/>
      <c r="AT256" s="120"/>
      <c r="AU256" s="118" t="str">
        <f>IF([6]回答表!X47="○",[6]回答表!G421,IF([6]回答表!AA47="○",[6]回答表!G438,""))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IF([6]回答表!X47="○",[6]回答表!E424,IF([6]回答表!AA47="○",[6]回答表!E441,""))</f>
        <v/>
      </c>
      <c r="BF257" s="83"/>
      <c r="BG257" s="83"/>
      <c r="BH257" s="83"/>
      <c r="BI257" s="82" t="str">
        <f>IF([6]回答表!X47="○",[6]回答表!E425,IF([6]回答表!AA47="○",[6]回答表!E442,""))</f>
        <v/>
      </c>
      <c r="BJ257" s="83"/>
      <c r="BK257" s="83"/>
      <c r="BL257" s="86"/>
      <c r="BM257" s="82" t="str">
        <f>IF([6]回答表!X47="○",[6]回答表!E426,IF([6]回答表!AA47="○",[6]回答表!E443,""))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IF([6]回答表!AA47="○","○","")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IF([6]回答表!AD47="○","○","")</f>
        <v/>
      </c>
      <c r="O266" s="98"/>
      <c r="P266" s="98"/>
      <c r="Q266" s="99"/>
      <c r="R266" s="39"/>
      <c r="S266" s="39"/>
      <c r="T266" s="39"/>
      <c r="U266" s="106" t="str">
        <f>IF([6]回答表!AD47="○",[6]回答表!B448,"")</f>
        <v/>
      </c>
      <c r="V266" s="107"/>
      <c r="W266" s="107"/>
      <c r="X266" s="107"/>
      <c r="Y266" s="107"/>
      <c r="Z266" s="107"/>
      <c r="AA266" s="107"/>
      <c r="AB266" s="107"/>
      <c r="AC266" s="107"/>
      <c r="AD266" s="107"/>
      <c r="AE266" s="107"/>
      <c r="AF266" s="107"/>
      <c r="AG266" s="107"/>
      <c r="AH266" s="107"/>
      <c r="AI266" s="107"/>
      <c r="AJ266" s="108"/>
      <c r="AK266" s="50"/>
      <c r="AL266" s="50"/>
      <c r="AM266" s="106" t="str">
        <f>IF([6]回答表!AD47="○",[6]回答表!B454,"")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IF([6]回答表!R48="○",[6]回答表!B467,"")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BE207:BH209"/>
    <mergeCell ref="BI207:BL209"/>
    <mergeCell ref="BM207:BP209"/>
    <mergeCell ref="BI135:BL137"/>
    <mergeCell ref="BM135:BP137"/>
    <mergeCell ref="C275:BQ277"/>
    <mergeCell ref="D279:BP297"/>
    <mergeCell ref="BE87:BH89"/>
    <mergeCell ref="BI87:BL89"/>
    <mergeCell ref="BM87:BP89"/>
    <mergeCell ref="BE90:BH93"/>
    <mergeCell ref="D52:M55"/>
    <mergeCell ref="N52:Q55"/>
    <mergeCell ref="U52:AJ55"/>
    <mergeCell ref="AM52:BP55"/>
    <mergeCell ref="BI36:BL38"/>
    <mergeCell ref="BM36:BP38"/>
    <mergeCell ref="AM38:AT40"/>
    <mergeCell ref="AU38:BB40"/>
    <mergeCell ref="BE214:BH216"/>
    <mergeCell ref="BI214:BL216"/>
    <mergeCell ref="BM214:BP216"/>
    <mergeCell ref="BE210:BH213"/>
    <mergeCell ref="BI210:BL213"/>
    <mergeCell ref="BM210:BP213"/>
    <mergeCell ref="BI111:BL113"/>
    <mergeCell ref="BM111:BP113"/>
    <mergeCell ref="BI114:BL117"/>
    <mergeCell ref="BM114:BP117"/>
    <mergeCell ref="BI118:BL120"/>
    <mergeCell ref="BM118:BP120"/>
    <mergeCell ref="BE135:BH137"/>
    <mergeCell ref="BI90:BL93"/>
    <mergeCell ref="BM90:BP93"/>
    <mergeCell ref="BE94:BH96"/>
    <mergeCell ref="D36:M39"/>
    <mergeCell ref="N36:Q39"/>
    <mergeCell ref="U36:AJ47"/>
    <mergeCell ref="AM36:AT37"/>
    <mergeCell ref="BF8:BP10"/>
    <mergeCell ref="BF11:BP13"/>
    <mergeCell ref="AM24:AS26"/>
    <mergeCell ref="AT24:AZ26"/>
    <mergeCell ref="U8:AN10"/>
    <mergeCell ref="U11:AN13"/>
    <mergeCell ref="D24:J26"/>
    <mergeCell ref="K24:Q26"/>
    <mergeCell ref="D18:AZ19"/>
    <mergeCell ref="D20:J23"/>
    <mergeCell ref="K20:Q23"/>
    <mergeCell ref="R20:X23"/>
    <mergeCell ref="Y20:AZ22"/>
    <mergeCell ref="D32:Q33"/>
    <mergeCell ref="R32:BB33"/>
    <mergeCell ref="BM39:BP42"/>
    <mergeCell ref="BM43:BP45"/>
    <mergeCell ref="C8:T10"/>
    <mergeCell ref="D44:M47"/>
    <mergeCell ref="N44:Q47"/>
    <mergeCell ref="BE39:BH42"/>
    <mergeCell ref="BI39:BL42"/>
    <mergeCell ref="BE43:BH45"/>
    <mergeCell ref="BI43:BL45"/>
    <mergeCell ref="AO44:BB44"/>
    <mergeCell ref="AO45:BB45"/>
    <mergeCell ref="AO46:BB46"/>
    <mergeCell ref="R24:X26"/>
    <mergeCell ref="Y24:AE26"/>
    <mergeCell ref="AF24:AL26"/>
    <mergeCell ref="BB20:BJ23"/>
    <mergeCell ref="BB24:BJ26"/>
    <mergeCell ref="AU36:BB37"/>
    <mergeCell ref="BE36:BH38"/>
    <mergeCell ref="AO11:BE13"/>
    <mergeCell ref="AO8:BE10"/>
    <mergeCell ref="AR31:BB31"/>
    <mergeCell ref="Y23:AE23"/>
    <mergeCell ref="AF23:AL23"/>
    <mergeCell ref="AM23:AS23"/>
    <mergeCell ref="AT23:AZ23"/>
    <mergeCell ref="D59:Q60"/>
    <mergeCell ref="R59:BB60"/>
    <mergeCell ref="D63:M66"/>
    <mergeCell ref="N63:Q66"/>
    <mergeCell ref="U63:AJ72"/>
    <mergeCell ref="AM63:AT65"/>
    <mergeCell ref="AU63:BB65"/>
    <mergeCell ref="D69:M72"/>
    <mergeCell ref="N69:Q72"/>
    <mergeCell ref="BI63:BL65"/>
    <mergeCell ref="BM63:BP65"/>
    <mergeCell ref="AM66:AT68"/>
    <mergeCell ref="AU66:BB68"/>
    <mergeCell ref="BE66:BH69"/>
    <mergeCell ref="AO47:BB47"/>
    <mergeCell ref="AO48:BB48"/>
    <mergeCell ref="AM42:AN42"/>
    <mergeCell ref="AM43:AN43"/>
    <mergeCell ref="AM44:AN44"/>
    <mergeCell ref="AM45:AN45"/>
    <mergeCell ref="AO42:BB42"/>
    <mergeCell ref="AO43:BB43"/>
    <mergeCell ref="AM46:AN46"/>
    <mergeCell ref="AM47:AN47"/>
    <mergeCell ref="AR58:BB58"/>
    <mergeCell ref="BI66:BL69"/>
    <mergeCell ref="BM66:BP69"/>
    <mergeCell ref="BE70:BH72"/>
    <mergeCell ref="BI70:BL72"/>
    <mergeCell ref="BM70:BP72"/>
    <mergeCell ref="D87:M90"/>
    <mergeCell ref="N87:Q90"/>
    <mergeCell ref="U87:AB88"/>
    <mergeCell ref="AC87:AJ88"/>
    <mergeCell ref="AM87:BB96"/>
    <mergeCell ref="D75:M78"/>
    <mergeCell ref="N75:Q78"/>
    <mergeCell ref="U75:AJ78"/>
    <mergeCell ref="AM75:BP78"/>
    <mergeCell ref="BI94:BL96"/>
    <mergeCell ref="BM94:BP96"/>
    <mergeCell ref="AR81:BB82"/>
    <mergeCell ref="BE138:BH141"/>
    <mergeCell ref="BI138:BL141"/>
    <mergeCell ref="BM138:BP141"/>
    <mergeCell ref="U140:AB141"/>
    <mergeCell ref="AC140:AJ141"/>
    <mergeCell ref="D93:M96"/>
    <mergeCell ref="N93:Q96"/>
    <mergeCell ref="U94:AB96"/>
    <mergeCell ref="AC94:AJ96"/>
    <mergeCell ref="U92:AB93"/>
    <mergeCell ref="AC92:AJ93"/>
    <mergeCell ref="AR129:BB130"/>
    <mergeCell ref="D131:Q132"/>
    <mergeCell ref="R131:BB132"/>
    <mergeCell ref="D135:M138"/>
    <mergeCell ref="N135:Q138"/>
    <mergeCell ref="U135:AB136"/>
    <mergeCell ref="AC135:AJ136"/>
    <mergeCell ref="AM135:BB144"/>
    <mergeCell ref="D141:M144"/>
    <mergeCell ref="N141:Q144"/>
    <mergeCell ref="U137:AB139"/>
    <mergeCell ref="AC137:AJ139"/>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D195:M198"/>
    <mergeCell ref="N195:Q198"/>
    <mergeCell ref="U195:AJ198"/>
    <mergeCell ref="AM195:BP198"/>
    <mergeCell ref="BI183:BL185"/>
    <mergeCell ref="BM183:BP185"/>
    <mergeCell ref="BE183:BH185"/>
    <mergeCell ref="D189:M192"/>
    <mergeCell ref="N189:Q192"/>
    <mergeCell ref="BE190:BH192"/>
    <mergeCell ref="BI190:BL192"/>
    <mergeCell ref="BM190:BP192"/>
    <mergeCell ref="AM186:AT188"/>
    <mergeCell ref="AU186:BB188"/>
    <mergeCell ref="BE186:BH189"/>
    <mergeCell ref="BI186:BL189"/>
    <mergeCell ref="BM186:BP189"/>
    <mergeCell ref="D183:M186"/>
    <mergeCell ref="N183:Q186"/>
    <mergeCell ref="U183:AJ192"/>
    <mergeCell ref="AM183:AT185"/>
    <mergeCell ref="AU183:BB185"/>
    <mergeCell ref="D266:M269"/>
    <mergeCell ref="N266:Q269"/>
    <mergeCell ref="U266:AJ269"/>
    <mergeCell ref="AM266:BP269"/>
    <mergeCell ref="BE254:BH256"/>
    <mergeCell ref="BI254:BL256"/>
    <mergeCell ref="AY231:BB235"/>
    <mergeCell ref="BE231:BH233"/>
    <mergeCell ref="BI231:BL233"/>
    <mergeCell ref="BM231:BP233"/>
    <mergeCell ref="AM233:AP234"/>
    <mergeCell ref="AQ233:AT234"/>
    <mergeCell ref="BE234:BH237"/>
    <mergeCell ref="BI234:BL237"/>
    <mergeCell ref="BM234:BP237"/>
    <mergeCell ref="AM235:AP236"/>
    <mergeCell ref="N231:Q234"/>
    <mergeCell ref="U231:AJ240"/>
    <mergeCell ref="AM231:AP232"/>
    <mergeCell ref="AQ231:AT232"/>
    <mergeCell ref="AU231:AX235"/>
    <mergeCell ref="AQ235:AT236"/>
    <mergeCell ref="AU236:AX240"/>
    <mergeCell ref="BM254:BP256"/>
    <mergeCell ref="AM256:AT258"/>
    <mergeCell ref="AU256:BB258"/>
    <mergeCell ref="BE257:BH260"/>
    <mergeCell ref="BI257:BL260"/>
    <mergeCell ref="BM257:BP260"/>
    <mergeCell ref="C11:T13"/>
    <mergeCell ref="BE261:BH263"/>
    <mergeCell ref="BI261:BL263"/>
    <mergeCell ref="BM261:BP263"/>
    <mergeCell ref="D219:M222"/>
    <mergeCell ref="N219:Q222"/>
    <mergeCell ref="U219:AJ222"/>
    <mergeCell ref="AM219:BP222"/>
    <mergeCell ref="AR225:BB226"/>
    <mergeCell ref="D227:Q228"/>
    <mergeCell ref="R227:BB228"/>
    <mergeCell ref="D213:M216"/>
    <mergeCell ref="N213:Q216"/>
    <mergeCell ref="AR201:BB202"/>
    <mergeCell ref="D203:Q204"/>
    <mergeCell ref="R203:BB204"/>
    <mergeCell ref="D207:M210"/>
    <mergeCell ref="N207:Q210"/>
    <mergeCell ref="AR249:BB249"/>
    <mergeCell ref="D250:Q251"/>
    <mergeCell ref="R250:BB251"/>
    <mergeCell ref="D254:M257"/>
    <mergeCell ref="N254:Q257"/>
    <mergeCell ref="U254:AJ263"/>
    <mergeCell ref="AM254:AT255"/>
    <mergeCell ref="AU254:BB255"/>
    <mergeCell ref="D260:M263"/>
    <mergeCell ref="N260:Q263"/>
    <mergeCell ref="D117:M120"/>
    <mergeCell ref="N117:Q120"/>
    <mergeCell ref="BE118:BH120"/>
    <mergeCell ref="D243:M246"/>
    <mergeCell ref="N243:Q246"/>
    <mergeCell ref="U243:AJ246"/>
    <mergeCell ref="AM243:BP246"/>
    <mergeCell ref="AY236:BB240"/>
    <mergeCell ref="D237:M240"/>
    <mergeCell ref="N237:Q240"/>
    <mergeCell ref="AM237:AP238"/>
    <mergeCell ref="AQ237:AT238"/>
    <mergeCell ref="BE238:BH240"/>
    <mergeCell ref="BI238:BL240"/>
    <mergeCell ref="AM239:AP240"/>
    <mergeCell ref="AQ239:AT240"/>
    <mergeCell ref="D123:M126"/>
    <mergeCell ref="N123:Q126"/>
    <mergeCell ref="U123:AJ126"/>
    <mergeCell ref="AM123:BP126"/>
    <mergeCell ref="BM238:BP240"/>
    <mergeCell ref="D231:M234"/>
    <mergeCell ref="U207:AJ216"/>
    <mergeCell ref="AN207:BB216"/>
    <mergeCell ref="AM48:AN48"/>
    <mergeCell ref="U111:AJ112"/>
    <mergeCell ref="U116:AJ117"/>
    <mergeCell ref="U118:AJ120"/>
    <mergeCell ref="U113:AJ115"/>
    <mergeCell ref="AR105:BB106"/>
    <mergeCell ref="AM111:BB120"/>
    <mergeCell ref="BE111:BH113"/>
    <mergeCell ref="BE114:BH117"/>
    <mergeCell ref="U89:AB91"/>
    <mergeCell ref="AC89:AJ91"/>
    <mergeCell ref="BE63:BH65"/>
    <mergeCell ref="D83:Q84"/>
    <mergeCell ref="R83:BB84"/>
    <mergeCell ref="D107:Q108"/>
    <mergeCell ref="R107:BB108"/>
    <mergeCell ref="D111:M114"/>
    <mergeCell ref="N111:Q114"/>
    <mergeCell ref="D99:M102"/>
    <mergeCell ref="N99:Q102"/>
    <mergeCell ref="U99:AJ102"/>
    <mergeCell ref="AM99:BP102"/>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F90C9-D662-4218-A6A9-C36B11B36EFC}">
  <sheetPr>
    <pageSetUpPr fitToPage="1"/>
  </sheetPr>
  <dimension ref="A1:CE298"/>
  <sheetViews>
    <sheetView showZeros="0" tabSelected="1" zoomScale="55" zoomScaleNormal="55" workbookViewId="0">
      <selection activeCell="CD66" sqref="CD6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IF(COUNTIF([4]回答表!K15,"*")&gt;0,[4]回答表!K15,"")</f>
        <v>大仙市</v>
      </c>
      <c r="D11" s="264"/>
      <c r="E11" s="264"/>
      <c r="F11" s="264"/>
      <c r="G11" s="264"/>
      <c r="H11" s="264"/>
      <c r="I11" s="264"/>
      <c r="J11" s="264"/>
      <c r="K11" s="264"/>
      <c r="L11" s="264"/>
      <c r="M11" s="264"/>
      <c r="N11" s="264"/>
      <c r="O11" s="264"/>
      <c r="P11" s="264"/>
      <c r="Q11" s="264"/>
      <c r="R11" s="264"/>
      <c r="S11" s="264"/>
      <c r="T11" s="264"/>
      <c r="U11" s="271" t="str">
        <f>IF(COUNTIF([4]回答表!F17,"*")&gt;0,[4]回答表!F17,"")</f>
        <v>介護サービス事業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IF(COUNTIF([4]回答表!W17,"*")&gt;0,[4]回答表!W17,"")</f>
        <v>老人デイサービスセンター</v>
      </c>
      <c r="AP11" s="266"/>
      <c r="AQ11" s="266"/>
      <c r="AR11" s="266"/>
      <c r="AS11" s="266"/>
      <c r="AT11" s="266"/>
      <c r="AU11" s="266"/>
      <c r="AV11" s="266"/>
      <c r="AW11" s="266"/>
      <c r="AX11" s="266"/>
      <c r="AY11" s="266"/>
      <c r="AZ11" s="266"/>
      <c r="BA11" s="266"/>
      <c r="BB11" s="266"/>
      <c r="BC11" s="266"/>
      <c r="BD11" s="266"/>
      <c r="BE11" s="267"/>
      <c r="BF11" s="270" t="str">
        <f>IF(COUNTIF([4]回答表!F19,"*")&gt;0,[4]回答表!F19,"")</f>
        <v>老人デイサービス事業特別会計</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IF([4]回答表!R41="○","○","")</f>
        <v>○</v>
      </c>
      <c r="E24" s="122"/>
      <c r="F24" s="122"/>
      <c r="G24" s="122"/>
      <c r="H24" s="122"/>
      <c r="I24" s="122"/>
      <c r="J24" s="123"/>
      <c r="K24" s="121" t="str">
        <f>IF([4]回答表!R42="○","○","")</f>
        <v>○</v>
      </c>
      <c r="L24" s="122"/>
      <c r="M24" s="122"/>
      <c r="N24" s="122"/>
      <c r="O24" s="122"/>
      <c r="P24" s="122"/>
      <c r="Q24" s="123"/>
      <c r="R24" s="121" t="str">
        <f>IF([4]回答表!R43="○","○","")</f>
        <v/>
      </c>
      <c r="S24" s="122"/>
      <c r="T24" s="122"/>
      <c r="U24" s="122"/>
      <c r="V24" s="122"/>
      <c r="W24" s="122"/>
      <c r="X24" s="123"/>
      <c r="Y24" s="121" t="str">
        <f>IF([4]回答表!R44="○","○","")</f>
        <v/>
      </c>
      <c r="Z24" s="122"/>
      <c r="AA24" s="122"/>
      <c r="AB24" s="122"/>
      <c r="AC24" s="122"/>
      <c r="AD24" s="122"/>
      <c r="AE24" s="123"/>
      <c r="AF24" s="121" t="str">
        <f>IF([4]回答表!R45="○","○","")</f>
        <v/>
      </c>
      <c r="AG24" s="122"/>
      <c r="AH24" s="122"/>
      <c r="AI24" s="122"/>
      <c r="AJ24" s="122"/>
      <c r="AK24" s="122"/>
      <c r="AL24" s="123"/>
      <c r="AM24" s="121" t="str">
        <f>IF([4]回答表!R46="○","○","")</f>
        <v/>
      </c>
      <c r="AN24" s="122"/>
      <c r="AO24" s="122"/>
      <c r="AP24" s="122"/>
      <c r="AQ24" s="122"/>
      <c r="AR24" s="122"/>
      <c r="AS24" s="123"/>
      <c r="AT24" s="121" t="str">
        <f>IF([4]回答表!R47="○","○","")</f>
        <v/>
      </c>
      <c r="AU24" s="122"/>
      <c r="AV24" s="122"/>
      <c r="AW24" s="122"/>
      <c r="AX24" s="122"/>
      <c r="AY24" s="122"/>
      <c r="AZ24" s="123"/>
      <c r="BA24" s="19"/>
      <c r="BB24" s="118" t="str">
        <f>IF([4]回答表!R48="○","○","")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IF([4]回答表!X41="○","○","")</f>
        <v>○</v>
      </c>
      <c r="O36" s="98"/>
      <c r="P36" s="98"/>
      <c r="Q36" s="99"/>
      <c r="R36" s="39"/>
      <c r="S36" s="39"/>
      <c r="T36" s="39"/>
      <c r="U36" s="106" t="str">
        <f>IF([4]回答表!X41="○",[4]回答表!B56,IF([4]回答表!AA41="○",[4]回答表!B76,""))</f>
        <v>民営化した介護老人福祉施設の立て替えに伴い、通所介護サービスが併設されたことから事業を廃止した。（管理運営費5,569千円の減）</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IF([4]回答表!X41="○",[4]回答表!S62,IF([4]回答表!AA41="○",[4]回答表!S82,""))</f>
        <v>平成</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IF([4]回答表!X41="○",[4]回答表!G62,IF([4]回答表!AA41="○",[4]回答表!G82,""))</f>
        <v>○</v>
      </c>
      <c r="AN38" s="119"/>
      <c r="AO38" s="119"/>
      <c r="AP38" s="119"/>
      <c r="AQ38" s="119"/>
      <c r="AR38" s="119"/>
      <c r="AS38" s="119"/>
      <c r="AT38" s="120"/>
      <c r="AU38" s="118">
        <f>IF([4]回答表!X41="○",[4]回答表!G63,IF([4]回答表!AA41="○",[4]回答表!G83,""))</f>
        <v>0</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f>IF([4]回答表!X41="○",[4]回答表!V62,IF([4]回答表!AA41="○",[4]回答表!V82,""))</f>
        <v>28</v>
      </c>
      <c r="BF39" s="217"/>
      <c r="BG39" s="217"/>
      <c r="BH39" s="218"/>
      <c r="BI39" s="82">
        <f>IF([4]回答表!X41="○",[4]回答表!V63,IF([4]回答表!AA41="○",[4]回答表!V83,""))</f>
        <v>4</v>
      </c>
      <c r="BJ39" s="217"/>
      <c r="BK39" s="217"/>
      <c r="BL39" s="218"/>
      <c r="BM39" s="82">
        <f>IF([4]回答表!X41="○",[4]回答表!V64,IF([4]回答表!AA41="○",[4]回答表!V84,""))</f>
        <v>1</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f>IF([4]回答表!X41="○",[4]回答表!O68,IF([4]回答表!AA41="○",[4]回答表!O88,""))</f>
        <v>0</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f>IF([4]回答表!X41="○",[4]回答表!O69,IF([4]回答表!AA41="○",[4]回答表!O89,""))</f>
        <v>0</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IF([4]回答表!AA41="○","○","")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f>IF([4]回答表!X41="○",[4]回答表!O70,IF([4]回答表!AA41="○",[4]回答表!O90,""))</f>
        <v>0</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f>IF([4]回答表!X41="○",[4]回答表!O71,IF([4]回答表!AA41="○",[4]回答表!O91,""))</f>
        <v>0</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f>IF([4]回答表!X41="○",[4]回答表!AG68,IF([4]回答表!AA41="○",[4]回答表!AG88,""))</f>
        <v>0</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f>IF([4]回答表!X41="○",[4]回答表!AG69,IF([4]回答表!AA41="○",[4]回答表!AG89,""))</f>
        <v>0</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IF([4]回答表!X41="○",[4]回答表!AG70,IF([4]回答表!AA41="○",[4]回答表!AG90,""))</f>
        <v>○</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IF([4]回答表!AD41="○","○","")</f>
        <v/>
      </c>
      <c r="O52" s="98"/>
      <c r="P52" s="98"/>
      <c r="Q52" s="99"/>
      <c r="R52" s="39"/>
      <c r="S52" s="39"/>
      <c r="T52" s="39"/>
      <c r="U52" s="106" t="str">
        <f>IF([4]回答表!AD41="○",[4]回答表!B96,"")</f>
        <v/>
      </c>
      <c r="V52" s="107"/>
      <c r="W52" s="107"/>
      <c r="X52" s="107"/>
      <c r="Y52" s="107"/>
      <c r="Z52" s="107"/>
      <c r="AA52" s="107"/>
      <c r="AB52" s="107"/>
      <c r="AC52" s="107"/>
      <c r="AD52" s="107"/>
      <c r="AE52" s="107"/>
      <c r="AF52" s="107"/>
      <c r="AG52" s="107"/>
      <c r="AH52" s="107"/>
      <c r="AI52" s="107"/>
      <c r="AJ52" s="108"/>
      <c r="AK52" s="56"/>
      <c r="AL52" s="56"/>
      <c r="AM52" s="106" t="str">
        <f>IF([4]回答表!AD41="○",[4]回答表!B101,"")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IF([4]回答表!X42="○","○","")</f>
        <v>○</v>
      </c>
      <c r="O63" s="98"/>
      <c r="P63" s="98"/>
      <c r="Q63" s="99"/>
      <c r="R63" s="39"/>
      <c r="S63" s="39"/>
      <c r="T63" s="39"/>
      <c r="U63" s="106" t="str">
        <f>IF([4]回答表!X42="○",[4]回答表!B111,IF([4]回答表!AA42="○",[4]回答表!B124,""))</f>
        <v>管理運営費5,569千円の減</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IF([4]回答表!X42="○",[4]回答表!S117,IF([4]回答表!AA42="○",[4]回答表!S130,""))</f>
        <v>平成</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IF([4]回答表!X42="○",[4]回答表!J117,IF([4]回答表!AA42="○",[4]回答表!J130,""))</f>
        <v>○</v>
      </c>
      <c r="AN66" s="119"/>
      <c r="AO66" s="119"/>
      <c r="AP66" s="119"/>
      <c r="AQ66" s="119"/>
      <c r="AR66" s="119"/>
      <c r="AS66" s="119"/>
      <c r="AT66" s="120"/>
      <c r="AU66" s="118">
        <f>IF([4]回答表!X42="○",[4]回答表!J118,IF([4]回答表!AA42="○",[4]回答表!J131,""))</f>
        <v>0</v>
      </c>
      <c r="AV66" s="119"/>
      <c r="AW66" s="119"/>
      <c r="AX66" s="119"/>
      <c r="AY66" s="119"/>
      <c r="AZ66" s="119"/>
      <c r="BA66" s="119"/>
      <c r="BB66" s="120"/>
      <c r="BC66" s="40"/>
      <c r="BD66" s="35"/>
      <c r="BE66" s="82">
        <f>IF([4]回答表!X42="○",[4]回答表!V117,IF([4]回答表!AA42="○",[4]回答表!V130,""))</f>
        <v>28</v>
      </c>
      <c r="BF66" s="83"/>
      <c r="BG66" s="83"/>
      <c r="BH66" s="83"/>
      <c r="BI66" s="82">
        <f>IF([4]回答表!X42="○",[4]回答表!V118,IF([4]回答表!AA42="○",[4]回答表!V131,""))</f>
        <v>4</v>
      </c>
      <c r="BJ66" s="83"/>
      <c r="BK66" s="83"/>
      <c r="BL66" s="83"/>
      <c r="BM66" s="82">
        <f>IF([4]回答表!X42="○",[4]回答表!V119,IF([4]回答表!AA42="○",[4]回答表!V132,""))</f>
        <v>1</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IF([4]回答表!AA42="○","○","")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IF([4]回答表!AD42="○","○","")</f>
        <v/>
      </c>
      <c r="O75" s="98"/>
      <c r="P75" s="98"/>
      <c r="Q75" s="99"/>
      <c r="R75" s="39"/>
      <c r="S75" s="39"/>
      <c r="T75" s="39"/>
      <c r="U75" s="106" t="str">
        <f>IF([4]回答表!AD42="○",[4]回答表!B137,"")</f>
        <v/>
      </c>
      <c r="V75" s="107"/>
      <c r="W75" s="107"/>
      <c r="X75" s="107"/>
      <c r="Y75" s="107"/>
      <c r="Z75" s="107"/>
      <c r="AA75" s="107"/>
      <c r="AB75" s="107"/>
      <c r="AC75" s="107"/>
      <c r="AD75" s="107"/>
      <c r="AE75" s="107"/>
      <c r="AF75" s="107"/>
      <c r="AG75" s="107"/>
      <c r="AH75" s="107"/>
      <c r="AI75" s="107"/>
      <c r="AJ75" s="108"/>
      <c r="AK75" s="56"/>
      <c r="AL75" s="56"/>
      <c r="AM75" s="106" t="str">
        <f>IF([4]回答表!AD42="○",[4]回答表!B143,"")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IF([4]回答表!F17="水道事業",IF([4]回答表!X43="○","○",""),"")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IF([4]回答表!F17="水道事業",IF([4]回答表!X43="○",[4]回答表!B154,IF([4]回答表!AA43="○",[4]回答表!B201,"")),"")</f>
        <v/>
      </c>
      <c r="AN87" s="107"/>
      <c r="AO87" s="107"/>
      <c r="AP87" s="107"/>
      <c r="AQ87" s="107"/>
      <c r="AR87" s="107"/>
      <c r="AS87" s="107"/>
      <c r="AT87" s="107"/>
      <c r="AU87" s="107"/>
      <c r="AV87" s="107"/>
      <c r="AW87" s="107"/>
      <c r="AX87" s="107"/>
      <c r="AY87" s="107"/>
      <c r="AZ87" s="107"/>
      <c r="BA87" s="107"/>
      <c r="BB87" s="108"/>
      <c r="BC87" s="40"/>
      <c r="BD87" s="35"/>
      <c r="BE87" s="115" t="str">
        <f>IF([4]回答表!F17="水道事業",IF([4]回答表!X43="○",[4]回答表!B190,IF([4]回答表!AA43="○",[4]回答表!B238,"")),"")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IF([4]回答表!F17="水道事業",IF([4]回答表!X43="○",[4]回答表!J162,IF([4]回答表!AA43="○",[4]回答表!J209,"")),"")</f>
        <v/>
      </c>
      <c r="V89" s="119"/>
      <c r="W89" s="119"/>
      <c r="X89" s="119"/>
      <c r="Y89" s="119"/>
      <c r="Z89" s="119"/>
      <c r="AA89" s="119"/>
      <c r="AB89" s="120"/>
      <c r="AC89" s="118" t="str">
        <f>IF([4]回答表!F17="水道事業",IF([4]回答表!X43="○",[4]回答表!J169,IF([4]回答表!AA43="○",[4]回答表!J216,"")),"")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IF([4]回答表!F17="水道事業",IF([4]回答表!X43="○",[4]回答表!E190,IF([4]回答表!AA43="○",[4]回答表!E238,"")),"")</f>
        <v/>
      </c>
      <c r="BF90" s="83"/>
      <c r="BG90" s="83"/>
      <c r="BH90" s="83"/>
      <c r="BI90" s="82" t="str">
        <f>IF([4]回答表!F17="水道事業",IF([4]回答表!X43="○",[4]回答表!E191,IF([4]回答表!AA43="○",[4]回答表!E239,"")),"")</f>
        <v/>
      </c>
      <c r="BJ90" s="83"/>
      <c r="BK90" s="83"/>
      <c r="BL90" s="83"/>
      <c r="BM90" s="82" t="str">
        <f>IF([4]回答表!F17="水道事業",IF([4]回答表!X43="○",[4]回答表!E192,IF([4]回答表!AA43="○",[4]回答表!E240,"")),"")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IF([4]回答表!F17="水道事業",IF([4]回答表!AA43="○","○",""),"")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IF([4]回答表!F17="水道事業",IF([4]回答表!X43="○",[4]回答表!J172,IF([4]回答表!AA43="○",[4]回答表!J219,"")),"")</f>
        <v/>
      </c>
      <c r="V94" s="119"/>
      <c r="W94" s="119"/>
      <c r="X94" s="119"/>
      <c r="Y94" s="119"/>
      <c r="Z94" s="119"/>
      <c r="AA94" s="119"/>
      <c r="AB94" s="120"/>
      <c r="AC94" s="118" t="str">
        <f>IF([4]回答表!F17="水道事業",IF([4]回答表!X43="○",[4]回答表!J176,IF([4]回答表!AA43="○",[4]回答表!J223,"")),"")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IF([4]回答表!F17="水道事業",IF([4]回答表!AD43="○","○",""),"")</f>
        <v/>
      </c>
      <c r="O99" s="98"/>
      <c r="P99" s="98"/>
      <c r="Q99" s="99"/>
      <c r="R99" s="39"/>
      <c r="S99" s="39"/>
      <c r="T99" s="39"/>
      <c r="U99" s="106" t="str">
        <f>IF([4]回答表!F17="水道事業",IF([4]回答表!AD43="○",[4]回答表!B249,""),"")</f>
        <v/>
      </c>
      <c r="V99" s="107"/>
      <c r="W99" s="107"/>
      <c r="X99" s="107"/>
      <c r="Y99" s="107"/>
      <c r="Z99" s="107"/>
      <c r="AA99" s="107"/>
      <c r="AB99" s="107"/>
      <c r="AC99" s="107"/>
      <c r="AD99" s="107"/>
      <c r="AE99" s="107"/>
      <c r="AF99" s="107"/>
      <c r="AG99" s="107"/>
      <c r="AH99" s="107"/>
      <c r="AI99" s="107"/>
      <c r="AJ99" s="108"/>
      <c r="AK99" s="56"/>
      <c r="AL99" s="56"/>
      <c r="AM99" s="106" t="str">
        <f>IF([4]回答表!F17="水道事業",IF([4]回答表!AD43="○",[4]回答表!B255,""),"")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IF([4]回答表!F17="簡易水道事業",IF([4]回答表!X43="○","○",""),"")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IF([4]回答表!F17="簡易水道事業",IF([4]回答表!X43="○",[4]回答表!B154,IF([4]回答表!AA43="○",[4]回答表!B201,"")),"")</f>
        <v/>
      </c>
      <c r="AN111" s="107"/>
      <c r="AO111" s="107"/>
      <c r="AP111" s="107"/>
      <c r="AQ111" s="107"/>
      <c r="AR111" s="107"/>
      <c r="AS111" s="107"/>
      <c r="AT111" s="107"/>
      <c r="AU111" s="107"/>
      <c r="AV111" s="107"/>
      <c r="AW111" s="107"/>
      <c r="AX111" s="107"/>
      <c r="AY111" s="107"/>
      <c r="AZ111" s="107"/>
      <c r="BA111" s="107"/>
      <c r="BB111" s="108"/>
      <c r="BC111" s="40"/>
      <c r="BD111" s="35"/>
      <c r="BE111" s="115" t="str">
        <f>IF([4]回答表!F17="簡易水道事業",IF([4]回答表!X43="○",[4]回答表!B190,IF([4]回答表!AA43="○",[4]回答表!B238,"")),"")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IF([4]回答表!F17="簡易水道事業",IF([4]回答表!X43="○",[4]回答表!Y181,IF([4]回答表!AA43="○",[4]回答表!Y229,"")),"")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IF([4]回答表!F17="簡易水道事業",IF([4]回答表!X43="○",[4]回答表!E190,IF([4]回答表!AA43="○",[4]回答表!E238,"")),"")</f>
        <v/>
      </c>
      <c r="BF114" s="83"/>
      <c r="BG114" s="83"/>
      <c r="BH114" s="83"/>
      <c r="BI114" s="82" t="str">
        <f>IF([4]回答表!F17="簡易水道事業",IF([4]回答表!X43="○",[4]回答表!E191,IF([4]回答表!AA43="○",[4]回答表!E239,"")),"")</f>
        <v/>
      </c>
      <c r="BJ114" s="83"/>
      <c r="BK114" s="83"/>
      <c r="BL114" s="83"/>
      <c r="BM114" s="82" t="str">
        <f>IF([4]回答表!F17="簡易水道事業",IF([4]回答表!X43="○",[4]回答表!E192,IF([4]回答表!AA43="○",[4]回答表!E240,"")),"")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IF([4]回答表!F17="簡易水道事業",IF([4]回答表!AA43="○","○",""),"")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IF([4]回答表!F17="簡易水道事業",IF([4]回答表!X43="○",[4]回答表!Y182,IF([4]回答表!AA43="○",[4]回答表!Y230,"")),"")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IF([4]回答表!F17="簡易水道事業",IF([4]回答表!AD43="○","○",""),"")</f>
        <v/>
      </c>
      <c r="O123" s="98"/>
      <c r="P123" s="98"/>
      <c r="Q123" s="99"/>
      <c r="R123" s="39"/>
      <c r="S123" s="39"/>
      <c r="T123" s="39"/>
      <c r="U123" s="106" t="str">
        <f>IF([4]回答表!F17="簡易水道事業",IF([4]回答表!AD43="○",[4]回答表!B249,""),"")</f>
        <v/>
      </c>
      <c r="V123" s="107"/>
      <c r="W123" s="107"/>
      <c r="X123" s="107"/>
      <c r="Y123" s="107"/>
      <c r="Z123" s="107"/>
      <c r="AA123" s="107"/>
      <c r="AB123" s="107"/>
      <c r="AC123" s="107"/>
      <c r="AD123" s="107"/>
      <c r="AE123" s="107"/>
      <c r="AF123" s="107"/>
      <c r="AG123" s="107"/>
      <c r="AH123" s="107"/>
      <c r="AI123" s="107"/>
      <c r="AJ123" s="108"/>
      <c r="AK123" s="56"/>
      <c r="AL123" s="56"/>
      <c r="AM123" s="106" t="str">
        <f>IF([4]回答表!F17="簡易水道事業",IF([4]回答表!AD43="○",[4]回答表!B255,""),"")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IF([4]回答表!F17="下水道事業",IF([4]回答表!X43="○","○",""),"")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IF([4]回答表!F17="下水道事業",IF([4]回答表!X43="○",[4]回答表!B154,IF([4]回答表!AA43="○",[4]回答表!B201,"")),"")</f>
        <v/>
      </c>
      <c r="AN135" s="107"/>
      <c r="AO135" s="107"/>
      <c r="AP135" s="107"/>
      <c r="AQ135" s="107"/>
      <c r="AR135" s="107"/>
      <c r="AS135" s="107"/>
      <c r="AT135" s="107"/>
      <c r="AU135" s="107"/>
      <c r="AV135" s="107"/>
      <c r="AW135" s="107"/>
      <c r="AX135" s="107"/>
      <c r="AY135" s="107"/>
      <c r="AZ135" s="107"/>
      <c r="BA135" s="107"/>
      <c r="BB135" s="108"/>
      <c r="BC135" s="40"/>
      <c r="BD135" s="35"/>
      <c r="BE135" s="115" t="str">
        <f>IF([4]回答表!F17="下水道事業",IF([4]回答表!X43="○",[4]回答表!B190,IF([4]回答表!AA43="○",[4]回答表!B238,"")),"")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IF([4]回答表!F17="下水道事業",IF([4]回答表!X43="○",[4]回答表!Y184,IF([4]回答表!AA43="○",[4]回答表!Y232,"")),"")</f>
        <v/>
      </c>
      <c r="V137" s="119"/>
      <c r="W137" s="119"/>
      <c r="X137" s="119"/>
      <c r="Y137" s="119"/>
      <c r="Z137" s="119"/>
      <c r="AA137" s="119"/>
      <c r="AB137" s="120"/>
      <c r="AC137" s="118" t="str">
        <f>IF([4]回答表!F17="下水道事業",IF([4]回答表!X43="○",[4]回答表!Y185,IF([4]回答表!AA43="○",[4]回答表!Y233,"")),"")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IF([4]回答表!F17="下水道事業",IF([4]回答表!X43="○",[4]回答表!E190,IF([4]回答表!AA43="○",[4]回答表!E238,"")),"")</f>
        <v/>
      </c>
      <c r="BF138" s="83"/>
      <c r="BG138" s="83"/>
      <c r="BH138" s="83"/>
      <c r="BI138" s="82" t="str">
        <f>IF([4]回答表!F17="下水道事業",IF([4]回答表!X43="○",[4]回答表!E191,IF([4]回答表!AA43="○",[4]回答表!E239,"")),"")</f>
        <v/>
      </c>
      <c r="BJ138" s="83"/>
      <c r="BK138" s="83"/>
      <c r="BL138" s="83"/>
      <c r="BM138" s="82" t="str">
        <f>IF([4]回答表!F17="下水道事業",IF([4]回答表!X43="○",[4]回答表!E192,IF([4]回答表!AA43="○",[4]回答表!E240,"")),"")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IF([4]回答表!F17="下水道事業",IF([4]回答表!AA43="○","○",""),"")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IF([4]回答表!F17="下水道事業",IF([4]回答表!X43="○",[4]回答表!Y186,IF([4]回答表!AA43="○",[4]回答表!Y234,"")),"")</f>
        <v/>
      </c>
      <c r="V142" s="119"/>
      <c r="W142" s="119"/>
      <c r="X142" s="119"/>
      <c r="Y142" s="119"/>
      <c r="Z142" s="119"/>
      <c r="AA142" s="119"/>
      <c r="AB142" s="120"/>
      <c r="AC142" s="118" t="str">
        <f>IF([4]回答表!F17="下水道事業",IF([4]回答表!X43="○",[4]回答表!Y187,IF([4]回答表!AA43="○",[4]回答表!Y235,"")),"")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IF([4]回答表!F17="下水道事業",IF([4]回答表!AD43="○","○",""),"")</f>
        <v/>
      </c>
      <c r="O147" s="98"/>
      <c r="P147" s="98"/>
      <c r="Q147" s="99"/>
      <c r="R147" s="39"/>
      <c r="S147" s="39"/>
      <c r="T147" s="39"/>
      <c r="U147" s="106" t="str">
        <f>IF([4]回答表!F17="下水道事業",IF([4]回答表!AD43="○",[4]回答表!B249,""),"")</f>
        <v/>
      </c>
      <c r="V147" s="107"/>
      <c r="W147" s="107"/>
      <c r="X147" s="107"/>
      <c r="Y147" s="107"/>
      <c r="Z147" s="107"/>
      <c r="AA147" s="107"/>
      <c r="AB147" s="107"/>
      <c r="AC147" s="107"/>
      <c r="AD147" s="107"/>
      <c r="AE147" s="107"/>
      <c r="AF147" s="107"/>
      <c r="AG147" s="107"/>
      <c r="AH147" s="107"/>
      <c r="AI147" s="107"/>
      <c r="AJ147" s="108"/>
      <c r="AK147" s="56"/>
      <c r="AL147" s="56"/>
      <c r="AM147" s="106" t="str">
        <f>IF([4]回答表!F17="下水道事業",IF([4]回答表!AD43="○",[4]回答表!B255,""),"")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IF([4]回答表!BD17="○",IF([4]回答表!X43="○","○",""),"")</f>
        <v/>
      </c>
      <c r="O159" s="98"/>
      <c r="P159" s="98"/>
      <c r="Q159" s="99"/>
      <c r="R159" s="39"/>
      <c r="S159" s="39"/>
      <c r="T159" s="39"/>
      <c r="U159" s="106" t="str">
        <f>IF([4]回答表!BD17="○",IF([4]回答表!X43="○",[4]回答表!B154,IF([4]回答表!AA43="○",[4]回答表!B201,"")),"")</f>
        <v/>
      </c>
      <c r="V159" s="107"/>
      <c r="W159" s="107"/>
      <c r="X159" s="107"/>
      <c r="Y159" s="107"/>
      <c r="Z159" s="107"/>
      <c r="AA159" s="107"/>
      <c r="AB159" s="107"/>
      <c r="AC159" s="107"/>
      <c r="AD159" s="107"/>
      <c r="AE159" s="107"/>
      <c r="AF159" s="107"/>
      <c r="AG159" s="107"/>
      <c r="AH159" s="107"/>
      <c r="AI159" s="107"/>
      <c r="AJ159" s="108"/>
      <c r="AK159" s="50"/>
      <c r="AL159" s="50"/>
      <c r="AM159" s="115" t="str">
        <f>IF([4]回答表!BD17="○",IF([4]回答表!X43="○",[4]回答表!B190,IF([4]回答表!AA43="○",[4]回答表!B238,"")),"")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IF([4]回答表!BD17="○",IF([4]回答表!X43="○",[4]回答表!E190,IF([4]回答表!AA43="○",[4]回答表!E238,"")),"")</f>
        <v/>
      </c>
      <c r="AN162" s="83"/>
      <c r="AO162" s="83"/>
      <c r="AP162" s="83"/>
      <c r="AQ162" s="82" t="str">
        <f>IF([4]回答表!BD17="○",IF([4]回答表!X43="○",[4]回答表!E191,IF([4]回答表!AA43="○",[4]回答表!E239,"")),"")</f>
        <v/>
      </c>
      <c r="AR162" s="83"/>
      <c r="AS162" s="83"/>
      <c r="AT162" s="83"/>
      <c r="AU162" s="82" t="str">
        <f>IF([4]回答表!BD17="○",IF([4]回答表!X43="○",[4]回答表!E192,IF([4]回答表!AA43="○",[4]回答表!E240,"")),"")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IF([4]回答表!BD17="○",IF([4]回答表!AA43="○","○",""),"")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IF([4]回答表!BD17="○",IF([4]回答表!AD43="○","○",""),"")</f>
        <v/>
      </c>
      <c r="O171" s="98"/>
      <c r="P171" s="98"/>
      <c r="Q171" s="99"/>
      <c r="R171" s="39"/>
      <c r="S171" s="39"/>
      <c r="T171" s="39"/>
      <c r="U171" s="106" t="str">
        <f>IF([4]回答表!BD17="○",IF([4]回答表!AD43="○",[4]回答表!B249,""),"")</f>
        <v/>
      </c>
      <c r="V171" s="107"/>
      <c r="W171" s="107"/>
      <c r="X171" s="107"/>
      <c r="Y171" s="107"/>
      <c r="Z171" s="107"/>
      <c r="AA171" s="107"/>
      <c r="AB171" s="107"/>
      <c r="AC171" s="107"/>
      <c r="AD171" s="107"/>
      <c r="AE171" s="107"/>
      <c r="AF171" s="107"/>
      <c r="AG171" s="107"/>
      <c r="AH171" s="107"/>
      <c r="AI171" s="107"/>
      <c r="AJ171" s="108"/>
      <c r="AK171" s="56"/>
      <c r="AL171" s="56"/>
      <c r="AM171" s="106" t="str">
        <f>IF([4]回答表!BD17="○",IF([4]回答表!AD43="○",[4]回答表!B255,""),"")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IF([4]回答表!X44="○","○","")</f>
        <v/>
      </c>
      <c r="O183" s="98"/>
      <c r="P183" s="98"/>
      <c r="Q183" s="99"/>
      <c r="R183" s="39"/>
      <c r="S183" s="39"/>
      <c r="T183" s="39"/>
      <c r="U183" s="106" t="str">
        <f>IF([4]回答表!X44="○",[4]回答表!B266,IF([4]回答表!AA44="○",[4]回答表!B283,""))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IF([4]回答表!X44="○",[4]回答表!U272,IF([4]回答表!AA44="○",[4]回答表!U289,""))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IF([4]回答表!X44="○",[4]回答表!G272,IF([4]回答表!AA44="○",[4]回答表!G289,""))</f>
        <v/>
      </c>
      <c r="AN186" s="119"/>
      <c r="AO186" s="119"/>
      <c r="AP186" s="119"/>
      <c r="AQ186" s="119"/>
      <c r="AR186" s="119"/>
      <c r="AS186" s="119"/>
      <c r="AT186" s="120"/>
      <c r="AU186" s="118" t="str">
        <f>IF([4]回答表!X44="○",[4]回答表!G273,IF([4]回答表!AA44="○",[4]回答表!G290,""))</f>
        <v/>
      </c>
      <c r="AV186" s="119"/>
      <c r="AW186" s="119"/>
      <c r="AX186" s="119"/>
      <c r="AY186" s="119"/>
      <c r="AZ186" s="119"/>
      <c r="BA186" s="119"/>
      <c r="BB186" s="120"/>
      <c r="BC186" s="40"/>
      <c r="BD186" s="35"/>
      <c r="BE186" s="82" t="str">
        <f>IF([4]回答表!X44="○",[4]回答表!X272,IF([4]回答表!AA44="○",[4]回答表!X289,""))</f>
        <v/>
      </c>
      <c r="BF186" s="83"/>
      <c r="BG186" s="83"/>
      <c r="BH186" s="83"/>
      <c r="BI186" s="82" t="str">
        <f>IF([4]回答表!X44="○",[4]回答表!X273,IF([4]回答表!AA44="○",[4]回答表!X290,""))</f>
        <v/>
      </c>
      <c r="BJ186" s="83"/>
      <c r="BK186" s="83"/>
      <c r="BL186" s="86"/>
      <c r="BM186" s="82" t="str">
        <f>IF([4]回答表!X44="○",[4]回答表!X274,IF([4]回答表!AA44="○",[4]回答表!X291,""))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IF([4]回答表!AA44="○","○","")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IF([4]回答表!AD44="○","○","")</f>
        <v/>
      </c>
      <c r="O195" s="98"/>
      <c r="P195" s="98"/>
      <c r="Q195" s="99"/>
      <c r="R195" s="39"/>
      <c r="S195" s="39"/>
      <c r="T195" s="39"/>
      <c r="U195" s="106" t="str">
        <f>IF([4]回答表!AD44="○",[4]回答表!B296,"")</f>
        <v/>
      </c>
      <c r="V195" s="107"/>
      <c r="W195" s="107"/>
      <c r="X195" s="107"/>
      <c r="Y195" s="107"/>
      <c r="Z195" s="107"/>
      <c r="AA195" s="107"/>
      <c r="AB195" s="107"/>
      <c r="AC195" s="107"/>
      <c r="AD195" s="107"/>
      <c r="AE195" s="107"/>
      <c r="AF195" s="107"/>
      <c r="AG195" s="107"/>
      <c r="AH195" s="107"/>
      <c r="AI195" s="107"/>
      <c r="AJ195" s="108"/>
      <c r="AK195" s="61"/>
      <c r="AL195" s="61"/>
      <c r="AM195" s="106" t="str">
        <f>IF([4]回答表!AD44="○",[4]回答表!B302,"")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IF([4]回答表!X45="○","○","")</f>
        <v/>
      </c>
      <c r="O207" s="98"/>
      <c r="P207" s="98"/>
      <c r="Q207" s="99"/>
      <c r="R207" s="39"/>
      <c r="S207" s="39"/>
      <c r="T207" s="39"/>
      <c r="U207" s="106" t="str">
        <f>IF([4]回答表!X45="○",[4]回答表!B314,IF([4]回答表!AA45="○",[4]回答表!B337,""))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IF([4]回答表!X45="○",[4]回答表!B320,"")</f>
        <v/>
      </c>
      <c r="AO207" s="164"/>
      <c r="AP207" s="164"/>
      <c r="AQ207" s="164"/>
      <c r="AR207" s="164"/>
      <c r="AS207" s="164"/>
      <c r="AT207" s="164"/>
      <c r="AU207" s="164"/>
      <c r="AV207" s="164"/>
      <c r="AW207" s="164"/>
      <c r="AX207" s="164"/>
      <c r="AY207" s="164"/>
      <c r="AZ207" s="164"/>
      <c r="BA207" s="164"/>
      <c r="BB207" s="165"/>
      <c r="BC207" s="40"/>
      <c r="BD207" s="35"/>
      <c r="BE207" s="115" t="str">
        <f>IF([4]回答表!X45="○",[4]回答表!B326,IF([4]回答表!AA45="○",[4]回答表!B343,""))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IF([4]回答表!X45="○",[4]回答表!E326,IF([4]回答表!AA45="○",[4]回答表!E343,""))</f>
        <v/>
      </c>
      <c r="BF210" s="83"/>
      <c r="BG210" s="83"/>
      <c r="BH210" s="83"/>
      <c r="BI210" s="82" t="str">
        <f>IF([4]回答表!X45="○",[4]回答表!E327,IF([4]回答表!AA45="○",[4]回答表!E344,""))</f>
        <v/>
      </c>
      <c r="BJ210" s="83"/>
      <c r="BK210" s="83"/>
      <c r="BL210" s="86"/>
      <c r="BM210" s="82" t="str">
        <f>IF([4]回答表!X45="○",[4]回答表!E328,IF([4]回答表!AA45="○",[4]回答表!E345,""))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IF([4]回答表!AA45="○","○","")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IF([4]回答表!AD45="○","○","")</f>
        <v/>
      </c>
      <c r="O219" s="98"/>
      <c r="P219" s="98"/>
      <c r="Q219" s="99"/>
      <c r="R219" s="39"/>
      <c r="S219" s="39"/>
      <c r="T219" s="39"/>
      <c r="U219" s="106" t="str">
        <f>IF([4]回答表!AD45="○",[4]回答表!B350,"")</f>
        <v/>
      </c>
      <c r="V219" s="107"/>
      <c r="W219" s="107"/>
      <c r="X219" s="107"/>
      <c r="Y219" s="107"/>
      <c r="Z219" s="107"/>
      <c r="AA219" s="107"/>
      <c r="AB219" s="107"/>
      <c r="AC219" s="107"/>
      <c r="AD219" s="107"/>
      <c r="AE219" s="107"/>
      <c r="AF219" s="107"/>
      <c r="AG219" s="107"/>
      <c r="AH219" s="107"/>
      <c r="AI219" s="107"/>
      <c r="AJ219" s="108"/>
      <c r="AK219" s="61"/>
      <c r="AL219" s="61"/>
      <c r="AM219" s="106" t="str">
        <f>IF([4]回答表!AD45="○",[4]回答表!B356,"")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IF([4]回答表!X46="○","○","")</f>
        <v/>
      </c>
      <c r="O231" s="98"/>
      <c r="P231" s="98"/>
      <c r="Q231" s="99"/>
      <c r="R231" s="39"/>
      <c r="S231" s="39"/>
      <c r="T231" s="39"/>
      <c r="U231" s="106" t="str">
        <f>IF([4]回答表!X46="○",[4]回答表!B368,IF([4]回答表!AA46="○",[4]回答表!B382,""))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IF([4]回答表!X46="○",[4]回答表!BC375,IF([4]回答表!AA46="○",[4]回答表!BC389,""))</f>
        <v/>
      </c>
      <c r="AR231" s="150"/>
      <c r="AS231" s="150"/>
      <c r="AT231" s="150"/>
      <c r="AU231" s="155" t="s">
        <v>63</v>
      </c>
      <c r="AV231" s="156"/>
      <c r="AW231" s="156"/>
      <c r="AX231" s="157"/>
      <c r="AY231" s="150" t="str">
        <f>IF([4]回答表!X46="○",[4]回答表!BC380,IF([4]回答表!AA46="○",[4]回答表!BC394,""))</f>
        <v/>
      </c>
      <c r="AZ231" s="150"/>
      <c r="BA231" s="150"/>
      <c r="BB231" s="150"/>
      <c r="BC231" s="40"/>
      <c r="BD231" s="35"/>
      <c r="BE231" s="115" t="str">
        <f>IF([4]回答表!X46="○",[4]回答表!S374,IF([4]回答表!AA46="○",[4]回答表!S388,""))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IF([4]回答表!X46="○",[4]回答表!BC376,IF([4]回答表!AA46="○",[4]回答表!BC390,""))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IF([4]回答表!X46="○",[4]回答表!V374,IF([4]回答表!AA46="○",[4]回答表!V388,""))</f>
        <v/>
      </c>
      <c r="BF234" s="83"/>
      <c r="BG234" s="83"/>
      <c r="BH234" s="83"/>
      <c r="BI234" s="82" t="str">
        <f>IF([4]回答表!X46="○",[4]回答表!V375,IF([4]回答表!AA46="○",[4]回答表!V389,""))</f>
        <v/>
      </c>
      <c r="BJ234" s="83"/>
      <c r="BK234" s="83"/>
      <c r="BL234" s="86"/>
      <c r="BM234" s="82" t="str">
        <f>IF([4]回答表!X46="○",[4]回答表!V376,IF([4]回答表!AA46="○",[4]回答表!V390,""))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IF([4]回答表!X46="○",[4]回答表!BC377,IF([4]回答表!AA46="○",[4]回答表!BC391,""))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IF([4]回答表!X46="○",[4]回答表!BC381,IF([4]回答表!AA46="○",[4]回答表!BC395,""))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IF([4]回答表!AA46="○","○","")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IF([4]回答表!X46="○",[4]回答表!BC378,IF([4]回答表!AA46="○",[4]回答表!BC392,""))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IF([4]回答表!X46="○",[4]回答表!BC379,IF([4]回答表!AA46="○",[4]回答表!BC393,""))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IF([4]回答表!AD46="○","○","")</f>
        <v/>
      </c>
      <c r="O243" s="98"/>
      <c r="P243" s="98"/>
      <c r="Q243" s="99"/>
      <c r="R243" s="39"/>
      <c r="S243" s="39"/>
      <c r="T243" s="39"/>
      <c r="U243" s="106" t="str">
        <f>IF([4]回答表!AD46="○",[4]回答表!B396,"")</f>
        <v/>
      </c>
      <c r="V243" s="107"/>
      <c r="W243" s="107"/>
      <c r="X243" s="107"/>
      <c r="Y243" s="107"/>
      <c r="Z243" s="107"/>
      <c r="AA243" s="107"/>
      <c r="AB243" s="107"/>
      <c r="AC243" s="107"/>
      <c r="AD243" s="107"/>
      <c r="AE243" s="107"/>
      <c r="AF243" s="107"/>
      <c r="AG243" s="107"/>
      <c r="AH243" s="107"/>
      <c r="AI243" s="107"/>
      <c r="AJ243" s="108"/>
      <c r="AK243" s="56"/>
      <c r="AL243" s="56"/>
      <c r="AM243" s="106" t="str">
        <f>IF([4]回答表!AD46="○",[4]回答表!B402,"")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IF([4]回答表!X47="○","○","")</f>
        <v/>
      </c>
      <c r="O254" s="98"/>
      <c r="P254" s="98"/>
      <c r="Q254" s="99"/>
      <c r="R254" s="39"/>
      <c r="S254" s="39"/>
      <c r="T254" s="39"/>
      <c r="U254" s="106" t="str">
        <f>IF([4]回答表!X47="○",[4]回答表!B414,IF([4]回答表!AA47="○",[4]回答表!B431,""))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IF([4]回答表!X47="○",[4]回答表!B424,IF([4]回答表!AA47="○",[4]回答表!B441,""))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IF([4]回答表!X47="○",[4]回答表!G420,IF([4]回答表!AA47="○",[4]回答表!G437,""))</f>
        <v/>
      </c>
      <c r="AN256" s="119"/>
      <c r="AO256" s="119"/>
      <c r="AP256" s="119"/>
      <c r="AQ256" s="119"/>
      <c r="AR256" s="119"/>
      <c r="AS256" s="119"/>
      <c r="AT256" s="120"/>
      <c r="AU256" s="118" t="str">
        <f>IF([4]回答表!X47="○",[4]回答表!G421,IF([4]回答表!AA47="○",[4]回答表!G438,""))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IF([4]回答表!X47="○",[4]回答表!E424,IF([4]回答表!AA47="○",[4]回答表!E441,""))</f>
        <v/>
      </c>
      <c r="BF257" s="83"/>
      <c r="BG257" s="83"/>
      <c r="BH257" s="83"/>
      <c r="BI257" s="82" t="str">
        <f>IF([4]回答表!X47="○",[4]回答表!E425,IF([4]回答表!AA47="○",[4]回答表!E442,""))</f>
        <v/>
      </c>
      <c r="BJ257" s="83"/>
      <c r="BK257" s="83"/>
      <c r="BL257" s="86"/>
      <c r="BM257" s="82" t="str">
        <f>IF([4]回答表!X47="○",[4]回答表!E426,IF([4]回答表!AA47="○",[4]回答表!E443,""))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IF([4]回答表!AA47="○","○","")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IF([4]回答表!AD47="○","○","")</f>
        <v/>
      </c>
      <c r="O266" s="98"/>
      <c r="P266" s="98"/>
      <c r="Q266" s="99"/>
      <c r="R266" s="39"/>
      <c r="S266" s="39"/>
      <c r="T266" s="39"/>
      <c r="U266" s="106" t="str">
        <f>IF([4]回答表!AD47="○",[4]回答表!B448,"")</f>
        <v/>
      </c>
      <c r="V266" s="107"/>
      <c r="W266" s="107"/>
      <c r="X266" s="107"/>
      <c r="Y266" s="107"/>
      <c r="Z266" s="107"/>
      <c r="AA266" s="107"/>
      <c r="AB266" s="107"/>
      <c r="AC266" s="107"/>
      <c r="AD266" s="107"/>
      <c r="AE266" s="107"/>
      <c r="AF266" s="107"/>
      <c r="AG266" s="107"/>
      <c r="AH266" s="107"/>
      <c r="AI266" s="107"/>
      <c r="AJ266" s="108"/>
      <c r="AK266" s="50"/>
      <c r="AL266" s="50"/>
      <c r="AM266" s="106" t="str">
        <f>IF([4]回答表!AD47="○",[4]回答表!B454,"")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IF([4]回答表!R48="○",[4]回答表!B467,"")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A17E9-CF29-459F-8D65-DBF8D8D044DA}">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IF(COUNTIF([8]回答表!K15,"*")&gt;0,[8]回答表!K15,"")</f>
        <v>大仙市</v>
      </c>
      <c r="D11" s="264"/>
      <c r="E11" s="264"/>
      <c r="F11" s="264"/>
      <c r="G11" s="264"/>
      <c r="H11" s="264"/>
      <c r="I11" s="264"/>
      <c r="J11" s="264"/>
      <c r="K11" s="264"/>
      <c r="L11" s="264"/>
      <c r="M11" s="264"/>
      <c r="N11" s="264"/>
      <c r="O11" s="264"/>
      <c r="P11" s="264"/>
      <c r="Q11" s="264"/>
      <c r="R11" s="264"/>
      <c r="S11" s="264"/>
      <c r="T11" s="264"/>
      <c r="U11" s="271" t="str">
        <f>IF(COUNTIF([8]回答表!F17,"*")&gt;0,[8]回答表!F17,"")</f>
        <v>簡易水道事業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IF(COUNTIF([8]回答表!W17,"*")&gt;0,[8]回答表!W17,"")</f>
        <v>―</v>
      </c>
      <c r="AP11" s="266"/>
      <c r="AQ11" s="266"/>
      <c r="AR11" s="266"/>
      <c r="AS11" s="266"/>
      <c r="AT11" s="266"/>
      <c r="AU11" s="266"/>
      <c r="AV11" s="266"/>
      <c r="AW11" s="266"/>
      <c r="AX11" s="266"/>
      <c r="AY11" s="266"/>
      <c r="AZ11" s="266"/>
      <c r="BA11" s="266"/>
      <c r="BB11" s="266"/>
      <c r="BC11" s="266"/>
      <c r="BD11" s="266"/>
      <c r="BE11" s="267"/>
      <c r="BF11" s="270" t="str">
        <f>IF(COUNTIF([8]回答表!F19,"*")&gt;0,[8]回答表!F19,"")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IF([8]回答表!R41="○","○","")</f>
        <v/>
      </c>
      <c r="E24" s="122"/>
      <c r="F24" s="122"/>
      <c r="G24" s="122"/>
      <c r="H24" s="122"/>
      <c r="I24" s="122"/>
      <c r="J24" s="123"/>
      <c r="K24" s="121" t="str">
        <f>IF([8]回答表!R42="○","○","")</f>
        <v/>
      </c>
      <c r="L24" s="122"/>
      <c r="M24" s="122"/>
      <c r="N24" s="122"/>
      <c r="O24" s="122"/>
      <c r="P24" s="122"/>
      <c r="Q24" s="123"/>
      <c r="R24" s="121" t="str">
        <f>IF([8]回答表!R43="○","○","")</f>
        <v>○</v>
      </c>
      <c r="S24" s="122"/>
      <c r="T24" s="122"/>
      <c r="U24" s="122"/>
      <c r="V24" s="122"/>
      <c r="W24" s="122"/>
      <c r="X24" s="123"/>
      <c r="Y24" s="121" t="str">
        <f>IF([8]回答表!R44="○","○","")</f>
        <v/>
      </c>
      <c r="Z24" s="122"/>
      <c r="AA24" s="122"/>
      <c r="AB24" s="122"/>
      <c r="AC24" s="122"/>
      <c r="AD24" s="122"/>
      <c r="AE24" s="123"/>
      <c r="AF24" s="121" t="str">
        <f>IF([8]回答表!R45="○","○","")</f>
        <v/>
      </c>
      <c r="AG24" s="122"/>
      <c r="AH24" s="122"/>
      <c r="AI24" s="122"/>
      <c r="AJ24" s="122"/>
      <c r="AK24" s="122"/>
      <c r="AL24" s="123"/>
      <c r="AM24" s="121" t="str">
        <f>IF([8]回答表!R46="○","○","")</f>
        <v/>
      </c>
      <c r="AN24" s="122"/>
      <c r="AO24" s="122"/>
      <c r="AP24" s="122"/>
      <c r="AQ24" s="122"/>
      <c r="AR24" s="122"/>
      <c r="AS24" s="123"/>
      <c r="AT24" s="121" t="str">
        <f>IF([8]回答表!R47="○","○","")</f>
        <v/>
      </c>
      <c r="AU24" s="122"/>
      <c r="AV24" s="122"/>
      <c r="AW24" s="122"/>
      <c r="AX24" s="122"/>
      <c r="AY24" s="122"/>
      <c r="AZ24" s="123"/>
      <c r="BA24" s="19"/>
      <c r="BB24" s="118" t="str">
        <f>IF([8]回答表!R48="○","○","")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IF([8]回答表!X41="○","○","")</f>
        <v/>
      </c>
      <c r="O36" s="98"/>
      <c r="P36" s="98"/>
      <c r="Q36" s="99"/>
      <c r="R36" s="39"/>
      <c r="S36" s="39"/>
      <c r="T36" s="39"/>
      <c r="U36" s="106" t="str">
        <f>IF([8]回答表!X41="○",[8]回答表!B56,IF([8]回答表!AA41="○",[8]回答表!B76,""))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IF([8]回答表!X41="○",[8]回答表!S62,IF([8]回答表!AA41="○",[8]回答表!S82,""))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IF([8]回答表!X41="○",[8]回答表!G62,IF([8]回答表!AA41="○",[8]回答表!G82,""))</f>
        <v/>
      </c>
      <c r="AN38" s="119"/>
      <c r="AO38" s="119"/>
      <c r="AP38" s="119"/>
      <c r="AQ38" s="119"/>
      <c r="AR38" s="119"/>
      <c r="AS38" s="119"/>
      <c r="AT38" s="120"/>
      <c r="AU38" s="118" t="str">
        <f>IF([8]回答表!X41="○",[8]回答表!G63,IF([8]回答表!AA41="○",[8]回答表!G83,""))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IF([8]回答表!X41="○",[8]回答表!V62,IF([8]回答表!AA41="○",[8]回答表!V82,""))</f>
        <v/>
      </c>
      <c r="BF39" s="217"/>
      <c r="BG39" s="217"/>
      <c r="BH39" s="218"/>
      <c r="BI39" s="82" t="str">
        <f>IF([8]回答表!X41="○",[8]回答表!V63,IF([8]回答表!AA41="○",[8]回答表!V83,""))</f>
        <v/>
      </c>
      <c r="BJ39" s="217"/>
      <c r="BK39" s="217"/>
      <c r="BL39" s="218"/>
      <c r="BM39" s="82" t="str">
        <f>IF([8]回答表!X41="○",[8]回答表!V64,IF([8]回答表!AA41="○",[8]回答表!V84,""))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IF([8]回答表!X41="○",[8]回答表!O68,IF([8]回答表!AA41="○",[8]回答表!O88,""))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IF([8]回答表!X41="○",[8]回答表!O69,IF([8]回答表!AA41="○",[8]回答表!O89,""))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IF([8]回答表!AA41="○","○","")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IF([8]回答表!X41="○",[8]回答表!O70,IF([8]回答表!AA41="○",[8]回答表!O90,""))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IF([8]回答表!X41="○",[8]回答表!O71,IF([8]回答表!AA41="○",[8]回答表!O91,""))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IF([8]回答表!X41="○",[8]回答表!AG68,IF([8]回答表!AA41="○",[8]回答表!AG88,""))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IF([8]回答表!X41="○",[8]回答表!AG69,IF([8]回答表!AA41="○",[8]回答表!AG89,""))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IF([8]回答表!X41="○",[8]回答表!AG70,IF([8]回答表!AA41="○",[8]回答表!AG90,""))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IF([8]回答表!AD41="○","○","")</f>
        <v/>
      </c>
      <c r="O52" s="98"/>
      <c r="P52" s="98"/>
      <c r="Q52" s="99"/>
      <c r="R52" s="39"/>
      <c r="S52" s="39"/>
      <c r="T52" s="39"/>
      <c r="U52" s="106" t="str">
        <f>IF([8]回答表!AD41="○",[8]回答表!B96,"")</f>
        <v/>
      </c>
      <c r="V52" s="107"/>
      <c r="W52" s="107"/>
      <c r="X52" s="107"/>
      <c r="Y52" s="107"/>
      <c r="Z52" s="107"/>
      <c r="AA52" s="107"/>
      <c r="AB52" s="107"/>
      <c r="AC52" s="107"/>
      <c r="AD52" s="107"/>
      <c r="AE52" s="107"/>
      <c r="AF52" s="107"/>
      <c r="AG52" s="107"/>
      <c r="AH52" s="107"/>
      <c r="AI52" s="107"/>
      <c r="AJ52" s="108"/>
      <c r="AK52" s="56"/>
      <c r="AL52" s="56"/>
      <c r="AM52" s="106" t="str">
        <f>IF([8]回答表!AD41="○",[8]回答表!B101,"")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IF([8]回答表!X42="○","○","")</f>
        <v/>
      </c>
      <c r="O63" s="98"/>
      <c r="P63" s="98"/>
      <c r="Q63" s="99"/>
      <c r="R63" s="39"/>
      <c r="S63" s="39"/>
      <c r="T63" s="39"/>
      <c r="U63" s="106" t="str">
        <f>IF([8]回答表!X42="○",[8]回答表!B111,IF([8]回答表!AA42="○",[8]回答表!B124,""))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IF([8]回答表!X42="○",[8]回答表!S117,IF([8]回答表!AA42="○",[8]回答表!S130,""))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IF([8]回答表!X42="○",[8]回答表!J117,IF([8]回答表!AA42="○",[8]回答表!J130,""))</f>
        <v/>
      </c>
      <c r="AN66" s="119"/>
      <c r="AO66" s="119"/>
      <c r="AP66" s="119"/>
      <c r="AQ66" s="119"/>
      <c r="AR66" s="119"/>
      <c r="AS66" s="119"/>
      <c r="AT66" s="120"/>
      <c r="AU66" s="118" t="str">
        <f>IF([8]回答表!X42="○",[8]回答表!J118,IF([8]回答表!AA42="○",[8]回答表!J131,""))</f>
        <v/>
      </c>
      <c r="AV66" s="119"/>
      <c r="AW66" s="119"/>
      <c r="AX66" s="119"/>
      <c r="AY66" s="119"/>
      <c r="AZ66" s="119"/>
      <c r="BA66" s="119"/>
      <c r="BB66" s="120"/>
      <c r="BC66" s="40"/>
      <c r="BD66" s="35"/>
      <c r="BE66" s="82" t="str">
        <f>IF([8]回答表!X42="○",[8]回答表!V117,IF([8]回答表!AA42="○",[8]回答表!V130,""))</f>
        <v/>
      </c>
      <c r="BF66" s="83"/>
      <c r="BG66" s="83"/>
      <c r="BH66" s="83"/>
      <c r="BI66" s="82" t="str">
        <f>IF([8]回答表!X42="○",[8]回答表!V118,IF([8]回答表!AA42="○",[8]回答表!V131,""))</f>
        <v/>
      </c>
      <c r="BJ66" s="83"/>
      <c r="BK66" s="83"/>
      <c r="BL66" s="83"/>
      <c r="BM66" s="82" t="str">
        <f>IF([8]回答表!X42="○",[8]回答表!V119,IF([8]回答表!AA42="○",[8]回答表!V132,""))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IF([8]回答表!AA42="○","○","")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IF([8]回答表!AD42="○","○","")</f>
        <v/>
      </c>
      <c r="O75" s="98"/>
      <c r="P75" s="98"/>
      <c r="Q75" s="99"/>
      <c r="R75" s="39"/>
      <c r="S75" s="39"/>
      <c r="T75" s="39"/>
      <c r="U75" s="106" t="str">
        <f>IF([8]回答表!AD42="○",[8]回答表!B137,"")</f>
        <v/>
      </c>
      <c r="V75" s="107"/>
      <c r="W75" s="107"/>
      <c r="X75" s="107"/>
      <c r="Y75" s="107"/>
      <c r="Z75" s="107"/>
      <c r="AA75" s="107"/>
      <c r="AB75" s="107"/>
      <c r="AC75" s="107"/>
      <c r="AD75" s="107"/>
      <c r="AE75" s="107"/>
      <c r="AF75" s="107"/>
      <c r="AG75" s="107"/>
      <c r="AH75" s="107"/>
      <c r="AI75" s="107"/>
      <c r="AJ75" s="108"/>
      <c r="AK75" s="56"/>
      <c r="AL75" s="56"/>
      <c r="AM75" s="106" t="str">
        <f>IF([8]回答表!AD42="○",[8]回答表!B143,"")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IF([8]回答表!F17="水道事業",IF([8]回答表!X43="○","○",""),"")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IF([8]回答表!F17="水道事業",IF([8]回答表!X43="○",[8]回答表!B154,IF([8]回答表!AA43="○",[8]回答表!B201,"")),"")</f>
        <v/>
      </c>
      <c r="AN87" s="107"/>
      <c r="AO87" s="107"/>
      <c r="AP87" s="107"/>
      <c r="AQ87" s="107"/>
      <c r="AR87" s="107"/>
      <c r="AS87" s="107"/>
      <c r="AT87" s="107"/>
      <c r="AU87" s="107"/>
      <c r="AV87" s="107"/>
      <c r="AW87" s="107"/>
      <c r="AX87" s="107"/>
      <c r="AY87" s="107"/>
      <c r="AZ87" s="107"/>
      <c r="BA87" s="107"/>
      <c r="BB87" s="108"/>
      <c r="BC87" s="40"/>
      <c r="BD87" s="35"/>
      <c r="BE87" s="115" t="str">
        <f>IF([8]回答表!F17="水道事業",IF([8]回答表!X43="○",[8]回答表!B190,IF([8]回答表!AA43="○",[8]回答表!B238,"")),"")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IF([8]回答表!F17="水道事業",IF([8]回答表!X43="○",[8]回答表!J162,IF([8]回答表!AA43="○",[8]回答表!J209,"")),"")</f>
        <v/>
      </c>
      <c r="V89" s="119"/>
      <c r="W89" s="119"/>
      <c r="X89" s="119"/>
      <c r="Y89" s="119"/>
      <c r="Z89" s="119"/>
      <c r="AA89" s="119"/>
      <c r="AB89" s="120"/>
      <c r="AC89" s="118" t="str">
        <f>IF([8]回答表!F17="水道事業",IF([8]回答表!X43="○",[8]回答表!J169,IF([8]回答表!AA43="○",[8]回答表!J216,"")),"")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IF([8]回答表!F17="水道事業",IF([8]回答表!X43="○",[8]回答表!E190,IF([8]回答表!AA43="○",[8]回答表!E238,"")),"")</f>
        <v/>
      </c>
      <c r="BF90" s="83"/>
      <c r="BG90" s="83"/>
      <c r="BH90" s="83"/>
      <c r="BI90" s="82" t="str">
        <f>IF([8]回答表!F17="水道事業",IF([8]回答表!X43="○",[8]回答表!E191,IF([8]回答表!AA43="○",[8]回答表!E239,"")),"")</f>
        <v/>
      </c>
      <c r="BJ90" s="83"/>
      <c r="BK90" s="83"/>
      <c r="BL90" s="83"/>
      <c r="BM90" s="82" t="str">
        <f>IF([8]回答表!F17="水道事業",IF([8]回答表!X43="○",[8]回答表!E192,IF([8]回答表!AA43="○",[8]回答表!E240,"")),"")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IF([8]回答表!F17="水道事業",IF([8]回答表!AA43="○","○",""),"")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IF([8]回答表!F17="水道事業",IF([8]回答表!X43="○",[8]回答表!J172,IF([8]回答表!AA43="○",[8]回答表!J219,"")),"")</f>
        <v/>
      </c>
      <c r="V94" s="119"/>
      <c r="W94" s="119"/>
      <c r="X94" s="119"/>
      <c r="Y94" s="119"/>
      <c r="Z94" s="119"/>
      <c r="AA94" s="119"/>
      <c r="AB94" s="120"/>
      <c r="AC94" s="118" t="str">
        <f>IF([8]回答表!F17="水道事業",IF([8]回答表!X43="○",[8]回答表!J176,IF([8]回答表!AA43="○",[8]回答表!J223,"")),"")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IF([8]回答表!F17="水道事業",IF([8]回答表!AD43="○","○",""),"")</f>
        <v/>
      </c>
      <c r="O99" s="98"/>
      <c r="P99" s="98"/>
      <c r="Q99" s="99"/>
      <c r="R99" s="39"/>
      <c r="S99" s="39"/>
      <c r="T99" s="39"/>
      <c r="U99" s="106" t="str">
        <f>IF([8]回答表!F17="水道事業",IF([8]回答表!AD43="○",[8]回答表!B249,""),"")</f>
        <v/>
      </c>
      <c r="V99" s="107"/>
      <c r="W99" s="107"/>
      <c r="X99" s="107"/>
      <c r="Y99" s="107"/>
      <c r="Z99" s="107"/>
      <c r="AA99" s="107"/>
      <c r="AB99" s="107"/>
      <c r="AC99" s="107"/>
      <c r="AD99" s="107"/>
      <c r="AE99" s="107"/>
      <c r="AF99" s="107"/>
      <c r="AG99" s="107"/>
      <c r="AH99" s="107"/>
      <c r="AI99" s="107"/>
      <c r="AJ99" s="108"/>
      <c r="AK99" s="56"/>
      <c r="AL99" s="56"/>
      <c r="AM99" s="106" t="str">
        <f>IF([8]回答表!F17="水道事業",IF([8]回答表!AD43="○",[8]回答表!B255,""),"")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IF([8]回答表!F17="簡易水道事業",IF([8]回答表!X43="○","○",""),"")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IF([8]回答表!F17="簡易水道事業",IF([8]回答表!X43="○",[8]回答表!B154,IF([8]回答表!AA43="○",[8]回答表!B201,"")),"")</f>
        <v/>
      </c>
      <c r="AN111" s="107"/>
      <c r="AO111" s="107"/>
      <c r="AP111" s="107"/>
      <c r="AQ111" s="107"/>
      <c r="AR111" s="107"/>
      <c r="AS111" s="107"/>
      <c r="AT111" s="107"/>
      <c r="AU111" s="107"/>
      <c r="AV111" s="107"/>
      <c r="AW111" s="107"/>
      <c r="AX111" s="107"/>
      <c r="AY111" s="107"/>
      <c r="AZ111" s="107"/>
      <c r="BA111" s="107"/>
      <c r="BB111" s="108"/>
      <c r="BC111" s="40"/>
      <c r="BD111" s="35"/>
      <c r="BE111" s="115" t="str">
        <f>IF([8]回答表!F17="簡易水道事業",IF([8]回答表!X43="○",[8]回答表!B190,IF([8]回答表!AA43="○",[8]回答表!B238,"")),"")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IF([8]回答表!F17="簡易水道事業",IF([8]回答表!X43="○",[8]回答表!Y181,IF([8]回答表!AA43="○",[8]回答表!Y229,"")),"")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IF([8]回答表!F17="簡易水道事業",IF([8]回答表!X43="○",[8]回答表!E190,IF([8]回答表!AA43="○",[8]回答表!E238,"")),"")</f>
        <v/>
      </c>
      <c r="BF114" s="83"/>
      <c r="BG114" s="83"/>
      <c r="BH114" s="83"/>
      <c r="BI114" s="82" t="str">
        <f>IF([8]回答表!F17="簡易水道事業",IF([8]回答表!X43="○",[8]回答表!E191,IF([8]回答表!AA43="○",[8]回答表!E239,"")),"")</f>
        <v/>
      </c>
      <c r="BJ114" s="83"/>
      <c r="BK114" s="83"/>
      <c r="BL114" s="83"/>
      <c r="BM114" s="82" t="str">
        <f>IF([8]回答表!F17="簡易水道事業",IF([8]回答表!X43="○",[8]回答表!E192,IF([8]回答表!AA43="○",[8]回答表!E240,"")),"")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IF([8]回答表!F17="簡易水道事業",IF([8]回答表!AA43="○","○",""),"")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IF([8]回答表!F17="簡易水道事業",IF([8]回答表!X43="○",[8]回答表!Y182,IF([8]回答表!AA43="○",[8]回答表!Y230,"")),"")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IF([8]回答表!F17="簡易水道事業",IF([8]回答表!AD43="○","○",""),"")</f>
        <v>○</v>
      </c>
      <c r="O123" s="98"/>
      <c r="P123" s="98"/>
      <c r="Q123" s="99"/>
      <c r="R123" s="39"/>
      <c r="S123" s="39"/>
      <c r="T123" s="39"/>
      <c r="U123" s="194" t="str">
        <f>IF([8]回答表!F17="簡易水道事業",IF([8]回答表!AD43="○",[8]回答表!B249,""),"")</f>
        <v>　県南地区の水道事業体で構成する『県南地区水道連携推進座談会』に参加している。連携促進に向けた活動組織として、既存施設の見学や先進地視察及び、講師を招いての研修などにより、水道事業体間の相互理解を図ることを目的とし、現在は、事務処理の共同実施や施設の共同利用等、実効性のある広域連携に向けた活動などについて勉強している状況。</v>
      </c>
      <c r="V123" s="195"/>
      <c r="W123" s="195"/>
      <c r="X123" s="195"/>
      <c r="Y123" s="195"/>
      <c r="Z123" s="195"/>
      <c r="AA123" s="195"/>
      <c r="AB123" s="195"/>
      <c r="AC123" s="195"/>
      <c r="AD123" s="195"/>
      <c r="AE123" s="195"/>
      <c r="AF123" s="195"/>
      <c r="AG123" s="195"/>
      <c r="AH123" s="195"/>
      <c r="AI123" s="195"/>
      <c r="AJ123" s="196"/>
      <c r="AK123" s="56"/>
      <c r="AL123" s="56"/>
      <c r="AM123" s="278" t="str">
        <f>IF([8]回答表!F17="簡易水道事業",IF([8]回答表!AD43="○",[8]回答表!B255,""),"")</f>
        <v>　県南地区は、給水区域が広く施設数が多いことにより、統廃合にかかる多額な整備費用を要することなどが課題となっている。
　今後、秋田県水道ビジョンが策定され、県主導のもとで市町村間の共同管理体制の検討・指導が図られる予定となっている。</v>
      </c>
      <c r="AN123" s="279"/>
      <c r="AO123" s="279"/>
      <c r="AP123" s="279"/>
      <c r="AQ123" s="279"/>
      <c r="AR123" s="279"/>
      <c r="AS123" s="279"/>
      <c r="AT123" s="279"/>
      <c r="AU123" s="279"/>
      <c r="AV123" s="279"/>
      <c r="AW123" s="279"/>
      <c r="AX123" s="279"/>
      <c r="AY123" s="279"/>
      <c r="AZ123" s="279"/>
      <c r="BA123" s="279"/>
      <c r="BB123" s="279"/>
      <c r="BC123" s="279"/>
      <c r="BD123" s="279"/>
      <c r="BE123" s="279"/>
      <c r="BF123" s="279"/>
      <c r="BG123" s="279"/>
      <c r="BH123" s="279"/>
      <c r="BI123" s="279"/>
      <c r="BJ123" s="279"/>
      <c r="BK123" s="279"/>
      <c r="BL123" s="279"/>
      <c r="BM123" s="279"/>
      <c r="BN123" s="279"/>
      <c r="BO123" s="279"/>
      <c r="BP123" s="280"/>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97"/>
      <c r="V124" s="198"/>
      <c r="W124" s="198"/>
      <c r="X124" s="198"/>
      <c r="Y124" s="198"/>
      <c r="Z124" s="198"/>
      <c r="AA124" s="198"/>
      <c r="AB124" s="198"/>
      <c r="AC124" s="198"/>
      <c r="AD124" s="198"/>
      <c r="AE124" s="198"/>
      <c r="AF124" s="198"/>
      <c r="AG124" s="198"/>
      <c r="AH124" s="198"/>
      <c r="AI124" s="198"/>
      <c r="AJ124" s="199"/>
      <c r="AK124" s="56"/>
      <c r="AL124" s="56"/>
      <c r="AM124" s="281"/>
      <c r="AN124" s="282"/>
      <c r="AO124" s="282"/>
      <c r="AP124" s="282"/>
      <c r="AQ124" s="282"/>
      <c r="AR124" s="282"/>
      <c r="AS124" s="282"/>
      <c r="AT124" s="282"/>
      <c r="AU124" s="282"/>
      <c r="AV124" s="282"/>
      <c r="AW124" s="282"/>
      <c r="AX124" s="282"/>
      <c r="AY124" s="282"/>
      <c r="AZ124" s="282"/>
      <c r="BA124" s="282"/>
      <c r="BB124" s="282"/>
      <c r="BC124" s="282"/>
      <c r="BD124" s="282"/>
      <c r="BE124" s="282"/>
      <c r="BF124" s="282"/>
      <c r="BG124" s="282"/>
      <c r="BH124" s="282"/>
      <c r="BI124" s="282"/>
      <c r="BJ124" s="282"/>
      <c r="BK124" s="282"/>
      <c r="BL124" s="282"/>
      <c r="BM124" s="282"/>
      <c r="BN124" s="282"/>
      <c r="BO124" s="282"/>
      <c r="BP124" s="283"/>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97"/>
      <c r="V125" s="198"/>
      <c r="W125" s="198"/>
      <c r="X125" s="198"/>
      <c r="Y125" s="198"/>
      <c r="Z125" s="198"/>
      <c r="AA125" s="198"/>
      <c r="AB125" s="198"/>
      <c r="AC125" s="198"/>
      <c r="AD125" s="198"/>
      <c r="AE125" s="198"/>
      <c r="AF125" s="198"/>
      <c r="AG125" s="198"/>
      <c r="AH125" s="198"/>
      <c r="AI125" s="198"/>
      <c r="AJ125" s="199"/>
      <c r="AK125" s="56"/>
      <c r="AL125" s="56"/>
      <c r="AM125" s="281"/>
      <c r="AN125" s="282"/>
      <c r="AO125" s="282"/>
      <c r="AP125" s="282"/>
      <c r="AQ125" s="282"/>
      <c r="AR125" s="282"/>
      <c r="AS125" s="282"/>
      <c r="AT125" s="282"/>
      <c r="AU125" s="282"/>
      <c r="AV125" s="282"/>
      <c r="AW125" s="282"/>
      <c r="AX125" s="282"/>
      <c r="AY125" s="282"/>
      <c r="AZ125" s="282"/>
      <c r="BA125" s="282"/>
      <c r="BB125" s="282"/>
      <c r="BC125" s="282"/>
      <c r="BD125" s="282"/>
      <c r="BE125" s="282"/>
      <c r="BF125" s="282"/>
      <c r="BG125" s="282"/>
      <c r="BH125" s="282"/>
      <c r="BI125" s="282"/>
      <c r="BJ125" s="282"/>
      <c r="BK125" s="282"/>
      <c r="BL125" s="282"/>
      <c r="BM125" s="282"/>
      <c r="BN125" s="282"/>
      <c r="BO125" s="282"/>
      <c r="BP125" s="283"/>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200"/>
      <c r="V126" s="201"/>
      <c r="W126" s="201"/>
      <c r="X126" s="201"/>
      <c r="Y126" s="201"/>
      <c r="Z126" s="201"/>
      <c r="AA126" s="201"/>
      <c r="AB126" s="201"/>
      <c r="AC126" s="201"/>
      <c r="AD126" s="201"/>
      <c r="AE126" s="201"/>
      <c r="AF126" s="201"/>
      <c r="AG126" s="201"/>
      <c r="AH126" s="201"/>
      <c r="AI126" s="201"/>
      <c r="AJ126" s="202"/>
      <c r="AK126" s="56"/>
      <c r="AL126" s="56"/>
      <c r="AM126" s="284"/>
      <c r="AN126" s="285"/>
      <c r="AO126" s="285"/>
      <c r="AP126" s="285"/>
      <c r="AQ126" s="285"/>
      <c r="AR126" s="285"/>
      <c r="AS126" s="285"/>
      <c r="AT126" s="285"/>
      <c r="AU126" s="285"/>
      <c r="AV126" s="285"/>
      <c r="AW126" s="285"/>
      <c r="AX126" s="285"/>
      <c r="AY126" s="285"/>
      <c r="AZ126" s="285"/>
      <c r="BA126" s="285"/>
      <c r="BB126" s="285"/>
      <c r="BC126" s="285"/>
      <c r="BD126" s="285"/>
      <c r="BE126" s="285"/>
      <c r="BF126" s="285"/>
      <c r="BG126" s="285"/>
      <c r="BH126" s="285"/>
      <c r="BI126" s="285"/>
      <c r="BJ126" s="285"/>
      <c r="BK126" s="285"/>
      <c r="BL126" s="285"/>
      <c r="BM126" s="285"/>
      <c r="BN126" s="285"/>
      <c r="BO126" s="285"/>
      <c r="BP126" s="286"/>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IF([8]回答表!F17="下水道事業",IF([8]回答表!X43="○","○",""),"")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IF([8]回答表!F17="下水道事業",IF([8]回答表!X43="○",[8]回答表!B154,IF([8]回答表!AA43="○",[8]回答表!B201,"")),"")</f>
        <v/>
      </c>
      <c r="AN135" s="107"/>
      <c r="AO135" s="107"/>
      <c r="AP135" s="107"/>
      <c r="AQ135" s="107"/>
      <c r="AR135" s="107"/>
      <c r="AS135" s="107"/>
      <c r="AT135" s="107"/>
      <c r="AU135" s="107"/>
      <c r="AV135" s="107"/>
      <c r="AW135" s="107"/>
      <c r="AX135" s="107"/>
      <c r="AY135" s="107"/>
      <c r="AZ135" s="107"/>
      <c r="BA135" s="107"/>
      <c r="BB135" s="108"/>
      <c r="BC135" s="40"/>
      <c r="BD135" s="35"/>
      <c r="BE135" s="115" t="str">
        <f>IF([8]回答表!F17="下水道事業",IF([8]回答表!X43="○",[8]回答表!B190,IF([8]回答表!AA43="○",[8]回答表!B238,"")),"")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IF([8]回答表!F17="下水道事業",IF([8]回答表!X43="○",[8]回答表!Y184,IF([8]回答表!AA43="○",[8]回答表!Y232,"")),"")</f>
        <v/>
      </c>
      <c r="V137" s="119"/>
      <c r="W137" s="119"/>
      <c r="X137" s="119"/>
      <c r="Y137" s="119"/>
      <c r="Z137" s="119"/>
      <c r="AA137" s="119"/>
      <c r="AB137" s="120"/>
      <c r="AC137" s="118" t="str">
        <f>IF([8]回答表!F17="下水道事業",IF([8]回答表!X43="○",[8]回答表!Y185,IF([8]回答表!AA43="○",[8]回答表!Y233,"")),"")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IF([8]回答表!F17="下水道事業",IF([8]回答表!X43="○",[8]回答表!E190,IF([8]回答表!AA43="○",[8]回答表!E238,"")),"")</f>
        <v/>
      </c>
      <c r="BF138" s="83"/>
      <c r="BG138" s="83"/>
      <c r="BH138" s="83"/>
      <c r="BI138" s="82" t="str">
        <f>IF([8]回答表!F17="下水道事業",IF([8]回答表!X43="○",[8]回答表!E191,IF([8]回答表!AA43="○",[8]回答表!E239,"")),"")</f>
        <v/>
      </c>
      <c r="BJ138" s="83"/>
      <c r="BK138" s="83"/>
      <c r="BL138" s="83"/>
      <c r="BM138" s="82" t="str">
        <f>IF([8]回答表!F17="下水道事業",IF([8]回答表!X43="○",[8]回答表!E192,IF([8]回答表!AA43="○",[8]回答表!E240,"")),"")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IF([8]回答表!F17="下水道事業",IF([8]回答表!AA43="○","○",""),"")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IF([8]回答表!F17="下水道事業",IF([8]回答表!X43="○",[8]回答表!Y186,IF([8]回答表!AA43="○",[8]回答表!Y234,"")),"")</f>
        <v/>
      </c>
      <c r="V142" s="119"/>
      <c r="W142" s="119"/>
      <c r="X142" s="119"/>
      <c r="Y142" s="119"/>
      <c r="Z142" s="119"/>
      <c r="AA142" s="119"/>
      <c r="AB142" s="120"/>
      <c r="AC142" s="118" t="str">
        <f>IF([8]回答表!F17="下水道事業",IF([8]回答表!X43="○",[8]回答表!Y187,IF([8]回答表!AA43="○",[8]回答表!Y235,"")),"")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IF([8]回答表!F17="下水道事業",IF([8]回答表!AD43="○","○",""),"")</f>
        <v/>
      </c>
      <c r="O147" s="98"/>
      <c r="P147" s="98"/>
      <c r="Q147" s="99"/>
      <c r="R147" s="39"/>
      <c r="S147" s="39"/>
      <c r="T147" s="39"/>
      <c r="U147" s="106" t="str">
        <f>IF([8]回答表!F17="下水道事業",IF([8]回答表!AD43="○",[8]回答表!B249,""),"")</f>
        <v/>
      </c>
      <c r="V147" s="107"/>
      <c r="W147" s="107"/>
      <c r="X147" s="107"/>
      <c r="Y147" s="107"/>
      <c r="Z147" s="107"/>
      <c r="AA147" s="107"/>
      <c r="AB147" s="107"/>
      <c r="AC147" s="107"/>
      <c r="AD147" s="107"/>
      <c r="AE147" s="107"/>
      <c r="AF147" s="107"/>
      <c r="AG147" s="107"/>
      <c r="AH147" s="107"/>
      <c r="AI147" s="107"/>
      <c r="AJ147" s="108"/>
      <c r="AK147" s="56"/>
      <c r="AL147" s="56"/>
      <c r="AM147" s="106" t="str">
        <f>IF([8]回答表!F17="下水道事業",IF([8]回答表!AD43="○",[8]回答表!B255,""),"")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IF([8]回答表!BD17="○",IF([8]回答表!X43="○","○",""),"")</f>
        <v/>
      </c>
      <c r="O159" s="98"/>
      <c r="P159" s="98"/>
      <c r="Q159" s="99"/>
      <c r="R159" s="39"/>
      <c r="S159" s="39"/>
      <c r="T159" s="39"/>
      <c r="U159" s="106" t="str">
        <f>IF([8]回答表!BD17="○",IF([8]回答表!X43="○",[8]回答表!B154,IF([8]回答表!AA43="○",[8]回答表!B201,"")),"")</f>
        <v/>
      </c>
      <c r="V159" s="107"/>
      <c r="W159" s="107"/>
      <c r="X159" s="107"/>
      <c r="Y159" s="107"/>
      <c r="Z159" s="107"/>
      <c r="AA159" s="107"/>
      <c r="AB159" s="107"/>
      <c r="AC159" s="107"/>
      <c r="AD159" s="107"/>
      <c r="AE159" s="107"/>
      <c r="AF159" s="107"/>
      <c r="AG159" s="107"/>
      <c r="AH159" s="107"/>
      <c r="AI159" s="107"/>
      <c r="AJ159" s="108"/>
      <c r="AK159" s="50"/>
      <c r="AL159" s="50"/>
      <c r="AM159" s="115" t="str">
        <f>IF([8]回答表!BD17="○",IF([8]回答表!X43="○",[8]回答表!B190,IF([8]回答表!AA43="○",[8]回答表!B238,"")),"")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IF([8]回答表!BD17="○",IF([8]回答表!X43="○",[8]回答表!E190,IF([8]回答表!AA43="○",[8]回答表!E238,"")),"")</f>
        <v/>
      </c>
      <c r="AN162" s="83"/>
      <c r="AO162" s="83"/>
      <c r="AP162" s="83"/>
      <c r="AQ162" s="82" t="str">
        <f>IF([8]回答表!BD17="○",IF([8]回答表!X43="○",[8]回答表!E191,IF([8]回答表!AA43="○",[8]回答表!E239,"")),"")</f>
        <v/>
      </c>
      <c r="AR162" s="83"/>
      <c r="AS162" s="83"/>
      <c r="AT162" s="83"/>
      <c r="AU162" s="82" t="str">
        <f>IF([8]回答表!BD17="○",IF([8]回答表!X43="○",[8]回答表!E192,IF([8]回答表!AA43="○",[8]回答表!E240,"")),"")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IF([8]回答表!BD17="○",IF([8]回答表!AA43="○","○",""),"")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IF([8]回答表!BD17="○",IF([8]回答表!AD43="○","○",""),"")</f>
        <v/>
      </c>
      <c r="O171" s="98"/>
      <c r="P171" s="98"/>
      <c r="Q171" s="99"/>
      <c r="R171" s="39"/>
      <c r="S171" s="39"/>
      <c r="T171" s="39"/>
      <c r="U171" s="106" t="str">
        <f>IF([8]回答表!BD17="○",IF([8]回答表!AD43="○",[8]回答表!B249,""),"")</f>
        <v/>
      </c>
      <c r="V171" s="107"/>
      <c r="W171" s="107"/>
      <c r="X171" s="107"/>
      <c r="Y171" s="107"/>
      <c r="Z171" s="107"/>
      <c r="AA171" s="107"/>
      <c r="AB171" s="107"/>
      <c r="AC171" s="107"/>
      <c r="AD171" s="107"/>
      <c r="AE171" s="107"/>
      <c r="AF171" s="107"/>
      <c r="AG171" s="107"/>
      <c r="AH171" s="107"/>
      <c r="AI171" s="107"/>
      <c r="AJ171" s="108"/>
      <c r="AK171" s="56"/>
      <c r="AL171" s="56"/>
      <c r="AM171" s="106" t="str">
        <f>IF([8]回答表!BD17="○",IF([8]回答表!AD43="○",[8]回答表!B255,""),"")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IF([8]回答表!X44="○","○","")</f>
        <v/>
      </c>
      <c r="O183" s="98"/>
      <c r="P183" s="98"/>
      <c r="Q183" s="99"/>
      <c r="R183" s="39"/>
      <c r="S183" s="39"/>
      <c r="T183" s="39"/>
      <c r="U183" s="106" t="str">
        <f>IF([8]回答表!X44="○",[8]回答表!B266,IF([8]回答表!AA44="○",[8]回答表!B283,""))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IF([8]回答表!X44="○",[8]回答表!U272,IF([8]回答表!AA44="○",[8]回答表!U289,""))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IF([8]回答表!X44="○",[8]回答表!G272,IF([8]回答表!AA44="○",[8]回答表!G289,""))</f>
        <v/>
      </c>
      <c r="AN186" s="119"/>
      <c r="AO186" s="119"/>
      <c r="AP186" s="119"/>
      <c r="AQ186" s="119"/>
      <c r="AR186" s="119"/>
      <c r="AS186" s="119"/>
      <c r="AT186" s="120"/>
      <c r="AU186" s="118" t="str">
        <f>IF([8]回答表!X44="○",[8]回答表!G273,IF([8]回答表!AA44="○",[8]回答表!G290,""))</f>
        <v/>
      </c>
      <c r="AV186" s="119"/>
      <c r="AW186" s="119"/>
      <c r="AX186" s="119"/>
      <c r="AY186" s="119"/>
      <c r="AZ186" s="119"/>
      <c r="BA186" s="119"/>
      <c r="BB186" s="120"/>
      <c r="BC186" s="40"/>
      <c r="BD186" s="35"/>
      <c r="BE186" s="82" t="str">
        <f>IF([8]回答表!X44="○",[8]回答表!X272,IF([8]回答表!AA44="○",[8]回答表!X289,""))</f>
        <v/>
      </c>
      <c r="BF186" s="83"/>
      <c r="BG186" s="83"/>
      <c r="BH186" s="83"/>
      <c r="BI186" s="82" t="str">
        <f>IF([8]回答表!X44="○",[8]回答表!X273,IF([8]回答表!AA44="○",[8]回答表!X290,""))</f>
        <v/>
      </c>
      <c r="BJ186" s="83"/>
      <c r="BK186" s="83"/>
      <c r="BL186" s="86"/>
      <c r="BM186" s="82" t="str">
        <f>IF([8]回答表!X44="○",[8]回答表!X274,IF([8]回答表!AA44="○",[8]回答表!X291,""))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IF([8]回答表!AA44="○","○","")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IF([8]回答表!AD44="○","○","")</f>
        <v/>
      </c>
      <c r="O195" s="98"/>
      <c r="P195" s="98"/>
      <c r="Q195" s="99"/>
      <c r="R195" s="39"/>
      <c r="S195" s="39"/>
      <c r="T195" s="39"/>
      <c r="U195" s="106" t="str">
        <f>IF([8]回答表!AD44="○",[8]回答表!B296,"")</f>
        <v/>
      </c>
      <c r="V195" s="107"/>
      <c r="W195" s="107"/>
      <c r="X195" s="107"/>
      <c r="Y195" s="107"/>
      <c r="Z195" s="107"/>
      <c r="AA195" s="107"/>
      <c r="AB195" s="107"/>
      <c r="AC195" s="107"/>
      <c r="AD195" s="107"/>
      <c r="AE195" s="107"/>
      <c r="AF195" s="107"/>
      <c r="AG195" s="107"/>
      <c r="AH195" s="107"/>
      <c r="AI195" s="107"/>
      <c r="AJ195" s="108"/>
      <c r="AK195" s="61"/>
      <c r="AL195" s="61"/>
      <c r="AM195" s="106" t="str">
        <f>IF([8]回答表!AD44="○",[8]回答表!B302,"")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IF([8]回答表!X45="○","○","")</f>
        <v/>
      </c>
      <c r="O207" s="98"/>
      <c r="P207" s="98"/>
      <c r="Q207" s="99"/>
      <c r="R207" s="39"/>
      <c r="S207" s="39"/>
      <c r="T207" s="39"/>
      <c r="U207" s="106" t="str">
        <f>IF([8]回答表!X45="○",[8]回答表!B314,IF([8]回答表!AA45="○",[8]回答表!B337,""))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IF([8]回答表!X45="○",[8]回答表!B320,"")</f>
        <v/>
      </c>
      <c r="AO207" s="164"/>
      <c r="AP207" s="164"/>
      <c r="AQ207" s="164"/>
      <c r="AR207" s="164"/>
      <c r="AS207" s="164"/>
      <c r="AT207" s="164"/>
      <c r="AU207" s="164"/>
      <c r="AV207" s="164"/>
      <c r="AW207" s="164"/>
      <c r="AX207" s="164"/>
      <c r="AY207" s="164"/>
      <c r="AZ207" s="164"/>
      <c r="BA207" s="164"/>
      <c r="BB207" s="165"/>
      <c r="BC207" s="40"/>
      <c r="BD207" s="35"/>
      <c r="BE207" s="115" t="str">
        <f>IF([8]回答表!X45="○",[8]回答表!B326,IF([8]回答表!AA45="○",[8]回答表!B343,""))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IF([8]回答表!X45="○",[8]回答表!E326,IF([8]回答表!AA45="○",[8]回答表!E343,""))</f>
        <v/>
      </c>
      <c r="BF210" s="83"/>
      <c r="BG210" s="83"/>
      <c r="BH210" s="83"/>
      <c r="BI210" s="82" t="str">
        <f>IF([8]回答表!X45="○",[8]回答表!E327,IF([8]回答表!AA45="○",[8]回答表!E344,""))</f>
        <v/>
      </c>
      <c r="BJ210" s="83"/>
      <c r="BK210" s="83"/>
      <c r="BL210" s="86"/>
      <c r="BM210" s="82" t="str">
        <f>IF([8]回答表!X45="○",[8]回答表!E328,IF([8]回答表!AA45="○",[8]回答表!E345,""))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IF([8]回答表!AA45="○","○","")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IF([8]回答表!AD45="○","○","")</f>
        <v/>
      </c>
      <c r="O219" s="98"/>
      <c r="P219" s="98"/>
      <c r="Q219" s="99"/>
      <c r="R219" s="39"/>
      <c r="S219" s="39"/>
      <c r="T219" s="39"/>
      <c r="U219" s="106" t="str">
        <f>IF([8]回答表!AD45="○",[8]回答表!B350,"")</f>
        <v/>
      </c>
      <c r="V219" s="107"/>
      <c r="W219" s="107"/>
      <c r="X219" s="107"/>
      <c r="Y219" s="107"/>
      <c r="Z219" s="107"/>
      <c r="AA219" s="107"/>
      <c r="AB219" s="107"/>
      <c r="AC219" s="107"/>
      <c r="AD219" s="107"/>
      <c r="AE219" s="107"/>
      <c r="AF219" s="107"/>
      <c r="AG219" s="107"/>
      <c r="AH219" s="107"/>
      <c r="AI219" s="107"/>
      <c r="AJ219" s="108"/>
      <c r="AK219" s="61"/>
      <c r="AL219" s="61"/>
      <c r="AM219" s="106" t="str">
        <f>IF([8]回答表!AD45="○",[8]回答表!B356,"")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IF([8]回答表!X46="○","○","")</f>
        <v/>
      </c>
      <c r="O231" s="98"/>
      <c r="P231" s="98"/>
      <c r="Q231" s="99"/>
      <c r="R231" s="39"/>
      <c r="S231" s="39"/>
      <c r="T231" s="39"/>
      <c r="U231" s="106" t="str">
        <f>IF([8]回答表!X46="○",[8]回答表!B368,IF([8]回答表!AA46="○",[8]回答表!B382,""))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IF([8]回答表!X46="○",[8]回答表!BC375,IF([8]回答表!AA46="○",[8]回答表!BC389,""))</f>
        <v/>
      </c>
      <c r="AR231" s="150"/>
      <c r="AS231" s="150"/>
      <c r="AT231" s="150"/>
      <c r="AU231" s="155" t="s">
        <v>63</v>
      </c>
      <c r="AV231" s="156"/>
      <c r="AW231" s="156"/>
      <c r="AX231" s="157"/>
      <c r="AY231" s="150" t="str">
        <f>IF([8]回答表!X46="○",[8]回答表!BC380,IF([8]回答表!AA46="○",[8]回答表!BC394,""))</f>
        <v/>
      </c>
      <c r="AZ231" s="150"/>
      <c r="BA231" s="150"/>
      <c r="BB231" s="150"/>
      <c r="BC231" s="40"/>
      <c r="BD231" s="35"/>
      <c r="BE231" s="115" t="str">
        <f>IF([8]回答表!X46="○",[8]回答表!S374,IF([8]回答表!AA46="○",[8]回答表!S388,""))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IF([8]回答表!X46="○",[8]回答表!BC376,IF([8]回答表!AA46="○",[8]回答表!BC390,""))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IF([8]回答表!X46="○",[8]回答表!V374,IF([8]回答表!AA46="○",[8]回答表!V388,""))</f>
        <v/>
      </c>
      <c r="BF234" s="83"/>
      <c r="BG234" s="83"/>
      <c r="BH234" s="83"/>
      <c r="BI234" s="82" t="str">
        <f>IF([8]回答表!X46="○",[8]回答表!V375,IF([8]回答表!AA46="○",[8]回答表!V389,""))</f>
        <v/>
      </c>
      <c r="BJ234" s="83"/>
      <c r="BK234" s="83"/>
      <c r="BL234" s="86"/>
      <c r="BM234" s="82" t="str">
        <f>IF([8]回答表!X46="○",[8]回答表!V376,IF([8]回答表!AA46="○",[8]回答表!V390,""))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IF([8]回答表!X46="○",[8]回答表!BC377,IF([8]回答表!AA46="○",[8]回答表!BC391,""))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IF([8]回答表!X46="○",[8]回答表!BC381,IF([8]回答表!AA46="○",[8]回答表!BC395,""))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IF([8]回答表!AA46="○","○","")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IF([8]回答表!X46="○",[8]回答表!BC378,IF([8]回答表!AA46="○",[8]回答表!BC392,""))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IF([8]回答表!X46="○",[8]回答表!BC379,IF([8]回答表!AA46="○",[8]回答表!BC393,""))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IF([8]回答表!AD46="○","○","")</f>
        <v/>
      </c>
      <c r="O243" s="98"/>
      <c r="P243" s="98"/>
      <c r="Q243" s="99"/>
      <c r="R243" s="39"/>
      <c r="S243" s="39"/>
      <c r="T243" s="39"/>
      <c r="U243" s="106" t="str">
        <f>IF([8]回答表!AD46="○",[8]回答表!B396,"")</f>
        <v/>
      </c>
      <c r="V243" s="107"/>
      <c r="W243" s="107"/>
      <c r="X243" s="107"/>
      <c r="Y243" s="107"/>
      <c r="Z243" s="107"/>
      <c r="AA243" s="107"/>
      <c r="AB243" s="107"/>
      <c r="AC243" s="107"/>
      <c r="AD243" s="107"/>
      <c r="AE243" s="107"/>
      <c r="AF243" s="107"/>
      <c r="AG243" s="107"/>
      <c r="AH243" s="107"/>
      <c r="AI243" s="107"/>
      <c r="AJ243" s="108"/>
      <c r="AK243" s="56"/>
      <c r="AL243" s="56"/>
      <c r="AM243" s="106" t="str">
        <f>IF([8]回答表!AD46="○",[8]回答表!B402,"")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IF([8]回答表!X47="○","○","")</f>
        <v/>
      </c>
      <c r="O254" s="98"/>
      <c r="P254" s="98"/>
      <c r="Q254" s="99"/>
      <c r="R254" s="39"/>
      <c r="S254" s="39"/>
      <c r="T254" s="39"/>
      <c r="U254" s="106" t="str">
        <f>IF([8]回答表!X47="○",[8]回答表!B414,IF([8]回答表!AA47="○",[8]回答表!B431,""))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IF([8]回答表!X47="○",[8]回答表!B424,IF([8]回答表!AA47="○",[8]回答表!B441,""))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IF([8]回答表!X47="○",[8]回答表!G420,IF([8]回答表!AA47="○",[8]回答表!G437,""))</f>
        <v/>
      </c>
      <c r="AN256" s="119"/>
      <c r="AO256" s="119"/>
      <c r="AP256" s="119"/>
      <c r="AQ256" s="119"/>
      <c r="AR256" s="119"/>
      <c r="AS256" s="119"/>
      <c r="AT256" s="120"/>
      <c r="AU256" s="118" t="str">
        <f>IF([8]回答表!X47="○",[8]回答表!G421,IF([8]回答表!AA47="○",[8]回答表!G438,""))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IF([8]回答表!X47="○",[8]回答表!E424,IF([8]回答表!AA47="○",[8]回答表!E441,""))</f>
        <v/>
      </c>
      <c r="BF257" s="83"/>
      <c r="BG257" s="83"/>
      <c r="BH257" s="83"/>
      <c r="BI257" s="82" t="str">
        <f>IF([8]回答表!X47="○",[8]回答表!E425,IF([8]回答表!AA47="○",[8]回答表!E442,""))</f>
        <v/>
      </c>
      <c r="BJ257" s="83"/>
      <c r="BK257" s="83"/>
      <c r="BL257" s="86"/>
      <c r="BM257" s="82" t="str">
        <f>IF([8]回答表!X47="○",[8]回答表!E426,IF([8]回答表!AA47="○",[8]回答表!E443,""))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IF([8]回答表!AA47="○","○","")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IF([8]回答表!AD47="○","○","")</f>
        <v/>
      </c>
      <c r="O266" s="98"/>
      <c r="P266" s="98"/>
      <c r="Q266" s="99"/>
      <c r="R266" s="39"/>
      <c r="S266" s="39"/>
      <c r="T266" s="39"/>
      <c r="U266" s="106" t="str">
        <f>IF([8]回答表!AD47="○",[8]回答表!B448,"")</f>
        <v/>
      </c>
      <c r="V266" s="107"/>
      <c r="W266" s="107"/>
      <c r="X266" s="107"/>
      <c r="Y266" s="107"/>
      <c r="Z266" s="107"/>
      <c r="AA266" s="107"/>
      <c r="AB266" s="107"/>
      <c r="AC266" s="107"/>
      <c r="AD266" s="107"/>
      <c r="AE266" s="107"/>
      <c r="AF266" s="107"/>
      <c r="AG266" s="107"/>
      <c r="AH266" s="107"/>
      <c r="AI266" s="107"/>
      <c r="AJ266" s="108"/>
      <c r="AK266" s="50"/>
      <c r="AL266" s="50"/>
      <c r="AM266" s="106" t="str">
        <f>IF([8]回答表!AD47="○",[8]回答表!B454,"")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IF([8]回答表!R48="○",[8]回答表!B467,"")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07296-0231-46E8-8C24-2E6872083975}">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IF(COUNTIF([14]回答表!K15,"*")&gt;0,[14]回答表!K15,"")</f>
        <v>大仙市</v>
      </c>
      <c r="D11" s="264"/>
      <c r="E11" s="264"/>
      <c r="F11" s="264"/>
      <c r="G11" s="264"/>
      <c r="H11" s="264"/>
      <c r="I11" s="264"/>
      <c r="J11" s="264"/>
      <c r="K11" s="264"/>
      <c r="L11" s="264"/>
      <c r="M11" s="264"/>
      <c r="N11" s="264"/>
      <c r="O11" s="264"/>
      <c r="P11" s="264"/>
      <c r="Q11" s="264"/>
      <c r="R11" s="264"/>
      <c r="S11" s="264"/>
      <c r="T11" s="264"/>
      <c r="U11" s="271" t="str">
        <f>IF(COUNTIF([14]回答表!F17,"*")&gt;0,[14]回答表!F17,"")</f>
        <v>病院事業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IF(COUNTIF([14]回答表!W17,"*")&gt;0,[14]回答表!W17,"")</f>
        <v>―</v>
      </c>
      <c r="AP11" s="266"/>
      <c r="AQ11" s="266"/>
      <c r="AR11" s="266"/>
      <c r="AS11" s="266"/>
      <c r="AT11" s="266"/>
      <c r="AU11" s="266"/>
      <c r="AV11" s="266"/>
      <c r="AW11" s="266"/>
      <c r="AX11" s="266"/>
      <c r="AY11" s="266"/>
      <c r="AZ11" s="266"/>
      <c r="BA11" s="266"/>
      <c r="BB11" s="266"/>
      <c r="BC11" s="266"/>
      <c r="BD11" s="266"/>
      <c r="BE11" s="267"/>
      <c r="BF11" s="270" t="str">
        <f>IF(COUNTIF([14]回答表!F19,"*")&gt;0,[14]回答表!F19,"")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IF([14]回答表!R41="○","○","")</f>
        <v/>
      </c>
      <c r="E24" s="122"/>
      <c r="F24" s="122"/>
      <c r="G24" s="122"/>
      <c r="H24" s="122"/>
      <c r="I24" s="122"/>
      <c r="J24" s="123"/>
      <c r="K24" s="121" t="str">
        <f>IF([14]回答表!R42="○","○","")</f>
        <v/>
      </c>
      <c r="L24" s="122"/>
      <c r="M24" s="122"/>
      <c r="N24" s="122"/>
      <c r="O24" s="122"/>
      <c r="P24" s="122"/>
      <c r="Q24" s="123"/>
      <c r="R24" s="121" t="str">
        <f>IF([14]回答表!R43="○","○","")</f>
        <v/>
      </c>
      <c r="S24" s="122"/>
      <c r="T24" s="122"/>
      <c r="U24" s="122"/>
      <c r="V24" s="122"/>
      <c r="W24" s="122"/>
      <c r="X24" s="123"/>
      <c r="Y24" s="121" t="str">
        <f>IF([14]回答表!R44="○","○","")</f>
        <v/>
      </c>
      <c r="Z24" s="122"/>
      <c r="AA24" s="122"/>
      <c r="AB24" s="122"/>
      <c r="AC24" s="122"/>
      <c r="AD24" s="122"/>
      <c r="AE24" s="123"/>
      <c r="AF24" s="121" t="str">
        <f>IF([14]回答表!R45="○","○","")</f>
        <v/>
      </c>
      <c r="AG24" s="122"/>
      <c r="AH24" s="122"/>
      <c r="AI24" s="122"/>
      <c r="AJ24" s="122"/>
      <c r="AK24" s="122"/>
      <c r="AL24" s="123"/>
      <c r="AM24" s="121" t="str">
        <f>IF([14]回答表!R46="○","○","")</f>
        <v/>
      </c>
      <c r="AN24" s="122"/>
      <c r="AO24" s="122"/>
      <c r="AP24" s="122"/>
      <c r="AQ24" s="122"/>
      <c r="AR24" s="122"/>
      <c r="AS24" s="123"/>
      <c r="AT24" s="121" t="str">
        <f>IF([14]回答表!R47="○","○","")</f>
        <v/>
      </c>
      <c r="AU24" s="122"/>
      <c r="AV24" s="122"/>
      <c r="AW24" s="122"/>
      <c r="AX24" s="122"/>
      <c r="AY24" s="122"/>
      <c r="AZ24" s="123"/>
      <c r="BA24" s="19"/>
      <c r="BB24" s="118" t="str">
        <f>IF([14]回答表!R48="○","○","")</f>
        <v>○</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IF([14]回答表!X41="○","○","")</f>
        <v/>
      </c>
      <c r="O36" s="98"/>
      <c r="P36" s="98"/>
      <c r="Q36" s="99"/>
      <c r="R36" s="39"/>
      <c r="S36" s="39"/>
      <c r="T36" s="39"/>
      <c r="U36" s="106" t="str">
        <f>IF([14]回答表!X41="○",[14]回答表!B56,IF([14]回答表!AA41="○",[14]回答表!B76,""))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IF([14]回答表!X41="○",[14]回答表!S62,IF([14]回答表!AA41="○",[14]回答表!S82,""))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IF([14]回答表!X41="○",[14]回答表!G62,IF([14]回答表!AA41="○",[14]回答表!G82,""))</f>
        <v/>
      </c>
      <c r="AN38" s="119"/>
      <c r="AO38" s="119"/>
      <c r="AP38" s="119"/>
      <c r="AQ38" s="119"/>
      <c r="AR38" s="119"/>
      <c r="AS38" s="119"/>
      <c r="AT38" s="120"/>
      <c r="AU38" s="118" t="str">
        <f>IF([14]回答表!X41="○",[14]回答表!G63,IF([14]回答表!AA41="○",[14]回答表!G83,""))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IF([14]回答表!X41="○",[14]回答表!V62,IF([14]回答表!AA41="○",[14]回答表!V82,""))</f>
        <v/>
      </c>
      <c r="BF39" s="217"/>
      <c r="BG39" s="217"/>
      <c r="BH39" s="218"/>
      <c r="BI39" s="82" t="str">
        <f>IF([14]回答表!X41="○",[14]回答表!V63,IF([14]回答表!AA41="○",[14]回答表!V83,""))</f>
        <v/>
      </c>
      <c r="BJ39" s="217"/>
      <c r="BK39" s="217"/>
      <c r="BL39" s="218"/>
      <c r="BM39" s="82" t="str">
        <f>IF([14]回答表!X41="○",[14]回答表!V64,IF([14]回答表!AA41="○",[14]回答表!V84,""))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IF([14]回答表!X41="○",[14]回答表!O68,IF([14]回答表!AA41="○",[14]回答表!O88,""))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IF([14]回答表!X41="○",[14]回答表!O69,IF([14]回答表!AA41="○",[14]回答表!O89,""))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IF([14]回答表!AA41="○","○","")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IF([14]回答表!X41="○",[14]回答表!O70,IF([14]回答表!AA41="○",[14]回答表!O90,""))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IF([14]回答表!X41="○",[14]回答表!O71,IF([14]回答表!AA41="○",[14]回答表!O91,""))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IF([14]回答表!X41="○",[14]回答表!AG68,IF([14]回答表!AA41="○",[14]回答表!AG88,""))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IF([14]回答表!X41="○",[14]回答表!AG69,IF([14]回答表!AA41="○",[14]回答表!AG89,""))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IF([14]回答表!X41="○",[14]回答表!AG70,IF([14]回答表!AA41="○",[14]回答表!AG90,""))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IF([14]回答表!AD41="○","○","")</f>
        <v/>
      </c>
      <c r="O52" s="98"/>
      <c r="P52" s="98"/>
      <c r="Q52" s="99"/>
      <c r="R52" s="39"/>
      <c r="S52" s="39"/>
      <c r="T52" s="39"/>
      <c r="U52" s="106" t="str">
        <f>IF([14]回答表!AD41="○",[14]回答表!B96,"")</f>
        <v/>
      </c>
      <c r="V52" s="107"/>
      <c r="W52" s="107"/>
      <c r="X52" s="107"/>
      <c r="Y52" s="107"/>
      <c r="Z52" s="107"/>
      <c r="AA52" s="107"/>
      <c r="AB52" s="107"/>
      <c r="AC52" s="107"/>
      <c r="AD52" s="107"/>
      <c r="AE52" s="107"/>
      <c r="AF52" s="107"/>
      <c r="AG52" s="107"/>
      <c r="AH52" s="107"/>
      <c r="AI52" s="107"/>
      <c r="AJ52" s="108"/>
      <c r="AK52" s="56"/>
      <c r="AL52" s="56"/>
      <c r="AM52" s="106" t="str">
        <f>IF([14]回答表!AD41="○",[14]回答表!B101,"")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IF([14]回答表!X42="○","○","")</f>
        <v/>
      </c>
      <c r="O63" s="98"/>
      <c r="P63" s="98"/>
      <c r="Q63" s="99"/>
      <c r="R63" s="39"/>
      <c r="S63" s="39"/>
      <c r="T63" s="39"/>
      <c r="U63" s="106" t="str">
        <f>IF([14]回答表!X42="○",[14]回答表!B111,IF([14]回答表!AA42="○",[14]回答表!B124,""))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IF([14]回答表!X42="○",[14]回答表!S117,IF([14]回答表!AA42="○",[14]回答表!S130,""))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IF([14]回答表!X42="○",[14]回答表!J117,IF([14]回答表!AA42="○",[14]回答表!J130,""))</f>
        <v/>
      </c>
      <c r="AN66" s="119"/>
      <c r="AO66" s="119"/>
      <c r="AP66" s="119"/>
      <c r="AQ66" s="119"/>
      <c r="AR66" s="119"/>
      <c r="AS66" s="119"/>
      <c r="AT66" s="120"/>
      <c r="AU66" s="118" t="str">
        <f>IF([14]回答表!X42="○",[14]回答表!J118,IF([14]回答表!AA42="○",[14]回答表!J131,""))</f>
        <v/>
      </c>
      <c r="AV66" s="119"/>
      <c r="AW66" s="119"/>
      <c r="AX66" s="119"/>
      <c r="AY66" s="119"/>
      <c r="AZ66" s="119"/>
      <c r="BA66" s="119"/>
      <c r="BB66" s="120"/>
      <c r="BC66" s="40"/>
      <c r="BD66" s="35"/>
      <c r="BE66" s="82" t="str">
        <f>IF([14]回答表!X42="○",[14]回答表!V117,IF([14]回答表!AA42="○",[14]回答表!V130,""))</f>
        <v/>
      </c>
      <c r="BF66" s="83"/>
      <c r="BG66" s="83"/>
      <c r="BH66" s="83"/>
      <c r="BI66" s="82" t="str">
        <f>IF([14]回答表!X42="○",[14]回答表!V118,IF([14]回答表!AA42="○",[14]回答表!V131,""))</f>
        <v/>
      </c>
      <c r="BJ66" s="83"/>
      <c r="BK66" s="83"/>
      <c r="BL66" s="83"/>
      <c r="BM66" s="82" t="str">
        <f>IF([14]回答表!X42="○",[14]回答表!V119,IF([14]回答表!AA42="○",[14]回答表!V132,""))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IF([14]回答表!AA42="○","○","")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IF([14]回答表!AD42="○","○","")</f>
        <v/>
      </c>
      <c r="O75" s="98"/>
      <c r="P75" s="98"/>
      <c r="Q75" s="99"/>
      <c r="R75" s="39"/>
      <c r="S75" s="39"/>
      <c r="T75" s="39"/>
      <c r="U75" s="106" t="str">
        <f>IF([14]回答表!AD42="○",[14]回答表!B137,"")</f>
        <v/>
      </c>
      <c r="V75" s="107"/>
      <c r="W75" s="107"/>
      <c r="X75" s="107"/>
      <c r="Y75" s="107"/>
      <c r="Z75" s="107"/>
      <c r="AA75" s="107"/>
      <c r="AB75" s="107"/>
      <c r="AC75" s="107"/>
      <c r="AD75" s="107"/>
      <c r="AE75" s="107"/>
      <c r="AF75" s="107"/>
      <c r="AG75" s="107"/>
      <c r="AH75" s="107"/>
      <c r="AI75" s="107"/>
      <c r="AJ75" s="108"/>
      <c r="AK75" s="56"/>
      <c r="AL75" s="56"/>
      <c r="AM75" s="106" t="str">
        <f>IF([14]回答表!AD42="○",[14]回答表!B143,"")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IF([14]回答表!F17="水道事業",IF([14]回答表!X43="○","○",""),"")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IF([14]回答表!F17="水道事業",IF([14]回答表!X43="○",[14]回答表!B154,IF([14]回答表!AA43="○",[14]回答表!B201,"")),"")</f>
        <v/>
      </c>
      <c r="AN87" s="107"/>
      <c r="AO87" s="107"/>
      <c r="AP87" s="107"/>
      <c r="AQ87" s="107"/>
      <c r="AR87" s="107"/>
      <c r="AS87" s="107"/>
      <c r="AT87" s="107"/>
      <c r="AU87" s="107"/>
      <c r="AV87" s="107"/>
      <c r="AW87" s="107"/>
      <c r="AX87" s="107"/>
      <c r="AY87" s="107"/>
      <c r="AZ87" s="107"/>
      <c r="BA87" s="107"/>
      <c r="BB87" s="108"/>
      <c r="BC87" s="40"/>
      <c r="BD87" s="35"/>
      <c r="BE87" s="115" t="str">
        <f>IF([14]回答表!F17="水道事業",IF([14]回答表!X43="○",[14]回答表!B190,IF([14]回答表!AA43="○",[14]回答表!B238,"")),"")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IF([14]回答表!F17="水道事業",IF([14]回答表!X43="○",[14]回答表!J162,IF([14]回答表!AA43="○",[14]回答表!J209,"")),"")</f>
        <v/>
      </c>
      <c r="V89" s="119"/>
      <c r="W89" s="119"/>
      <c r="X89" s="119"/>
      <c r="Y89" s="119"/>
      <c r="Z89" s="119"/>
      <c r="AA89" s="119"/>
      <c r="AB89" s="120"/>
      <c r="AC89" s="118" t="str">
        <f>IF([14]回答表!F17="水道事業",IF([14]回答表!X43="○",[14]回答表!J169,IF([14]回答表!AA43="○",[14]回答表!J216,"")),"")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IF([14]回答表!F17="水道事業",IF([14]回答表!X43="○",[14]回答表!E190,IF([14]回答表!AA43="○",[14]回答表!E238,"")),"")</f>
        <v/>
      </c>
      <c r="BF90" s="83"/>
      <c r="BG90" s="83"/>
      <c r="BH90" s="83"/>
      <c r="BI90" s="82" t="str">
        <f>IF([14]回答表!F17="水道事業",IF([14]回答表!X43="○",[14]回答表!E191,IF([14]回答表!AA43="○",[14]回答表!E239,"")),"")</f>
        <v/>
      </c>
      <c r="BJ90" s="83"/>
      <c r="BK90" s="83"/>
      <c r="BL90" s="83"/>
      <c r="BM90" s="82" t="str">
        <f>IF([14]回答表!F17="水道事業",IF([14]回答表!X43="○",[14]回答表!E192,IF([14]回答表!AA43="○",[14]回答表!E240,"")),"")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IF([14]回答表!F17="水道事業",IF([14]回答表!AA43="○","○",""),"")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IF([14]回答表!F17="水道事業",IF([14]回答表!X43="○",[14]回答表!J172,IF([14]回答表!AA43="○",[14]回答表!J219,"")),"")</f>
        <v/>
      </c>
      <c r="V94" s="119"/>
      <c r="W94" s="119"/>
      <c r="X94" s="119"/>
      <c r="Y94" s="119"/>
      <c r="Z94" s="119"/>
      <c r="AA94" s="119"/>
      <c r="AB94" s="120"/>
      <c r="AC94" s="118" t="str">
        <f>IF([14]回答表!F17="水道事業",IF([14]回答表!X43="○",[14]回答表!J176,IF([14]回答表!AA43="○",[14]回答表!J223,"")),"")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IF([14]回答表!F17="水道事業",IF([14]回答表!AD43="○","○",""),"")</f>
        <v/>
      </c>
      <c r="O99" s="98"/>
      <c r="P99" s="98"/>
      <c r="Q99" s="99"/>
      <c r="R99" s="39"/>
      <c r="S99" s="39"/>
      <c r="T99" s="39"/>
      <c r="U99" s="106" t="str">
        <f>IF([14]回答表!F17="水道事業",IF([14]回答表!AD43="○",[14]回答表!B249,""),"")</f>
        <v/>
      </c>
      <c r="V99" s="107"/>
      <c r="W99" s="107"/>
      <c r="X99" s="107"/>
      <c r="Y99" s="107"/>
      <c r="Z99" s="107"/>
      <c r="AA99" s="107"/>
      <c r="AB99" s="107"/>
      <c r="AC99" s="107"/>
      <c r="AD99" s="107"/>
      <c r="AE99" s="107"/>
      <c r="AF99" s="107"/>
      <c r="AG99" s="107"/>
      <c r="AH99" s="107"/>
      <c r="AI99" s="107"/>
      <c r="AJ99" s="108"/>
      <c r="AK99" s="56"/>
      <c r="AL99" s="56"/>
      <c r="AM99" s="106" t="str">
        <f>IF([14]回答表!F17="水道事業",IF([14]回答表!AD43="○",[14]回答表!B255,""),"")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IF([14]回答表!F17="簡易水道事業",IF([14]回答表!X43="○","○",""),"")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IF([14]回答表!F17="簡易水道事業",IF([14]回答表!X43="○",[14]回答表!B154,IF([14]回答表!AA43="○",[14]回答表!B201,"")),"")</f>
        <v/>
      </c>
      <c r="AN111" s="107"/>
      <c r="AO111" s="107"/>
      <c r="AP111" s="107"/>
      <c r="AQ111" s="107"/>
      <c r="AR111" s="107"/>
      <c r="AS111" s="107"/>
      <c r="AT111" s="107"/>
      <c r="AU111" s="107"/>
      <c r="AV111" s="107"/>
      <c r="AW111" s="107"/>
      <c r="AX111" s="107"/>
      <c r="AY111" s="107"/>
      <c r="AZ111" s="107"/>
      <c r="BA111" s="107"/>
      <c r="BB111" s="108"/>
      <c r="BC111" s="40"/>
      <c r="BD111" s="35"/>
      <c r="BE111" s="115" t="str">
        <f>IF([14]回答表!F17="簡易水道事業",IF([14]回答表!X43="○",[14]回答表!B190,IF([14]回答表!AA43="○",[14]回答表!B238,"")),"")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IF([14]回答表!F17="簡易水道事業",IF([14]回答表!X43="○",[14]回答表!Y181,IF([14]回答表!AA43="○",[14]回答表!Y229,"")),"")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IF([14]回答表!F17="簡易水道事業",IF([14]回答表!X43="○",[14]回答表!E190,IF([14]回答表!AA43="○",[14]回答表!E238,"")),"")</f>
        <v/>
      </c>
      <c r="BF114" s="83"/>
      <c r="BG114" s="83"/>
      <c r="BH114" s="83"/>
      <c r="BI114" s="82" t="str">
        <f>IF([14]回答表!F17="簡易水道事業",IF([14]回答表!X43="○",[14]回答表!E191,IF([14]回答表!AA43="○",[14]回答表!E239,"")),"")</f>
        <v/>
      </c>
      <c r="BJ114" s="83"/>
      <c r="BK114" s="83"/>
      <c r="BL114" s="83"/>
      <c r="BM114" s="82" t="str">
        <f>IF([14]回答表!F17="簡易水道事業",IF([14]回答表!X43="○",[14]回答表!E192,IF([14]回答表!AA43="○",[14]回答表!E240,"")),"")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IF([14]回答表!F17="簡易水道事業",IF([14]回答表!AA43="○","○",""),"")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IF([14]回答表!F17="簡易水道事業",IF([14]回答表!X43="○",[14]回答表!Y182,IF([14]回答表!AA43="○",[14]回答表!Y230,"")),"")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IF([14]回答表!F17="簡易水道事業",IF([14]回答表!AD43="○","○",""),"")</f>
        <v/>
      </c>
      <c r="O123" s="98"/>
      <c r="P123" s="98"/>
      <c r="Q123" s="99"/>
      <c r="R123" s="39"/>
      <c r="S123" s="39"/>
      <c r="T123" s="39"/>
      <c r="U123" s="106" t="str">
        <f>IF([14]回答表!F17="簡易水道事業",IF([14]回答表!AD43="○",[14]回答表!B249,""),"")</f>
        <v/>
      </c>
      <c r="V123" s="107"/>
      <c r="W123" s="107"/>
      <c r="X123" s="107"/>
      <c r="Y123" s="107"/>
      <c r="Z123" s="107"/>
      <c r="AA123" s="107"/>
      <c r="AB123" s="107"/>
      <c r="AC123" s="107"/>
      <c r="AD123" s="107"/>
      <c r="AE123" s="107"/>
      <c r="AF123" s="107"/>
      <c r="AG123" s="107"/>
      <c r="AH123" s="107"/>
      <c r="AI123" s="107"/>
      <c r="AJ123" s="108"/>
      <c r="AK123" s="56"/>
      <c r="AL123" s="56"/>
      <c r="AM123" s="106" t="str">
        <f>IF([14]回答表!F17="簡易水道事業",IF([14]回答表!AD43="○",[14]回答表!B255,""),"")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IF([14]回答表!F17="下水道事業",IF([14]回答表!X43="○","○",""),"")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IF([14]回答表!F17="下水道事業",IF([14]回答表!X43="○",[14]回答表!B154,IF([14]回答表!AA43="○",[14]回答表!B201,"")),"")</f>
        <v/>
      </c>
      <c r="AN135" s="107"/>
      <c r="AO135" s="107"/>
      <c r="AP135" s="107"/>
      <c r="AQ135" s="107"/>
      <c r="AR135" s="107"/>
      <c r="AS135" s="107"/>
      <c r="AT135" s="107"/>
      <c r="AU135" s="107"/>
      <c r="AV135" s="107"/>
      <c r="AW135" s="107"/>
      <c r="AX135" s="107"/>
      <c r="AY135" s="107"/>
      <c r="AZ135" s="107"/>
      <c r="BA135" s="107"/>
      <c r="BB135" s="108"/>
      <c r="BC135" s="40"/>
      <c r="BD135" s="35"/>
      <c r="BE135" s="115" t="str">
        <f>IF([14]回答表!F17="下水道事業",IF([14]回答表!X43="○",[14]回答表!B190,IF([14]回答表!AA43="○",[14]回答表!B238,"")),"")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IF([14]回答表!F17="下水道事業",IF([14]回答表!X43="○",[14]回答表!Y184,IF([14]回答表!AA43="○",[14]回答表!Y232,"")),"")</f>
        <v/>
      </c>
      <c r="V137" s="119"/>
      <c r="W137" s="119"/>
      <c r="X137" s="119"/>
      <c r="Y137" s="119"/>
      <c r="Z137" s="119"/>
      <c r="AA137" s="119"/>
      <c r="AB137" s="120"/>
      <c r="AC137" s="118" t="str">
        <f>IF([14]回答表!F17="下水道事業",IF([14]回答表!X43="○",[14]回答表!Y185,IF([14]回答表!AA43="○",[14]回答表!Y233,"")),"")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IF([14]回答表!F17="下水道事業",IF([14]回答表!X43="○",[14]回答表!E190,IF([14]回答表!AA43="○",[14]回答表!E238,"")),"")</f>
        <v/>
      </c>
      <c r="BF138" s="83"/>
      <c r="BG138" s="83"/>
      <c r="BH138" s="83"/>
      <c r="BI138" s="82" t="str">
        <f>IF([14]回答表!F17="下水道事業",IF([14]回答表!X43="○",[14]回答表!E191,IF([14]回答表!AA43="○",[14]回答表!E239,"")),"")</f>
        <v/>
      </c>
      <c r="BJ138" s="83"/>
      <c r="BK138" s="83"/>
      <c r="BL138" s="83"/>
      <c r="BM138" s="82" t="str">
        <f>IF([14]回答表!F17="下水道事業",IF([14]回答表!X43="○",[14]回答表!E192,IF([14]回答表!AA43="○",[14]回答表!E240,"")),"")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IF([14]回答表!F17="下水道事業",IF([14]回答表!AA43="○","○",""),"")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IF([14]回答表!F17="下水道事業",IF([14]回答表!X43="○",[14]回答表!Y186,IF([14]回答表!AA43="○",[14]回答表!Y234,"")),"")</f>
        <v/>
      </c>
      <c r="V142" s="119"/>
      <c r="W142" s="119"/>
      <c r="X142" s="119"/>
      <c r="Y142" s="119"/>
      <c r="Z142" s="119"/>
      <c r="AA142" s="119"/>
      <c r="AB142" s="120"/>
      <c r="AC142" s="118" t="str">
        <f>IF([14]回答表!F17="下水道事業",IF([14]回答表!X43="○",[14]回答表!Y187,IF([14]回答表!AA43="○",[14]回答表!Y235,"")),"")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IF([14]回答表!F17="下水道事業",IF([14]回答表!AD43="○","○",""),"")</f>
        <v/>
      </c>
      <c r="O147" s="98"/>
      <c r="P147" s="98"/>
      <c r="Q147" s="99"/>
      <c r="R147" s="39"/>
      <c r="S147" s="39"/>
      <c r="T147" s="39"/>
      <c r="U147" s="106" t="str">
        <f>IF([14]回答表!F17="下水道事業",IF([14]回答表!AD43="○",[14]回答表!B249,""),"")</f>
        <v/>
      </c>
      <c r="V147" s="107"/>
      <c r="W147" s="107"/>
      <c r="X147" s="107"/>
      <c r="Y147" s="107"/>
      <c r="Z147" s="107"/>
      <c r="AA147" s="107"/>
      <c r="AB147" s="107"/>
      <c r="AC147" s="107"/>
      <c r="AD147" s="107"/>
      <c r="AE147" s="107"/>
      <c r="AF147" s="107"/>
      <c r="AG147" s="107"/>
      <c r="AH147" s="107"/>
      <c r="AI147" s="107"/>
      <c r="AJ147" s="108"/>
      <c r="AK147" s="56"/>
      <c r="AL147" s="56"/>
      <c r="AM147" s="106" t="str">
        <f>IF([14]回答表!F17="下水道事業",IF([14]回答表!AD43="○",[14]回答表!B255,""),"")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IF([14]回答表!BD17="○",IF([14]回答表!X43="○","○",""),"")</f>
        <v/>
      </c>
      <c r="O159" s="98"/>
      <c r="P159" s="98"/>
      <c r="Q159" s="99"/>
      <c r="R159" s="39"/>
      <c r="S159" s="39"/>
      <c r="T159" s="39"/>
      <c r="U159" s="106" t="str">
        <f>IF([14]回答表!BD17="○",IF([14]回答表!X43="○",[14]回答表!B154,IF([14]回答表!AA43="○",[14]回答表!B201,"")),"")</f>
        <v/>
      </c>
      <c r="V159" s="107"/>
      <c r="W159" s="107"/>
      <c r="X159" s="107"/>
      <c r="Y159" s="107"/>
      <c r="Z159" s="107"/>
      <c r="AA159" s="107"/>
      <c r="AB159" s="107"/>
      <c r="AC159" s="107"/>
      <c r="AD159" s="107"/>
      <c r="AE159" s="107"/>
      <c r="AF159" s="107"/>
      <c r="AG159" s="107"/>
      <c r="AH159" s="107"/>
      <c r="AI159" s="107"/>
      <c r="AJ159" s="108"/>
      <c r="AK159" s="50"/>
      <c r="AL159" s="50"/>
      <c r="AM159" s="115" t="str">
        <f>IF([14]回答表!BD17="○",IF([14]回答表!X43="○",[14]回答表!B190,IF([14]回答表!AA43="○",[14]回答表!B238,"")),"")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IF([14]回答表!BD17="○",IF([14]回答表!X43="○",[14]回答表!E190,IF([14]回答表!AA43="○",[14]回答表!E238,"")),"")</f>
        <v/>
      </c>
      <c r="AN162" s="83"/>
      <c r="AO162" s="83"/>
      <c r="AP162" s="83"/>
      <c r="AQ162" s="82" t="str">
        <f>IF([14]回答表!BD17="○",IF([14]回答表!X43="○",[14]回答表!E191,IF([14]回答表!AA43="○",[14]回答表!E239,"")),"")</f>
        <v/>
      </c>
      <c r="AR162" s="83"/>
      <c r="AS162" s="83"/>
      <c r="AT162" s="83"/>
      <c r="AU162" s="82" t="str">
        <f>IF([14]回答表!BD17="○",IF([14]回答表!X43="○",[14]回答表!E192,IF([14]回答表!AA43="○",[14]回答表!E240,"")),"")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IF([14]回答表!BD17="○",IF([14]回答表!AA43="○","○",""),"")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IF([14]回答表!BD17="○",IF([14]回答表!AD43="○","○",""),"")</f>
        <v/>
      </c>
      <c r="O171" s="98"/>
      <c r="P171" s="98"/>
      <c r="Q171" s="99"/>
      <c r="R171" s="39"/>
      <c r="S171" s="39"/>
      <c r="T171" s="39"/>
      <c r="U171" s="106" t="str">
        <f>IF([14]回答表!BD17="○",IF([14]回答表!AD43="○",[14]回答表!B249,""),"")</f>
        <v/>
      </c>
      <c r="V171" s="107"/>
      <c r="W171" s="107"/>
      <c r="X171" s="107"/>
      <c r="Y171" s="107"/>
      <c r="Z171" s="107"/>
      <c r="AA171" s="107"/>
      <c r="AB171" s="107"/>
      <c r="AC171" s="107"/>
      <c r="AD171" s="107"/>
      <c r="AE171" s="107"/>
      <c r="AF171" s="107"/>
      <c r="AG171" s="107"/>
      <c r="AH171" s="107"/>
      <c r="AI171" s="107"/>
      <c r="AJ171" s="108"/>
      <c r="AK171" s="56"/>
      <c r="AL171" s="56"/>
      <c r="AM171" s="106" t="str">
        <f>IF([14]回答表!BD17="○",IF([14]回答表!AD43="○",[14]回答表!B255,""),"")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IF([14]回答表!X44="○","○","")</f>
        <v/>
      </c>
      <c r="O183" s="98"/>
      <c r="P183" s="98"/>
      <c r="Q183" s="99"/>
      <c r="R183" s="39"/>
      <c r="S183" s="39"/>
      <c r="T183" s="39"/>
      <c r="U183" s="106" t="str">
        <f>IF([14]回答表!X44="○",[14]回答表!B266,IF([14]回答表!AA44="○",[14]回答表!B283,""))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IF([14]回答表!X44="○",[14]回答表!U272,IF([14]回答表!AA44="○",[14]回答表!U289,""))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IF([14]回答表!X44="○",[14]回答表!G272,IF([14]回答表!AA44="○",[14]回答表!G289,""))</f>
        <v/>
      </c>
      <c r="AN186" s="119"/>
      <c r="AO186" s="119"/>
      <c r="AP186" s="119"/>
      <c r="AQ186" s="119"/>
      <c r="AR186" s="119"/>
      <c r="AS186" s="119"/>
      <c r="AT186" s="120"/>
      <c r="AU186" s="118" t="str">
        <f>IF([14]回答表!X44="○",[14]回答表!G273,IF([14]回答表!AA44="○",[14]回答表!G290,""))</f>
        <v/>
      </c>
      <c r="AV186" s="119"/>
      <c r="AW186" s="119"/>
      <c r="AX186" s="119"/>
      <c r="AY186" s="119"/>
      <c r="AZ186" s="119"/>
      <c r="BA186" s="119"/>
      <c r="BB186" s="120"/>
      <c r="BC186" s="40"/>
      <c r="BD186" s="35"/>
      <c r="BE186" s="82" t="str">
        <f>IF([14]回答表!X44="○",[14]回答表!X272,IF([14]回答表!AA44="○",[14]回答表!X289,""))</f>
        <v/>
      </c>
      <c r="BF186" s="83"/>
      <c r="BG186" s="83"/>
      <c r="BH186" s="83"/>
      <c r="BI186" s="82" t="str">
        <f>IF([14]回答表!X44="○",[14]回答表!X273,IF([14]回答表!AA44="○",[14]回答表!X290,""))</f>
        <v/>
      </c>
      <c r="BJ186" s="83"/>
      <c r="BK186" s="83"/>
      <c r="BL186" s="86"/>
      <c r="BM186" s="82" t="str">
        <f>IF([14]回答表!X44="○",[14]回答表!X274,IF([14]回答表!AA44="○",[14]回答表!X291,""))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IF([14]回答表!AA44="○","○","")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IF([14]回答表!AD44="○","○","")</f>
        <v/>
      </c>
      <c r="O195" s="98"/>
      <c r="P195" s="98"/>
      <c r="Q195" s="99"/>
      <c r="R195" s="39"/>
      <c r="S195" s="39"/>
      <c r="T195" s="39"/>
      <c r="U195" s="106" t="str">
        <f>IF([14]回答表!AD44="○",[14]回答表!B296,"")</f>
        <v/>
      </c>
      <c r="V195" s="107"/>
      <c r="W195" s="107"/>
      <c r="X195" s="107"/>
      <c r="Y195" s="107"/>
      <c r="Z195" s="107"/>
      <c r="AA195" s="107"/>
      <c r="AB195" s="107"/>
      <c r="AC195" s="107"/>
      <c r="AD195" s="107"/>
      <c r="AE195" s="107"/>
      <c r="AF195" s="107"/>
      <c r="AG195" s="107"/>
      <c r="AH195" s="107"/>
      <c r="AI195" s="107"/>
      <c r="AJ195" s="108"/>
      <c r="AK195" s="61"/>
      <c r="AL195" s="61"/>
      <c r="AM195" s="106" t="str">
        <f>IF([14]回答表!AD44="○",[14]回答表!B302,"")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IF([14]回答表!X45="○","○","")</f>
        <v/>
      </c>
      <c r="O207" s="98"/>
      <c r="P207" s="98"/>
      <c r="Q207" s="99"/>
      <c r="R207" s="39"/>
      <c r="S207" s="39"/>
      <c r="T207" s="39"/>
      <c r="U207" s="106" t="str">
        <f>IF([14]回答表!X45="○",[14]回答表!B314,IF([14]回答表!AA45="○",[14]回答表!B337,""))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IF([14]回答表!X45="○",[14]回答表!B320,"")</f>
        <v/>
      </c>
      <c r="AO207" s="164"/>
      <c r="AP207" s="164"/>
      <c r="AQ207" s="164"/>
      <c r="AR207" s="164"/>
      <c r="AS207" s="164"/>
      <c r="AT207" s="164"/>
      <c r="AU207" s="164"/>
      <c r="AV207" s="164"/>
      <c r="AW207" s="164"/>
      <c r="AX207" s="164"/>
      <c r="AY207" s="164"/>
      <c r="AZ207" s="164"/>
      <c r="BA207" s="164"/>
      <c r="BB207" s="165"/>
      <c r="BC207" s="40"/>
      <c r="BD207" s="35"/>
      <c r="BE207" s="115" t="str">
        <f>IF([14]回答表!X45="○",[14]回答表!B326,IF([14]回答表!AA45="○",[14]回答表!B343,""))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IF([14]回答表!X45="○",[14]回答表!E326,IF([14]回答表!AA45="○",[14]回答表!E343,""))</f>
        <v/>
      </c>
      <c r="BF210" s="83"/>
      <c r="BG210" s="83"/>
      <c r="BH210" s="83"/>
      <c r="BI210" s="82" t="str">
        <f>IF([14]回答表!X45="○",[14]回答表!E327,IF([14]回答表!AA45="○",[14]回答表!E344,""))</f>
        <v/>
      </c>
      <c r="BJ210" s="83"/>
      <c r="BK210" s="83"/>
      <c r="BL210" s="86"/>
      <c r="BM210" s="82" t="str">
        <f>IF([14]回答表!X45="○",[14]回答表!E328,IF([14]回答表!AA45="○",[14]回答表!E345,""))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IF([14]回答表!AA45="○","○","")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IF([14]回答表!AD45="○","○","")</f>
        <v/>
      </c>
      <c r="O219" s="98"/>
      <c r="P219" s="98"/>
      <c r="Q219" s="99"/>
      <c r="R219" s="39"/>
      <c r="S219" s="39"/>
      <c r="T219" s="39"/>
      <c r="U219" s="106" t="str">
        <f>IF([14]回答表!AD45="○",[14]回答表!B350,"")</f>
        <v/>
      </c>
      <c r="V219" s="107"/>
      <c r="W219" s="107"/>
      <c r="X219" s="107"/>
      <c r="Y219" s="107"/>
      <c r="Z219" s="107"/>
      <c r="AA219" s="107"/>
      <c r="AB219" s="107"/>
      <c r="AC219" s="107"/>
      <c r="AD219" s="107"/>
      <c r="AE219" s="107"/>
      <c r="AF219" s="107"/>
      <c r="AG219" s="107"/>
      <c r="AH219" s="107"/>
      <c r="AI219" s="107"/>
      <c r="AJ219" s="108"/>
      <c r="AK219" s="61"/>
      <c r="AL219" s="61"/>
      <c r="AM219" s="106" t="str">
        <f>IF([14]回答表!AD45="○",[14]回答表!B356,"")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IF([14]回答表!X46="○","○","")</f>
        <v/>
      </c>
      <c r="O231" s="98"/>
      <c r="P231" s="98"/>
      <c r="Q231" s="99"/>
      <c r="R231" s="39"/>
      <c r="S231" s="39"/>
      <c r="T231" s="39"/>
      <c r="U231" s="106" t="str">
        <f>IF([14]回答表!X46="○",[14]回答表!B368,IF([14]回答表!AA46="○",[14]回答表!B382,""))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IF([14]回答表!X46="○",[14]回答表!BC375,IF([14]回答表!AA46="○",[14]回答表!BC389,""))</f>
        <v/>
      </c>
      <c r="AR231" s="150"/>
      <c r="AS231" s="150"/>
      <c r="AT231" s="150"/>
      <c r="AU231" s="155" t="s">
        <v>63</v>
      </c>
      <c r="AV231" s="156"/>
      <c r="AW231" s="156"/>
      <c r="AX231" s="157"/>
      <c r="AY231" s="150" t="str">
        <f>IF([14]回答表!X46="○",[14]回答表!BC380,IF([14]回答表!AA46="○",[14]回答表!BC394,""))</f>
        <v/>
      </c>
      <c r="AZ231" s="150"/>
      <c r="BA231" s="150"/>
      <c r="BB231" s="150"/>
      <c r="BC231" s="40"/>
      <c r="BD231" s="35"/>
      <c r="BE231" s="115" t="str">
        <f>IF([14]回答表!X46="○",[14]回答表!S374,IF([14]回答表!AA46="○",[14]回答表!S388,""))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IF([14]回答表!X46="○",[14]回答表!BC376,IF([14]回答表!AA46="○",[14]回答表!BC390,""))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IF([14]回答表!X46="○",[14]回答表!V374,IF([14]回答表!AA46="○",[14]回答表!V388,""))</f>
        <v/>
      </c>
      <c r="BF234" s="83"/>
      <c r="BG234" s="83"/>
      <c r="BH234" s="83"/>
      <c r="BI234" s="82" t="str">
        <f>IF([14]回答表!X46="○",[14]回答表!V375,IF([14]回答表!AA46="○",[14]回答表!V389,""))</f>
        <v/>
      </c>
      <c r="BJ234" s="83"/>
      <c r="BK234" s="83"/>
      <c r="BL234" s="86"/>
      <c r="BM234" s="82" t="str">
        <f>IF([14]回答表!X46="○",[14]回答表!V376,IF([14]回答表!AA46="○",[14]回答表!V390,""))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IF([14]回答表!X46="○",[14]回答表!BC377,IF([14]回答表!AA46="○",[14]回答表!BC391,""))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IF([14]回答表!X46="○",[14]回答表!BC381,IF([14]回答表!AA46="○",[14]回答表!BC395,""))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IF([14]回答表!AA46="○","○","")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IF([14]回答表!X46="○",[14]回答表!BC378,IF([14]回答表!AA46="○",[14]回答表!BC392,""))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IF([14]回答表!X46="○",[14]回答表!BC379,IF([14]回答表!AA46="○",[14]回答表!BC393,""))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IF([14]回答表!AD46="○","○","")</f>
        <v/>
      </c>
      <c r="O243" s="98"/>
      <c r="P243" s="98"/>
      <c r="Q243" s="99"/>
      <c r="R243" s="39"/>
      <c r="S243" s="39"/>
      <c r="T243" s="39"/>
      <c r="U243" s="106" t="str">
        <f>IF([14]回答表!AD46="○",[14]回答表!B396,"")</f>
        <v/>
      </c>
      <c r="V243" s="107"/>
      <c r="W243" s="107"/>
      <c r="X243" s="107"/>
      <c r="Y243" s="107"/>
      <c r="Z243" s="107"/>
      <c r="AA243" s="107"/>
      <c r="AB243" s="107"/>
      <c r="AC243" s="107"/>
      <c r="AD243" s="107"/>
      <c r="AE243" s="107"/>
      <c r="AF243" s="107"/>
      <c r="AG243" s="107"/>
      <c r="AH243" s="107"/>
      <c r="AI243" s="107"/>
      <c r="AJ243" s="108"/>
      <c r="AK243" s="56"/>
      <c r="AL243" s="56"/>
      <c r="AM243" s="106" t="str">
        <f>IF([14]回答表!AD46="○",[14]回答表!B402,"")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IF([14]回答表!X47="○","○","")</f>
        <v/>
      </c>
      <c r="O254" s="98"/>
      <c r="P254" s="98"/>
      <c r="Q254" s="99"/>
      <c r="R254" s="39"/>
      <c r="S254" s="39"/>
      <c r="T254" s="39"/>
      <c r="U254" s="106" t="str">
        <f>IF([14]回答表!X47="○",[14]回答表!B414,IF([14]回答表!AA47="○",[14]回答表!B431,""))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IF([14]回答表!X47="○",[14]回答表!B424,IF([14]回答表!AA47="○",[14]回答表!B441,""))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IF([14]回答表!X47="○",[14]回答表!G420,IF([14]回答表!AA47="○",[14]回答表!G437,""))</f>
        <v/>
      </c>
      <c r="AN256" s="119"/>
      <c r="AO256" s="119"/>
      <c r="AP256" s="119"/>
      <c r="AQ256" s="119"/>
      <c r="AR256" s="119"/>
      <c r="AS256" s="119"/>
      <c r="AT256" s="120"/>
      <c r="AU256" s="118" t="str">
        <f>IF([14]回答表!X47="○",[14]回答表!G421,IF([14]回答表!AA47="○",[14]回答表!G438,""))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IF([14]回答表!X47="○",[14]回答表!E424,IF([14]回答表!AA47="○",[14]回答表!E441,""))</f>
        <v/>
      </c>
      <c r="BF257" s="83"/>
      <c r="BG257" s="83"/>
      <c r="BH257" s="83"/>
      <c r="BI257" s="82" t="str">
        <f>IF([14]回答表!X47="○",[14]回答表!E425,IF([14]回答表!AA47="○",[14]回答表!E442,""))</f>
        <v/>
      </c>
      <c r="BJ257" s="83"/>
      <c r="BK257" s="83"/>
      <c r="BL257" s="86"/>
      <c r="BM257" s="82" t="str">
        <f>IF([14]回答表!X47="○",[14]回答表!E426,IF([14]回答表!AA47="○",[14]回答表!E443,""))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IF([14]回答表!AA47="○","○","")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IF([14]回答表!AD47="○","○","")</f>
        <v/>
      </c>
      <c r="O266" s="98"/>
      <c r="P266" s="98"/>
      <c r="Q266" s="99"/>
      <c r="R266" s="39"/>
      <c r="S266" s="39"/>
      <c r="T266" s="39"/>
      <c r="U266" s="106" t="str">
        <f>IF([14]回答表!AD47="○",[14]回答表!B448,"")</f>
        <v/>
      </c>
      <c r="V266" s="107"/>
      <c r="W266" s="107"/>
      <c r="X266" s="107"/>
      <c r="Y266" s="107"/>
      <c r="Z266" s="107"/>
      <c r="AA266" s="107"/>
      <c r="AB266" s="107"/>
      <c r="AC266" s="107"/>
      <c r="AD266" s="107"/>
      <c r="AE266" s="107"/>
      <c r="AF266" s="107"/>
      <c r="AG266" s="107"/>
      <c r="AH266" s="107"/>
      <c r="AI266" s="107"/>
      <c r="AJ266" s="108"/>
      <c r="AK266" s="50"/>
      <c r="AL266" s="50"/>
      <c r="AM266" s="106" t="str">
        <f>IF([14]回答表!AD47="○",[14]回答表!B454,"")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IF([14]回答表!R48="○",[14]回答表!B467,"")</f>
        <v>令和元年度は、入院患者数の減少により、医業収益が昨年度より減少した。入院患者数は減少傾向にあり、令和２年度も低水準にとどまっているため、昨年度以上の一般会計からの繰入金が見込まれる。また建設から２３年が経過し、建物・設備等の劣化も問題となっている。しかしながら当病院は採算性の低い精神科の単科病院であるため、民間委託という選択肢は現実的ではない。ただし抜本的な改革の必要性を含めて検討が必要であるとの認識は一致している。</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FDD21-C399-4B26-AAB0-243D28A9E9E4}">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IF(COUNTIF([15]回答表!K15,"*")&gt;0,[15]回答表!K15,"")</f>
        <v>大仙市</v>
      </c>
      <c r="D11" s="264"/>
      <c r="E11" s="264"/>
      <c r="F11" s="264"/>
      <c r="G11" s="264"/>
      <c r="H11" s="264"/>
      <c r="I11" s="264"/>
      <c r="J11" s="264"/>
      <c r="K11" s="264"/>
      <c r="L11" s="264"/>
      <c r="M11" s="264"/>
      <c r="N11" s="264"/>
      <c r="O11" s="264"/>
      <c r="P11" s="264"/>
      <c r="Q11" s="264"/>
      <c r="R11" s="264"/>
      <c r="S11" s="264"/>
      <c r="T11" s="264"/>
      <c r="U11" s="271" t="str">
        <f>IF(COUNTIF([15]回答表!F17,"*")&gt;0,[15]回答表!F17,"")</f>
        <v>下水道事業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IF(COUNTIF([15]回答表!W17,"*")&gt;0,[15]回答表!W17,"")</f>
        <v>公共下水道</v>
      </c>
      <c r="AP11" s="266"/>
      <c r="AQ11" s="266"/>
      <c r="AR11" s="266"/>
      <c r="AS11" s="266"/>
      <c r="AT11" s="266"/>
      <c r="AU11" s="266"/>
      <c r="AV11" s="266"/>
      <c r="AW11" s="266"/>
      <c r="AX11" s="266"/>
      <c r="AY11" s="266"/>
      <c r="AZ11" s="266"/>
      <c r="BA11" s="266"/>
      <c r="BB11" s="266"/>
      <c r="BC11" s="266"/>
      <c r="BD11" s="266"/>
      <c r="BE11" s="267"/>
      <c r="BF11" s="270" t="str">
        <f>IF(COUNTIF([15]回答表!F19,"*")&gt;0,[15]回答表!F19,"")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IF([15]回答表!R41="○","○","")</f>
        <v/>
      </c>
      <c r="E24" s="122"/>
      <c r="F24" s="122"/>
      <c r="G24" s="122"/>
      <c r="H24" s="122"/>
      <c r="I24" s="122"/>
      <c r="J24" s="123"/>
      <c r="K24" s="121" t="str">
        <f>IF([15]回答表!R42="○","○","")</f>
        <v/>
      </c>
      <c r="L24" s="122"/>
      <c r="M24" s="122"/>
      <c r="N24" s="122"/>
      <c r="O24" s="122"/>
      <c r="P24" s="122"/>
      <c r="Q24" s="123"/>
      <c r="R24" s="121" t="str">
        <f>IF([15]回答表!R43="○","○","")</f>
        <v>○</v>
      </c>
      <c r="S24" s="122"/>
      <c r="T24" s="122"/>
      <c r="U24" s="122"/>
      <c r="V24" s="122"/>
      <c r="W24" s="122"/>
      <c r="X24" s="123"/>
      <c r="Y24" s="121" t="str">
        <f>IF([15]回答表!R44="○","○","")</f>
        <v/>
      </c>
      <c r="Z24" s="122"/>
      <c r="AA24" s="122"/>
      <c r="AB24" s="122"/>
      <c r="AC24" s="122"/>
      <c r="AD24" s="122"/>
      <c r="AE24" s="123"/>
      <c r="AF24" s="121" t="str">
        <f>IF([15]回答表!R45="○","○","")</f>
        <v/>
      </c>
      <c r="AG24" s="122"/>
      <c r="AH24" s="122"/>
      <c r="AI24" s="122"/>
      <c r="AJ24" s="122"/>
      <c r="AK24" s="122"/>
      <c r="AL24" s="123"/>
      <c r="AM24" s="121" t="str">
        <f>IF([15]回答表!R46="○","○","")</f>
        <v/>
      </c>
      <c r="AN24" s="122"/>
      <c r="AO24" s="122"/>
      <c r="AP24" s="122"/>
      <c r="AQ24" s="122"/>
      <c r="AR24" s="122"/>
      <c r="AS24" s="123"/>
      <c r="AT24" s="121" t="str">
        <f>IF([15]回答表!R47="○","○","")</f>
        <v/>
      </c>
      <c r="AU24" s="122"/>
      <c r="AV24" s="122"/>
      <c r="AW24" s="122"/>
      <c r="AX24" s="122"/>
      <c r="AY24" s="122"/>
      <c r="AZ24" s="123"/>
      <c r="BA24" s="19"/>
      <c r="BB24" s="118" t="str">
        <f>IF([15]回答表!R48="○","○","")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IF([15]回答表!X41="○","○","")</f>
        <v/>
      </c>
      <c r="O36" s="98"/>
      <c r="P36" s="98"/>
      <c r="Q36" s="99"/>
      <c r="R36" s="39"/>
      <c r="S36" s="39"/>
      <c r="T36" s="39"/>
      <c r="U36" s="106" t="str">
        <f>IF([15]回答表!X41="○",[15]回答表!B56,IF([15]回答表!AA41="○",[15]回答表!B76,""))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IF([15]回答表!X41="○",[15]回答表!S62,IF([15]回答表!AA41="○",[15]回答表!S82,""))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IF([15]回答表!X41="○",[15]回答表!G62,IF([15]回答表!AA41="○",[15]回答表!G82,""))</f>
        <v/>
      </c>
      <c r="AN38" s="119"/>
      <c r="AO38" s="119"/>
      <c r="AP38" s="119"/>
      <c r="AQ38" s="119"/>
      <c r="AR38" s="119"/>
      <c r="AS38" s="119"/>
      <c r="AT38" s="120"/>
      <c r="AU38" s="118" t="str">
        <f>IF([15]回答表!X41="○",[15]回答表!G63,IF([15]回答表!AA41="○",[15]回答表!G83,""))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IF([15]回答表!X41="○",[15]回答表!V62,IF([15]回答表!AA41="○",[15]回答表!V82,""))</f>
        <v/>
      </c>
      <c r="BF39" s="217"/>
      <c r="BG39" s="217"/>
      <c r="BH39" s="218"/>
      <c r="BI39" s="82" t="str">
        <f>IF([15]回答表!X41="○",[15]回答表!V63,IF([15]回答表!AA41="○",[15]回答表!V83,""))</f>
        <v/>
      </c>
      <c r="BJ39" s="217"/>
      <c r="BK39" s="217"/>
      <c r="BL39" s="218"/>
      <c r="BM39" s="82" t="str">
        <f>IF([15]回答表!X41="○",[15]回答表!V64,IF([15]回答表!AA41="○",[15]回答表!V84,""))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IF([15]回答表!X41="○",[15]回答表!O68,IF([15]回答表!AA41="○",[15]回答表!O88,""))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IF([15]回答表!X41="○",[15]回答表!O69,IF([15]回答表!AA41="○",[15]回答表!O89,""))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IF([15]回答表!AA41="○","○","")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IF([15]回答表!X41="○",[15]回答表!O70,IF([15]回答表!AA41="○",[15]回答表!O90,""))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IF([15]回答表!X41="○",[15]回答表!O71,IF([15]回答表!AA41="○",[15]回答表!O91,""))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IF([15]回答表!X41="○",[15]回答表!AG68,IF([15]回答表!AA41="○",[15]回答表!AG88,""))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IF([15]回答表!X41="○",[15]回答表!AG69,IF([15]回答表!AA41="○",[15]回答表!AG89,""))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IF([15]回答表!X41="○",[15]回答表!AG70,IF([15]回答表!AA41="○",[15]回答表!AG90,""))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IF([15]回答表!AD41="○","○","")</f>
        <v/>
      </c>
      <c r="O52" s="98"/>
      <c r="P52" s="98"/>
      <c r="Q52" s="99"/>
      <c r="R52" s="39"/>
      <c r="S52" s="39"/>
      <c r="T52" s="39"/>
      <c r="U52" s="106" t="str">
        <f>IF([15]回答表!AD41="○",[15]回答表!B96,"")</f>
        <v/>
      </c>
      <c r="V52" s="107"/>
      <c r="W52" s="107"/>
      <c r="X52" s="107"/>
      <c r="Y52" s="107"/>
      <c r="Z52" s="107"/>
      <c r="AA52" s="107"/>
      <c r="AB52" s="107"/>
      <c r="AC52" s="107"/>
      <c r="AD52" s="107"/>
      <c r="AE52" s="107"/>
      <c r="AF52" s="107"/>
      <c r="AG52" s="107"/>
      <c r="AH52" s="107"/>
      <c r="AI52" s="107"/>
      <c r="AJ52" s="108"/>
      <c r="AK52" s="56"/>
      <c r="AL52" s="56"/>
      <c r="AM52" s="106" t="str">
        <f>IF([15]回答表!AD41="○",[15]回答表!B101,"")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IF([15]回答表!X42="○","○","")</f>
        <v/>
      </c>
      <c r="O63" s="98"/>
      <c r="P63" s="98"/>
      <c r="Q63" s="99"/>
      <c r="R63" s="39"/>
      <c r="S63" s="39"/>
      <c r="T63" s="39"/>
      <c r="U63" s="106" t="str">
        <f>IF([15]回答表!X42="○",[15]回答表!B111,IF([15]回答表!AA42="○",[15]回答表!B124,""))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IF([15]回答表!X42="○",[15]回答表!S117,IF([15]回答表!AA42="○",[15]回答表!S130,""))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IF([15]回答表!X42="○",[15]回答表!J117,IF([15]回答表!AA42="○",[15]回答表!J130,""))</f>
        <v/>
      </c>
      <c r="AN66" s="119"/>
      <c r="AO66" s="119"/>
      <c r="AP66" s="119"/>
      <c r="AQ66" s="119"/>
      <c r="AR66" s="119"/>
      <c r="AS66" s="119"/>
      <c r="AT66" s="120"/>
      <c r="AU66" s="118" t="str">
        <f>IF([15]回答表!X42="○",[15]回答表!J118,IF([15]回答表!AA42="○",[15]回答表!J131,""))</f>
        <v/>
      </c>
      <c r="AV66" s="119"/>
      <c r="AW66" s="119"/>
      <c r="AX66" s="119"/>
      <c r="AY66" s="119"/>
      <c r="AZ66" s="119"/>
      <c r="BA66" s="119"/>
      <c r="BB66" s="120"/>
      <c r="BC66" s="40"/>
      <c r="BD66" s="35"/>
      <c r="BE66" s="82" t="str">
        <f>IF([15]回答表!X42="○",[15]回答表!V117,IF([15]回答表!AA42="○",[15]回答表!V130,""))</f>
        <v/>
      </c>
      <c r="BF66" s="83"/>
      <c r="BG66" s="83"/>
      <c r="BH66" s="83"/>
      <c r="BI66" s="82" t="str">
        <f>IF([15]回答表!X42="○",[15]回答表!V118,IF([15]回答表!AA42="○",[15]回答表!V131,""))</f>
        <v/>
      </c>
      <c r="BJ66" s="83"/>
      <c r="BK66" s="83"/>
      <c r="BL66" s="83"/>
      <c r="BM66" s="82" t="str">
        <f>IF([15]回答表!X42="○",[15]回答表!V119,IF([15]回答表!AA42="○",[15]回答表!V132,""))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IF([15]回答表!AA42="○","○","")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IF([15]回答表!AD42="○","○","")</f>
        <v/>
      </c>
      <c r="O75" s="98"/>
      <c r="P75" s="98"/>
      <c r="Q75" s="99"/>
      <c r="R75" s="39"/>
      <c r="S75" s="39"/>
      <c r="T75" s="39"/>
      <c r="U75" s="106" t="str">
        <f>IF([15]回答表!AD42="○",[15]回答表!B137,"")</f>
        <v/>
      </c>
      <c r="V75" s="107"/>
      <c r="W75" s="107"/>
      <c r="X75" s="107"/>
      <c r="Y75" s="107"/>
      <c r="Z75" s="107"/>
      <c r="AA75" s="107"/>
      <c r="AB75" s="107"/>
      <c r="AC75" s="107"/>
      <c r="AD75" s="107"/>
      <c r="AE75" s="107"/>
      <c r="AF75" s="107"/>
      <c r="AG75" s="107"/>
      <c r="AH75" s="107"/>
      <c r="AI75" s="107"/>
      <c r="AJ75" s="108"/>
      <c r="AK75" s="56"/>
      <c r="AL75" s="56"/>
      <c r="AM75" s="106" t="str">
        <f>IF([15]回答表!AD42="○",[15]回答表!B143,"")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IF([15]回答表!F17="水道事業",IF([15]回答表!X43="○","○",""),"")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IF([15]回答表!F17="水道事業",IF([15]回答表!X43="○",[15]回答表!B154,IF([15]回答表!AA43="○",[15]回答表!B201,"")),"")</f>
        <v/>
      </c>
      <c r="AN87" s="107"/>
      <c r="AO87" s="107"/>
      <c r="AP87" s="107"/>
      <c r="AQ87" s="107"/>
      <c r="AR87" s="107"/>
      <c r="AS87" s="107"/>
      <c r="AT87" s="107"/>
      <c r="AU87" s="107"/>
      <c r="AV87" s="107"/>
      <c r="AW87" s="107"/>
      <c r="AX87" s="107"/>
      <c r="AY87" s="107"/>
      <c r="AZ87" s="107"/>
      <c r="BA87" s="107"/>
      <c r="BB87" s="108"/>
      <c r="BC87" s="40"/>
      <c r="BD87" s="35"/>
      <c r="BE87" s="115" t="str">
        <f>IF([15]回答表!F17="水道事業",IF([15]回答表!X43="○",[15]回答表!B190,IF([15]回答表!AA43="○",[15]回答表!B238,"")),"")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IF([15]回答表!F17="水道事業",IF([15]回答表!X43="○",[15]回答表!J162,IF([15]回答表!AA43="○",[15]回答表!J209,"")),"")</f>
        <v/>
      </c>
      <c r="V89" s="119"/>
      <c r="W89" s="119"/>
      <c r="X89" s="119"/>
      <c r="Y89" s="119"/>
      <c r="Z89" s="119"/>
      <c r="AA89" s="119"/>
      <c r="AB89" s="120"/>
      <c r="AC89" s="118" t="str">
        <f>IF([15]回答表!F17="水道事業",IF([15]回答表!X43="○",[15]回答表!J169,IF([15]回答表!AA43="○",[15]回答表!J216,"")),"")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IF([15]回答表!F17="水道事業",IF([15]回答表!X43="○",[15]回答表!E190,IF([15]回答表!AA43="○",[15]回答表!E238,"")),"")</f>
        <v/>
      </c>
      <c r="BF90" s="83"/>
      <c r="BG90" s="83"/>
      <c r="BH90" s="83"/>
      <c r="BI90" s="82" t="str">
        <f>IF([15]回答表!F17="水道事業",IF([15]回答表!X43="○",[15]回答表!E191,IF([15]回答表!AA43="○",[15]回答表!E239,"")),"")</f>
        <v/>
      </c>
      <c r="BJ90" s="83"/>
      <c r="BK90" s="83"/>
      <c r="BL90" s="83"/>
      <c r="BM90" s="82" t="str">
        <f>IF([15]回答表!F17="水道事業",IF([15]回答表!X43="○",[15]回答表!E192,IF([15]回答表!AA43="○",[15]回答表!E240,"")),"")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IF([15]回答表!F17="水道事業",IF([15]回答表!AA43="○","○",""),"")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IF([15]回答表!F17="水道事業",IF([15]回答表!X43="○",[15]回答表!J172,IF([15]回答表!AA43="○",[15]回答表!J219,"")),"")</f>
        <v/>
      </c>
      <c r="V94" s="119"/>
      <c r="W94" s="119"/>
      <c r="X94" s="119"/>
      <c r="Y94" s="119"/>
      <c r="Z94" s="119"/>
      <c r="AA94" s="119"/>
      <c r="AB94" s="120"/>
      <c r="AC94" s="118" t="str">
        <f>IF([15]回答表!F17="水道事業",IF([15]回答表!X43="○",[15]回答表!J176,IF([15]回答表!AA43="○",[15]回答表!J223,"")),"")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IF([15]回答表!F17="水道事業",IF([15]回答表!AD43="○","○",""),"")</f>
        <v/>
      </c>
      <c r="O99" s="98"/>
      <c r="P99" s="98"/>
      <c r="Q99" s="99"/>
      <c r="R99" s="39"/>
      <c r="S99" s="39"/>
      <c r="T99" s="39"/>
      <c r="U99" s="106" t="str">
        <f>IF([15]回答表!F17="水道事業",IF([15]回答表!AD43="○",[15]回答表!B249,""),"")</f>
        <v/>
      </c>
      <c r="V99" s="107"/>
      <c r="W99" s="107"/>
      <c r="X99" s="107"/>
      <c r="Y99" s="107"/>
      <c r="Z99" s="107"/>
      <c r="AA99" s="107"/>
      <c r="AB99" s="107"/>
      <c r="AC99" s="107"/>
      <c r="AD99" s="107"/>
      <c r="AE99" s="107"/>
      <c r="AF99" s="107"/>
      <c r="AG99" s="107"/>
      <c r="AH99" s="107"/>
      <c r="AI99" s="107"/>
      <c r="AJ99" s="108"/>
      <c r="AK99" s="56"/>
      <c r="AL99" s="56"/>
      <c r="AM99" s="106" t="str">
        <f>IF([15]回答表!F17="水道事業",IF([15]回答表!AD43="○",[15]回答表!B255,""),"")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IF([15]回答表!F17="簡易水道事業",IF([15]回答表!X43="○","○",""),"")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IF([15]回答表!F17="簡易水道事業",IF([15]回答表!X43="○",[15]回答表!B154,IF([15]回答表!AA43="○",[15]回答表!B201,"")),"")</f>
        <v/>
      </c>
      <c r="AN111" s="107"/>
      <c r="AO111" s="107"/>
      <c r="AP111" s="107"/>
      <c r="AQ111" s="107"/>
      <c r="AR111" s="107"/>
      <c r="AS111" s="107"/>
      <c r="AT111" s="107"/>
      <c r="AU111" s="107"/>
      <c r="AV111" s="107"/>
      <c r="AW111" s="107"/>
      <c r="AX111" s="107"/>
      <c r="AY111" s="107"/>
      <c r="AZ111" s="107"/>
      <c r="BA111" s="107"/>
      <c r="BB111" s="108"/>
      <c r="BC111" s="40"/>
      <c r="BD111" s="35"/>
      <c r="BE111" s="115" t="str">
        <f>IF([15]回答表!F17="簡易水道事業",IF([15]回答表!X43="○",[15]回答表!B190,IF([15]回答表!AA43="○",[15]回答表!B238,"")),"")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IF([15]回答表!F17="簡易水道事業",IF([15]回答表!X43="○",[15]回答表!Y181,IF([15]回答表!AA43="○",[15]回答表!Y229,"")),"")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IF([15]回答表!F17="簡易水道事業",IF([15]回答表!X43="○",[15]回答表!E190,IF([15]回答表!AA43="○",[15]回答表!E238,"")),"")</f>
        <v/>
      </c>
      <c r="BF114" s="83"/>
      <c r="BG114" s="83"/>
      <c r="BH114" s="83"/>
      <c r="BI114" s="82" t="str">
        <f>IF([15]回答表!F17="簡易水道事業",IF([15]回答表!X43="○",[15]回答表!E191,IF([15]回答表!AA43="○",[15]回答表!E239,"")),"")</f>
        <v/>
      </c>
      <c r="BJ114" s="83"/>
      <c r="BK114" s="83"/>
      <c r="BL114" s="83"/>
      <c r="BM114" s="82" t="str">
        <f>IF([15]回答表!F17="簡易水道事業",IF([15]回答表!X43="○",[15]回答表!E192,IF([15]回答表!AA43="○",[15]回答表!E240,"")),"")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IF([15]回答表!F17="簡易水道事業",IF([15]回答表!AA43="○","○",""),"")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IF([15]回答表!F17="簡易水道事業",IF([15]回答表!X43="○",[15]回答表!Y182,IF([15]回答表!AA43="○",[15]回答表!Y230,"")),"")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IF([15]回答表!F17="簡易水道事業",IF([15]回答表!AD43="○","○",""),"")</f>
        <v/>
      </c>
      <c r="O123" s="98"/>
      <c r="P123" s="98"/>
      <c r="Q123" s="99"/>
      <c r="R123" s="39"/>
      <c r="S123" s="39"/>
      <c r="T123" s="39"/>
      <c r="U123" s="106" t="str">
        <f>IF([15]回答表!F17="簡易水道事業",IF([15]回答表!AD43="○",[15]回答表!B249,""),"")</f>
        <v/>
      </c>
      <c r="V123" s="107"/>
      <c r="W123" s="107"/>
      <c r="X123" s="107"/>
      <c r="Y123" s="107"/>
      <c r="Z123" s="107"/>
      <c r="AA123" s="107"/>
      <c r="AB123" s="107"/>
      <c r="AC123" s="107"/>
      <c r="AD123" s="107"/>
      <c r="AE123" s="107"/>
      <c r="AF123" s="107"/>
      <c r="AG123" s="107"/>
      <c r="AH123" s="107"/>
      <c r="AI123" s="107"/>
      <c r="AJ123" s="108"/>
      <c r="AK123" s="56"/>
      <c r="AL123" s="56"/>
      <c r="AM123" s="106" t="str">
        <f>IF([15]回答表!F17="簡易水道事業",IF([15]回答表!AD43="○",[15]回答表!B255,""),"")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IF([15]回答表!F17="下水道事業",IF([15]回答表!X43="○","○",""),"")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287" t="str">
        <f>IF([15]回答表!F17="下水道事業",IF([15]回答表!X43="○",[15]回答表!B154,IF([15]回答表!AA43="○",[15]回答表!B201,"")),"")</f>
        <v>　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
      <c r="AN135" s="288"/>
      <c r="AO135" s="288"/>
      <c r="AP135" s="288"/>
      <c r="AQ135" s="288"/>
      <c r="AR135" s="288"/>
      <c r="AS135" s="288"/>
      <c r="AT135" s="288"/>
      <c r="AU135" s="288"/>
      <c r="AV135" s="288"/>
      <c r="AW135" s="288"/>
      <c r="AX135" s="288"/>
      <c r="AY135" s="288"/>
      <c r="AZ135" s="288"/>
      <c r="BA135" s="288"/>
      <c r="BB135" s="289"/>
      <c r="BC135" s="40"/>
      <c r="BD135" s="35"/>
      <c r="BE135" s="115" t="str">
        <f>IF([15]回答表!F17="下水道事業",IF([15]回答表!X43="○",[15]回答表!B190,IF([15]回答表!AA43="○",[15]回答表!B238,"")),"")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290"/>
      <c r="AN136" s="291"/>
      <c r="AO136" s="291"/>
      <c r="AP136" s="291"/>
      <c r="AQ136" s="291"/>
      <c r="AR136" s="291"/>
      <c r="AS136" s="291"/>
      <c r="AT136" s="291"/>
      <c r="AU136" s="291"/>
      <c r="AV136" s="291"/>
      <c r="AW136" s="291"/>
      <c r="AX136" s="291"/>
      <c r="AY136" s="291"/>
      <c r="AZ136" s="291"/>
      <c r="BA136" s="291"/>
      <c r="BB136" s="292"/>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f>IF([15]回答表!F17="下水道事業",IF([15]回答表!X43="○",[15]回答表!Y184,IF([15]回答表!AA43="○",[15]回答表!Y232,"")),"")</f>
        <v>0</v>
      </c>
      <c r="V137" s="119"/>
      <c r="W137" s="119"/>
      <c r="X137" s="119"/>
      <c r="Y137" s="119"/>
      <c r="Z137" s="119"/>
      <c r="AA137" s="119"/>
      <c r="AB137" s="120"/>
      <c r="AC137" s="118" t="str">
        <f>IF([15]回答表!F17="下水道事業",IF([15]回答表!X43="○",[15]回答表!Y185,IF([15]回答表!AA43="○",[15]回答表!Y233,"")),"")</f>
        <v>○</v>
      </c>
      <c r="AD137" s="119"/>
      <c r="AE137" s="119"/>
      <c r="AF137" s="119"/>
      <c r="AG137" s="119"/>
      <c r="AH137" s="119"/>
      <c r="AI137" s="119"/>
      <c r="AJ137" s="120"/>
      <c r="AK137" s="50"/>
      <c r="AL137" s="50"/>
      <c r="AM137" s="290"/>
      <c r="AN137" s="291"/>
      <c r="AO137" s="291"/>
      <c r="AP137" s="291"/>
      <c r="AQ137" s="291"/>
      <c r="AR137" s="291"/>
      <c r="AS137" s="291"/>
      <c r="AT137" s="291"/>
      <c r="AU137" s="291"/>
      <c r="AV137" s="291"/>
      <c r="AW137" s="291"/>
      <c r="AX137" s="291"/>
      <c r="AY137" s="291"/>
      <c r="AZ137" s="291"/>
      <c r="BA137" s="291"/>
      <c r="BB137" s="292"/>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290"/>
      <c r="AN138" s="291"/>
      <c r="AO138" s="291"/>
      <c r="AP138" s="291"/>
      <c r="AQ138" s="291"/>
      <c r="AR138" s="291"/>
      <c r="AS138" s="291"/>
      <c r="AT138" s="291"/>
      <c r="AU138" s="291"/>
      <c r="AV138" s="291"/>
      <c r="AW138" s="291"/>
      <c r="AX138" s="291"/>
      <c r="AY138" s="291"/>
      <c r="AZ138" s="291"/>
      <c r="BA138" s="291"/>
      <c r="BB138" s="292"/>
      <c r="BC138" s="40"/>
      <c r="BD138" s="35"/>
      <c r="BE138" s="82">
        <f>IF([15]回答表!F17="下水道事業",IF([15]回答表!X43="○",[15]回答表!E190,IF([15]回答表!AA43="○",[15]回答表!E238,"")),"")</f>
        <v>3</v>
      </c>
      <c r="BF138" s="83"/>
      <c r="BG138" s="83"/>
      <c r="BH138" s="83"/>
      <c r="BI138" s="82">
        <f>IF([15]回答表!F17="下水道事業",IF([15]回答表!X43="○",[15]回答表!E191,IF([15]回答表!AA43="○",[15]回答表!E239,"")),"")</f>
        <v>4</v>
      </c>
      <c r="BJ138" s="83"/>
      <c r="BK138" s="83"/>
      <c r="BL138" s="83"/>
      <c r="BM138" s="82">
        <f>IF([15]回答表!F17="下水道事業",IF([15]回答表!X43="○",[15]回答表!E192,IF([15]回答表!AA43="○",[15]回答表!E240,"")),"")</f>
        <v>1</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290"/>
      <c r="AN139" s="291"/>
      <c r="AO139" s="291"/>
      <c r="AP139" s="291"/>
      <c r="AQ139" s="291"/>
      <c r="AR139" s="291"/>
      <c r="AS139" s="291"/>
      <c r="AT139" s="291"/>
      <c r="AU139" s="291"/>
      <c r="AV139" s="291"/>
      <c r="AW139" s="291"/>
      <c r="AX139" s="291"/>
      <c r="AY139" s="291"/>
      <c r="AZ139" s="291"/>
      <c r="BA139" s="291"/>
      <c r="BB139" s="292"/>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290"/>
      <c r="AN140" s="291"/>
      <c r="AO140" s="291"/>
      <c r="AP140" s="291"/>
      <c r="AQ140" s="291"/>
      <c r="AR140" s="291"/>
      <c r="AS140" s="291"/>
      <c r="AT140" s="291"/>
      <c r="AU140" s="291"/>
      <c r="AV140" s="291"/>
      <c r="AW140" s="291"/>
      <c r="AX140" s="291"/>
      <c r="AY140" s="291"/>
      <c r="AZ140" s="291"/>
      <c r="BA140" s="291"/>
      <c r="BB140" s="292"/>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IF([15]回答表!F17="下水道事業",IF([15]回答表!AA43="○","○",""),"")</f>
        <v>○</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290"/>
      <c r="AN141" s="291"/>
      <c r="AO141" s="291"/>
      <c r="AP141" s="291"/>
      <c r="AQ141" s="291"/>
      <c r="AR141" s="291"/>
      <c r="AS141" s="291"/>
      <c r="AT141" s="291"/>
      <c r="AU141" s="291"/>
      <c r="AV141" s="291"/>
      <c r="AW141" s="291"/>
      <c r="AX141" s="291"/>
      <c r="AY141" s="291"/>
      <c r="AZ141" s="291"/>
      <c r="BA141" s="291"/>
      <c r="BB141" s="292"/>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f>IF([15]回答表!F17="下水道事業",IF([15]回答表!X43="○",[15]回答表!Y186,IF([15]回答表!AA43="○",[15]回答表!Y234,"")),"")</f>
        <v>0</v>
      </c>
      <c r="V142" s="119"/>
      <c r="W142" s="119"/>
      <c r="X142" s="119"/>
      <c r="Y142" s="119"/>
      <c r="Z142" s="119"/>
      <c r="AA142" s="119"/>
      <c r="AB142" s="120"/>
      <c r="AC142" s="118">
        <f>IF([15]回答表!F17="下水道事業",IF([15]回答表!X43="○",[15]回答表!Y187,IF([15]回答表!AA43="○",[15]回答表!Y235,"")),"")</f>
        <v>0</v>
      </c>
      <c r="AD142" s="119"/>
      <c r="AE142" s="119"/>
      <c r="AF142" s="119"/>
      <c r="AG142" s="119"/>
      <c r="AH142" s="119"/>
      <c r="AI142" s="119"/>
      <c r="AJ142" s="120"/>
      <c r="AK142" s="50"/>
      <c r="AL142" s="50"/>
      <c r="AM142" s="290"/>
      <c r="AN142" s="291"/>
      <c r="AO142" s="291"/>
      <c r="AP142" s="291"/>
      <c r="AQ142" s="291"/>
      <c r="AR142" s="291"/>
      <c r="AS142" s="291"/>
      <c r="AT142" s="291"/>
      <c r="AU142" s="291"/>
      <c r="AV142" s="291"/>
      <c r="AW142" s="291"/>
      <c r="AX142" s="291"/>
      <c r="AY142" s="291"/>
      <c r="AZ142" s="291"/>
      <c r="BA142" s="291"/>
      <c r="BB142" s="292"/>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290"/>
      <c r="AN143" s="291"/>
      <c r="AO143" s="291"/>
      <c r="AP143" s="291"/>
      <c r="AQ143" s="291"/>
      <c r="AR143" s="291"/>
      <c r="AS143" s="291"/>
      <c r="AT143" s="291"/>
      <c r="AU143" s="291"/>
      <c r="AV143" s="291"/>
      <c r="AW143" s="291"/>
      <c r="AX143" s="291"/>
      <c r="AY143" s="291"/>
      <c r="AZ143" s="291"/>
      <c r="BA143" s="291"/>
      <c r="BB143" s="292"/>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293"/>
      <c r="AN144" s="294"/>
      <c r="AO144" s="294"/>
      <c r="AP144" s="294"/>
      <c r="AQ144" s="294"/>
      <c r="AR144" s="294"/>
      <c r="AS144" s="294"/>
      <c r="AT144" s="294"/>
      <c r="AU144" s="294"/>
      <c r="AV144" s="294"/>
      <c r="AW144" s="294"/>
      <c r="AX144" s="294"/>
      <c r="AY144" s="294"/>
      <c r="AZ144" s="294"/>
      <c r="BA144" s="294"/>
      <c r="BB144" s="295"/>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IF([15]回答表!F17="下水道事業",IF([15]回答表!AD43="○","○",""),"")</f>
        <v/>
      </c>
      <c r="O147" s="98"/>
      <c r="P147" s="98"/>
      <c r="Q147" s="99"/>
      <c r="R147" s="39"/>
      <c r="S147" s="39"/>
      <c r="T147" s="39"/>
      <c r="U147" s="106" t="str">
        <f>IF([15]回答表!F17="下水道事業",IF([15]回答表!AD43="○",[15]回答表!B249,""),"")</f>
        <v/>
      </c>
      <c r="V147" s="107"/>
      <c r="W147" s="107"/>
      <c r="X147" s="107"/>
      <c r="Y147" s="107"/>
      <c r="Z147" s="107"/>
      <c r="AA147" s="107"/>
      <c r="AB147" s="107"/>
      <c r="AC147" s="107"/>
      <c r="AD147" s="107"/>
      <c r="AE147" s="107"/>
      <c r="AF147" s="107"/>
      <c r="AG147" s="107"/>
      <c r="AH147" s="107"/>
      <c r="AI147" s="107"/>
      <c r="AJ147" s="108"/>
      <c r="AK147" s="56"/>
      <c r="AL147" s="56"/>
      <c r="AM147" s="106" t="str">
        <f>IF([15]回答表!F17="下水道事業",IF([15]回答表!AD43="○",[15]回答表!B255,""),"")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IF([15]回答表!BD17="○",IF([15]回答表!X43="○","○",""),"")</f>
        <v/>
      </c>
      <c r="O159" s="98"/>
      <c r="P159" s="98"/>
      <c r="Q159" s="99"/>
      <c r="R159" s="39"/>
      <c r="S159" s="39"/>
      <c r="T159" s="39"/>
      <c r="U159" s="106" t="str">
        <f>IF([15]回答表!BD17="○",IF([15]回答表!X43="○",[15]回答表!B154,IF([15]回答表!AA43="○",[15]回答表!B201,"")),"")</f>
        <v/>
      </c>
      <c r="V159" s="107"/>
      <c r="W159" s="107"/>
      <c r="X159" s="107"/>
      <c r="Y159" s="107"/>
      <c r="Z159" s="107"/>
      <c r="AA159" s="107"/>
      <c r="AB159" s="107"/>
      <c r="AC159" s="107"/>
      <c r="AD159" s="107"/>
      <c r="AE159" s="107"/>
      <c r="AF159" s="107"/>
      <c r="AG159" s="107"/>
      <c r="AH159" s="107"/>
      <c r="AI159" s="107"/>
      <c r="AJ159" s="108"/>
      <c r="AK159" s="50"/>
      <c r="AL159" s="50"/>
      <c r="AM159" s="115" t="str">
        <f>IF([15]回答表!BD17="○",IF([15]回答表!X43="○",[15]回答表!B190,IF([15]回答表!AA43="○",[15]回答表!B238,"")),"")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IF([15]回答表!BD17="○",IF([15]回答表!X43="○",[15]回答表!E190,IF([15]回答表!AA43="○",[15]回答表!E238,"")),"")</f>
        <v/>
      </c>
      <c r="AN162" s="83"/>
      <c r="AO162" s="83"/>
      <c r="AP162" s="83"/>
      <c r="AQ162" s="82" t="str">
        <f>IF([15]回答表!BD17="○",IF([15]回答表!X43="○",[15]回答表!E191,IF([15]回答表!AA43="○",[15]回答表!E239,"")),"")</f>
        <v/>
      </c>
      <c r="AR162" s="83"/>
      <c r="AS162" s="83"/>
      <c r="AT162" s="83"/>
      <c r="AU162" s="82" t="str">
        <f>IF([15]回答表!BD17="○",IF([15]回答表!X43="○",[15]回答表!E192,IF([15]回答表!AA43="○",[15]回答表!E240,"")),"")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IF([15]回答表!BD17="○",IF([15]回答表!AA43="○","○",""),"")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IF([15]回答表!BD17="○",IF([15]回答表!AD43="○","○",""),"")</f>
        <v/>
      </c>
      <c r="O171" s="98"/>
      <c r="P171" s="98"/>
      <c r="Q171" s="99"/>
      <c r="R171" s="39"/>
      <c r="S171" s="39"/>
      <c r="T171" s="39"/>
      <c r="U171" s="106" t="str">
        <f>IF([15]回答表!BD17="○",IF([15]回答表!AD43="○",[15]回答表!B249,""),"")</f>
        <v/>
      </c>
      <c r="V171" s="107"/>
      <c r="W171" s="107"/>
      <c r="X171" s="107"/>
      <c r="Y171" s="107"/>
      <c r="Z171" s="107"/>
      <c r="AA171" s="107"/>
      <c r="AB171" s="107"/>
      <c r="AC171" s="107"/>
      <c r="AD171" s="107"/>
      <c r="AE171" s="107"/>
      <c r="AF171" s="107"/>
      <c r="AG171" s="107"/>
      <c r="AH171" s="107"/>
      <c r="AI171" s="107"/>
      <c r="AJ171" s="108"/>
      <c r="AK171" s="56"/>
      <c r="AL171" s="56"/>
      <c r="AM171" s="106" t="str">
        <f>IF([15]回答表!BD17="○",IF([15]回答表!AD43="○",[15]回答表!B255,""),"")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IF([15]回答表!X44="○","○","")</f>
        <v/>
      </c>
      <c r="O183" s="98"/>
      <c r="P183" s="98"/>
      <c r="Q183" s="99"/>
      <c r="R183" s="39"/>
      <c r="S183" s="39"/>
      <c r="T183" s="39"/>
      <c r="U183" s="106" t="str">
        <f>IF([15]回答表!X44="○",[15]回答表!B266,IF([15]回答表!AA44="○",[15]回答表!B283,""))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IF([15]回答表!X44="○",[15]回答表!U272,IF([15]回答表!AA44="○",[15]回答表!U289,""))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IF([15]回答表!X44="○",[15]回答表!G272,IF([15]回答表!AA44="○",[15]回答表!G289,""))</f>
        <v/>
      </c>
      <c r="AN186" s="119"/>
      <c r="AO186" s="119"/>
      <c r="AP186" s="119"/>
      <c r="AQ186" s="119"/>
      <c r="AR186" s="119"/>
      <c r="AS186" s="119"/>
      <c r="AT186" s="120"/>
      <c r="AU186" s="118" t="str">
        <f>IF([15]回答表!X44="○",[15]回答表!G273,IF([15]回答表!AA44="○",[15]回答表!G290,""))</f>
        <v/>
      </c>
      <c r="AV186" s="119"/>
      <c r="AW186" s="119"/>
      <c r="AX186" s="119"/>
      <c r="AY186" s="119"/>
      <c r="AZ186" s="119"/>
      <c r="BA186" s="119"/>
      <c r="BB186" s="120"/>
      <c r="BC186" s="40"/>
      <c r="BD186" s="35"/>
      <c r="BE186" s="82" t="str">
        <f>IF([15]回答表!X44="○",[15]回答表!X272,IF([15]回答表!AA44="○",[15]回答表!X289,""))</f>
        <v/>
      </c>
      <c r="BF186" s="83"/>
      <c r="BG186" s="83"/>
      <c r="BH186" s="83"/>
      <c r="BI186" s="82" t="str">
        <f>IF([15]回答表!X44="○",[15]回答表!X273,IF([15]回答表!AA44="○",[15]回答表!X290,""))</f>
        <v/>
      </c>
      <c r="BJ186" s="83"/>
      <c r="BK186" s="83"/>
      <c r="BL186" s="86"/>
      <c r="BM186" s="82" t="str">
        <f>IF([15]回答表!X44="○",[15]回答表!X274,IF([15]回答表!AA44="○",[15]回答表!X291,""))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IF([15]回答表!AA44="○","○","")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IF([15]回答表!AD44="○","○","")</f>
        <v/>
      </c>
      <c r="O195" s="98"/>
      <c r="P195" s="98"/>
      <c r="Q195" s="99"/>
      <c r="R195" s="39"/>
      <c r="S195" s="39"/>
      <c r="T195" s="39"/>
      <c r="U195" s="106" t="str">
        <f>IF([15]回答表!AD44="○",[15]回答表!B296,"")</f>
        <v/>
      </c>
      <c r="V195" s="107"/>
      <c r="W195" s="107"/>
      <c r="X195" s="107"/>
      <c r="Y195" s="107"/>
      <c r="Z195" s="107"/>
      <c r="AA195" s="107"/>
      <c r="AB195" s="107"/>
      <c r="AC195" s="107"/>
      <c r="AD195" s="107"/>
      <c r="AE195" s="107"/>
      <c r="AF195" s="107"/>
      <c r="AG195" s="107"/>
      <c r="AH195" s="107"/>
      <c r="AI195" s="107"/>
      <c r="AJ195" s="108"/>
      <c r="AK195" s="61"/>
      <c r="AL195" s="61"/>
      <c r="AM195" s="106" t="str">
        <f>IF([15]回答表!AD44="○",[15]回答表!B302,"")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IF([15]回答表!X45="○","○","")</f>
        <v/>
      </c>
      <c r="O207" s="98"/>
      <c r="P207" s="98"/>
      <c r="Q207" s="99"/>
      <c r="R207" s="39"/>
      <c r="S207" s="39"/>
      <c r="T207" s="39"/>
      <c r="U207" s="106" t="str">
        <f>IF([15]回答表!X45="○",[15]回答表!B314,IF([15]回答表!AA45="○",[15]回答表!B337,""))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IF([15]回答表!X45="○",[15]回答表!B320,"")</f>
        <v/>
      </c>
      <c r="AO207" s="164"/>
      <c r="AP207" s="164"/>
      <c r="AQ207" s="164"/>
      <c r="AR207" s="164"/>
      <c r="AS207" s="164"/>
      <c r="AT207" s="164"/>
      <c r="AU207" s="164"/>
      <c r="AV207" s="164"/>
      <c r="AW207" s="164"/>
      <c r="AX207" s="164"/>
      <c r="AY207" s="164"/>
      <c r="AZ207" s="164"/>
      <c r="BA207" s="164"/>
      <c r="BB207" s="165"/>
      <c r="BC207" s="40"/>
      <c r="BD207" s="35"/>
      <c r="BE207" s="115" t="str">
        <f>IF([15]回答表!X45="○",[15]回答表!B326,IF([15]回答表!AA45="○",[15]回答表!B343,""))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IF([15]回答表!X45="○",[15]回答表!E326,IF([15]回答表!AA45="○",[15]回答表!E343,""))</f>
        <v/>
      </c>
      <c r="BF210" s="83"/>
      <c r="BG210" s="83"/>
      <c r="BH210" s="83"/>
      <c r="BI210" s="82" t="str">
        <f>IF([15]回答表!X45="○",[15]回答表!E327,IF([15]回答表!AA45="○",[15]回答表!E344,""))</f>
        <v/>
      </c>
      <c r="BJ210" s="83"/>
      <c r="BK210" s="83"/>
      <c r="BL210" s="86"/>
      <c r="BM210" s="82" t="str">
        <f>IF([15]回答表!X45="○",[15]回答表!E328,IF([15]回答表!AA45="○",[15]回答表!E345,""))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IF([15]回答表!AA45="○","○","")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IF([15]回答表!AD45="○","○","")</f>
        <v/>
      </c>
      <c r="O219" s="98"/>
      <c r="P219" s="98"/>
      <c r="Q219" s="99"/>
      <c r="R219" s="39"/>
      <c r="S219" s="39"/>
      <c r="T219" s="39"/>
      <c r="U219" s="106" t="str">
        <f>IF([15]回答表!AD45="○",[15]回答表!B350,"")</f>
        <v/>
      </c>
      <c r="V219" s="107"/>
      <c r="W219" s="107"/>
      <c r="X219" s="107"/>
      <c r="Y219" s="107"/>
      <c r="Z219" s="107"/>
      <c r="AA219" s="107"/>
      <c r="AB219" s="107"/>
      <c r="AC219" s="107"/>
      <c r="AD219" s="107"/>
      <c r="AE219" s="107"/>
      <c r="AF219" s="107"/>
      <c r="AG219" s="107"/>
      <c r="AH219" s="107"/>
      <c r="AI219" s="107"/>
      <c r="AJ219" s="108"/>
      <c r="AK219" s="61"/>
      <c r="AL219" s="61"/>
      <c r="AM219" s="106" t="str">
        <f>IF([15]回答表!AD45="○",[15]回答表!B356,"")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IF([15]回答表!X46="○","○","")</f>
        <v/>
      </c>
      <c r="O231" s="98"/>
      <c r="P231" s="98"/>
      <c r="Q231" s="99"/>
      <c r="R231" s="39"/>
      <c r="S231" s="39"/>
      <c r="T231" s="39"/>
      <c r="U231" s="106" t="str">
        <f>IF([15]回答表!X46="○",[15]回答表!B368,IF([15]回答表!AA46="○",[15]回答表!B382,""))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IF([15]回答表!X46="○",[15]回答表!BC375,IF([15]回答表!AA46="○",[15]回答表!BC389,""))</f>
        <v/>
      </c>
      <c r="AR231" s="150"/>
      <c r="AS231" s="150"/>
      <c r="AT231" s="150"/>
      <c r="AU231" s="155" t="s">
        <v>63</v>
      </c>
      <c r="AV231" s="156"/>
      <c r="AW231" s="156"/>
      <c r="AX231" s="157"/>
      <c r="AY231" s="150" t="str">
        <f>IF([15]回答表!X46="○",[15]回答表!BC380,IF([15]回答表!AA46="○",[15]回答表!BC394,""))</f>
        <v/>
      </c>
      <c r="AZ231" s="150"/>
      <c r="BA231" s="150"/>
      <c r="BB231" s="150"/>
      <c r="BC231" s="40"/>
      <c r="BD231" s="35"/>
      <c r="BE231" s="115" t="str">
        <f>IF([15]回答表!X46="○",[15]回答表!S374,IF([15]回答表!AA46="○",[15]回答表!S388,""))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IF([15]回答表!X46="○",[15]回答表!BC376,IF([15]回答表!AA46="○",[15]回答表!BC390,""))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IF([15]回答表!X46="○",[15]回答表!V374,IF([15]回答表!AA46="○",[15]回答表!V388,""))</f>
        <v/>
      </c>
      <c r="BF234" s="83"/>
      <c r="BG234" s="83"/>
      <c r="BH234" s="83"/>
      <c r="BI234" s="82" t="str">
        <f>IF([15]回答表!X46="○",[15]回答表!V375,IF([15]回答表!AA46="○",[15]回答表!V389,""))</f>
        <v/>
      </c>
      <c r="BJ234" s="83"/>
      <c r="BK234" s="83"/>
      <c r="BL234" s="86"/>
      <c r="BM234" s="82" t="str">
        <f>IF([15]回答表!X46="○",[15]回答表!V376,IF([15]回答表!AA46="○",[15]回答表!V390,""))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IF([15]回答表!X46="○",[15]回答表!BC377,IF([15]回答表!AA46="○",[15]回答表!BC391,""))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IF([15]回答表!X46="○",[15]回答表!BC381,IF([15]回答表!AA46="○",[15]回答表!BC395,""))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IF([15]回答表!AA46="○","○","")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IF([15]回答表!X46="○",[15]回答表!BC378,IF([15]回答表!AA46="○",[15]回答表!BC392,""))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IF([15]回答表!X46="○",[15]回答表!BC379,IF([15]回答表!AA46="○",[15]回答表!BC393,""))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IF([15]回答表!AD46="○","○","")</f>
        <v/>
      </c>
      <c r="O243" s="98"/>
      <c r="P243" s="98"/>
      <c r="Q243" s="99"/>
      <c r="R243" s="39"/>
      <c r="S243" s="39"/>
      <c r="T243" s="39"/>
      <c r="U243" s="106" t="str">
        <f>IF([15]回答表!AD46="○",[15]回答表!B396,"")</f>
        <v/>
      </c>
      <c r="V243" s="107"/>
      <c r="W243" s="107"/>
      <c r="X243" s="107"/>
      <c r="Y243" s="107"/>
      <c r="Z243" s="107"/>
      <c r="AA243" s="107"/>
      <c r="AB243" s="107"/>
      <c r="AC243" s="107"/>
      <c r="AD243" s="107"/>
      <c r="AE243" s="107"/>
      <c r="AF243" s="107"/>
      <c r="AG243" s="107"/>
      <c r="AH243" s="107"/>
      <c r="AI243" s="107"/>
      <c r="AJ243" s="108"/>
      <c r="AK243" s="56"/>
      <c r="AL243" s="56"/>
      <c r="AM243" s="106" t="str">
        <f>IF([15]回答表!AD46="○",[15]回答表!B402,"")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IF([15]回答表!X47="○","○","")</f>
        <v/>
      </c>
      <c r="O254" s="98"/>
      <c r="P254" s="98"/>
      <c r="Q254" s="99"/>
      <c r="R254" s="39"/>
      <c r="S254" s="39"/>
      <c r="T254" s="39"/>
      <c r="U254" s="106" t="str">
        <f>IF([15]回答表!X47="○",[15]回答表!B414,IF([15]回答表!AA47="○",[15]回答表!B431,""))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IF([15]回答表!X47="○",[15]回答表!B424,IF([15]回答表!AA47="○",[15]回答表!B441,""))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IF([15]回答表!X47="○",[15]回答表!G420,IF([15]回答表!AA47="○",[15]回答表!G437,""))</f>
        <v/>
      </c>
      <c r="AN256" s="119"/>
      <c r="AO256" s="119"/>
      <c r="AP256" s="119"/>
      <c r="AQ256" s="119"/>
      <c r="AR256" s="119"/>
      <c r="AS256" s="119"/>
      <c r="AT256" s="120"/>
      <c r="AU256" s="118" t="str">
        <f>IF([15]回答表!X47="○",[15]回答表!G421,IF([15]回答表!AA47="○",[15]回答表!G438,""))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IF([15]回答表!X47="○",[15]回答表!E424,IF([15]回答表!AA47="○",[15]回答表!E441,""))</f>
        <v/>
      </c>
      <c r="BF257" s="83"/>
      <c r="BG257" s="83"/>
      <c r="BH257" s="83"/>
      <c r="BI257" s="82" t="str">
        <f>IF([15]回答表!X47="○",[15]回答表!E425,IF([15]回答表!AA47="○",[15]回答表!E442,""))</f>
        <v/>
      </c>
      <c r="BJ257" s="83"/>
      <c r="BK257" s="83"/>
      <c r="BL257" s="86"/>
      <c r="BM257" s="82" t="str">
        <f>IF([15]回答表!X47="○",[15]回答表!E426,IF([15]回答表!AA47="○",[15]回答表!E443,""))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IF([15]回答表!AA47="○","○","")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IF([15]回答表!AD47="○","○","")</f>
        <v/>
      </c>
      <c r="O266" s="98"/>
      <c r="P266" s="98"/>
      <c r="Q266" s="99"/>
      <c r="R266" s="39"/>
      <c r="S266" s="39"/>
      <c r="T266" s="39"/>
      <c r="U266" s="106" t="str">
        <f>IF([15]回答表!AD47="○",[15]回答表!B448,"")</f>
        <v/>
      </c>
      <c r="V266" s="107"/>
      <c r="W266" s="107"/>
      <c r="X266" s="107"/>
      <c r="Y266" s="107"/>
      <c r="Z266" s="107"/>
      <c r="AA266" s="107"/>
      <c r="AB266" s="107"/>
      <c r="AC266" s="107"/>
      <c r="AD266" s="107"/>
      <c r="AE266" s="107"/>
      <c r="AF266" s="107"/>
      <c r="AG266" s="107"/>
      <c r="AH266" s="107"/>
      <c r="AI266" s="107"/>
      <c r="AJ266" s="108"/>
      <c r="AK266" s="50"/>
      <c r="AL266" s="50"/>
      <c r="AM266" s="106" t="str">
        <f>IF([15]回答表!AD47="○",[15]回答表!B454,"")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IF([15]回答表!R48="○",[15]回答表!B467,"")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A1DB-8BA5-4357-BB37-F293B06A66E5}">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IF(COUNTIF([1]回答表!K15,"*")&gt;0,[1]回答表!K15,"")</f>
        <v>大仙市</v>
      </c>
      <c r="D11" s="264"/>
      <c r="E11" s="264"/>
      <c r="F11" s="264"/>
      <c r="G11" s="264"/>
      <c r="H11" s="264"/>
      <c r="I11" s="264"/>
      <c r="J11" s="264"/>
      <c r="K11" s="264"/>
      <c r="L11" s="264"/>
      <c r="M11" s="264"/>
      <c r="N11" s="264"/>
      <c r="O11" s="264"/>
      <c r="P11" s="264"/>
      <c r="Q11" s="264"/>
      <c r="R11" s="264"/>
      <c r="S11" s="264"/>
      <c r="T11" s="264"/>
      <c r="U11" s="271" t="str">
        <f>IF(COUNTIF([1]回答表!F17,"*")&gt;0,[1]回答表!F17,"")</f>
        <v>下水道事業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IF(COUNTIF([1]回答表!W17,"*")&gt;0,[1]回答表!W17,"")</f>
        <v>特定環境保全公共下水道</v>
      </c>
      <c r="AP11" s="266"/>
      <c r="AQ11" s="266"/>
      <c r="AR11" s="266"/>
      <c r="AS11" s="266"/>
      <c r="AT11" s="266"/>
      <c r="AU11" s="266"/>
      <c r="AV11" s="266"/>
      <c r="AW11" s="266"/>
      <c r="AX11" s="266"/>
      <c r="AY11" s="266"/>
      <c r="AZ11" s="266"/>
      <c r="BA11" s="266"/>
      <c r="BB11" s="266"/>
      <c r="BC11" s="266"/>
      <c r="BD11" s="266"/>
      <c r="BE11" s="267"/>
      <c r="BF11" s="270" t="str">
        <f>IF(COUNTIF([1]回答表!F19,"*")&gt;0,[1]回答表!F19,"")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IF([1]回答表!R41="○","○","")</f>
        <v/>
      </c>
      <c r="E24" s="122"/>
      <c r="F24" s="122"/>
      <c r="G24" s="122"/>
      <c r="H24" s="122"/>
      <c r="I24" s="122"/>
      <c r="J24" s="123"/>
      <c r="K24" s="121" t="str">
        <f>IF([1]回答表!R42="○","○","")</f>
        <v/>
      </c>
      <c r="L24" s="122"/>
      <c r="M24" s="122"/>
      <c r="N24" s="122"/>
      <c r="O24" s="122"/>
      <c r="P24" s="122"/>
      <c r="Q24" s="123"/>
      <c r="R24" s="121" t="str">
        <f>IF([1]回答表!R43="○","○","")</f>
        <v>○</v>
      </c>
      <c r="S24" s="122"/>
      <c r="T24" s="122"/>
      <c r="U24" s="122"/>
      <c r="V24" s="122"/>
      <c r="W24" s="122"/>
      <c r="X24" s="123"/>
      <c r="Y24" s="121" t="str">
        <f>IF([1]回答表!R44="○","○","")</f>
        <v/>
      </c>
      <c r="Z24" s="122"/>
      <c r="AA24" s="122"/>
      <c r="AB24" s="122"/>
      <c r="AC24" s="122"/>
      <c r="AD24" s="122"/>
      <c r="AE24" s="123"/>
      <c r="AF24" s="121" t="str">
        <f>IF([1]回答表!R45="○","○","")</f>
        <v/>
      </c>
      <c r="AG24" s="122"/>
      <c r="AH24" s="122"/>
      <c r="AI24" s="122"/>
      <c r="AJ24" s="122"/>
      <c r="AK24" s="122"/>
      <c r="AL24" s="123"/>
      <c r="AM24" s="121" t="str">
        <f>IF([1]回答表!R46="○","○","")</f>
        <v/>
      </c>
      <c r="AN24" s="122"/>
      <c r="AO24" s="122"/>
      <c r="AP24" s="122"/>
      <c r="AQ24" s="122"/>
      <c r="AR24" s="122"/>
      <c r="AS24" s="123"/>
      <c r="AT24" s="121" t="str">
        <f>IF([1]回答表!R47="○","○","")</f>
        <v/>
      </c>
      <c r="AU24" s="122"/>
      <c r="AV24" s="122"/>
      <c r="AW24" s="122"/>
      <c r="AX24" s="122"/>
      <c r="AY24" s="122"/>
      <c r="AZ24" s="123"/>
      <c r="BA24" s="19"/>
      <c r="BB24" s="118" t="str">
        <f>IF([1]回答表!R48="○","○","")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IF([1]回答表!X41="○","○","")</f>
        <v/>
      </c>
      <c r="O36" s="98"/>
      <c r="P36" s="98"/>
      <c r="Q36" s="99"/>
      <c r="R36" s="39"/>
      <c r="S36" s="39"/>
      <c r="T36" s="39"/>
      <c r="U36" s="106" t="str">
        <f>IF([1]回答表!X41="○",[1]回答表!B56,IF([1]回答表!AA41="○",[1]回答表!B76,""))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IF([1]回答表!X41="○",[1]回答表!S62,IF([1]回答表!AA41="○",[1]回答表!S82,""))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IF([1]回答表!X41="○",[1]回答表!G62,IF([1]回答表!AA41="○",[1]回答表!G82,""))</f>
        <v/>
      </c>
      <c r="AN38" s="119"/>
      <c r="AO38" s="119"/>
      <c r="AP38" s="119"/>
      <c r="AQ38" s="119"/>
      <c r="AR38" s="119"/>
      <c r="AS38" s="119"/>
      <c r="AT38" s="120"/>
      <c r="AU38" s="118" t="str">
        <f>IF([1]回答表!X41="○",[1]回答表!G63,IF([1]回答表!AA41="○",[1]回答表!G83,""))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IF([1]回答表!X41="○",[1]回答表!V62,IF([1]回答表!AA41="○",[1]回答表!V82,""))</f>
        <v/>
      </c>
      <c r="BF39" s="217"/>
      <c r="BG39" s="217"/>
      <c r="BH39" s="218"/>
      <c r="BI39" s="82" t="str">
        <f>IF([1]回答表!X41="○",[1]回答表!V63,IF([1]回答表!AA41="○",[1]回答表!V83,""))</f>
        <v/>
      </c>
      <c r="BJ39" s="217"/>
      <c r="BK39" s="217"/>
      <c r="BL39" s="218"/>
      <c r="BM39" s="82" t="str">
        <f>IF([1]回答表!X41="○",[1]回答表!V64,IF([1]回答表!AA41="○",[1]回答表!V84,""))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IF([1]回答表!X41="○",[1]回答表!O68,IF([1]回答表!AA41="○",[1]回答表!O88,""))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IF([1]回答表!X41="○",[1]回答表!O69,IF([1]回答表!AA41="○",[1]回答表!O89,""))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IF([1]回答表!X41="○",[1]回答表!O70,IF([1]回答表!AA41="○",[1]回答表!O90,""))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IF([1]回答表!X41="○",[1]回答表!O71,IF([1]回答表!AA41="○",[1]回答表!O91,""))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IF([1]回答表!X41="○",[1]回答表!AG68,IF([1]回答表!AA41="○",[1]回答表!AG88,""))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IF([1]回答表!X41="○",[1]回答表!AG69,IF([1]回答表!AA41="○",[1]回答表!AG89,""))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IF([1]回答表!X41="○",[1]回答表!AG70,IF([1]回答表!AA41="○",[1]回答表!AG90,""))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IF([1]回答表!AD41="○","○","")</f>
        <v/>
      </c>
      <c r="O52" s="98"/>
      <c r="P52" s="98"/>
      <c r="Q52" s="99"/>
      <c r="R52" s="39"/>
      <c r="S52" s="39"/>
      <c r="T52" s="39"/>
      <c r="U52" s="106" t="str">
        <f>IF([1]回答表!AD41="○",[1]回答表!B96,"")</f>
        <v/>
      </c>
      <c r="V52" s="107"/>
      <c r="W52" s="107"/>
      <c r="X52" s="107"/>
      <c r="Y52" s="107"/>
      <c r="Z52" s="107"/>
      <c r="AA52" s="107"/>
      <c r="AB52" s="107"/>
      <c r="AC52" s="107"/>
      <c r="AD52" s="107"/>
      <c r="AE52" s="107"/>
      <c r="AF52" s="107"/>
      <c r="AG52" s="107"/>
      <c r="AH52" s="107"/>
      <c r="AI52" s="107"/>
      <c r="AJ52" s="108"/>
      <c r="AK52" s="56"/>
      <c r="AL52" s="56"/>
      <c r="AM52" s="106" t="str">
        <f>IF([1]回答表!AD41="○",[1]回答表!B101,"")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IF([1]回答表!X42="○","○","")</f>
        <v/>
      </c>
      <c r="O63" s="98"/>
      <c r="P63" s="98"/>
      <c r="Q63" s="99"/>
      <c r="R63" s="39"/>
      <c r="S63" s="39"/>
      <c r="T63" s="39"/>
      <c r="U63" s="106" t="str">
        <f>IF([1]回答表!X42="○",[1]回答表!B111,IF([1]回答表!AA42="○",[1]回答表!B124,""))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IF([1]回答表!X42="○",[1]回答表!S117,IF([1]回答表!AA42="○",[1]回答表!S130,""))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IF([1]回答表!X42="○",[1]回答表!J117,IF([1]回答表!AA42="○",[1]回答表!J130,""))</f>
        <v/>
      </c>
      <c r="AN66" s="119"/>
      <c r="AO66" s="119"/>
      <c r="AP66" s="119"/>
      <c r="AQ66" s="119"/>
      <c r="AR66" s="119"/>
      <c r="AS66" s="119"/>
      <c r="AT66" s="120"/>
      <c r="AU66" s="118" t="str">
        <f>IF([1]回答表!X42="○",[1]回答表!J118,IF([1]回答表!AA42="○",[1]回答表!J131,""))</f>
        <v/>
      </c>
      <c r="AV66" s="119"/>
      <c r="AW66" s="119"/>
      <c r="AX66" s="119"/>
      <c r="AY66" s="119"/>
      <c r="AZ66" s="119"/>
      <c r="BA66" s="119"/>
      <c r="BB66" s="120"/>
      <c r="BC66" s="40"/>
      <c r="BD66" s="35"/>
      <c r="BE66" s="82" t="str">
        <f>IF([1]回答表!X42="○",[1]回答表!V117,IF([1]回答表!AA42="○",[1]回答表!V130,""))</f>
        <v/>
      </c>
      <c r="BF66" s="83"/>
      <c r="BG66" s="83"/>
      <c r="BH66" s="83"/>
      <c r="BI66" s="82" t="str">
        <f>IF([1]回答表!X42="○",[1]回答表!V118,IF([1]回答表!AA42="○",[1]回答表!V131,""))</f>
        <v/>
      </c>
      <c r="BJ66" s="83"/>
      <c r="BK66" s="83"/>
      <c r="BL66" s="83"/>
      <c r="BM66" s="82" t="str">
        <f>IF([1]回答表!X42="○",[1]回答表!V119,IF([1]回答表!AA42="○",[1]回答表!V132,""))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IF([1]回答表!AD42="○","○","")</f>
        <v/>
      </c>
      <c r="O75" s="98"/>
      <c r="P75" s="98"/>
      <c r="Q75" s="99"/>
      <c r="R75" s="39"/>
      <c r="S75" s="39"/>
      <c r="T75" s="39"/>
      <c r="U75" s="106" t="str">
        <f>IF([1]回答表!AD42="○",[1]回答表!B137,"")</f>
        <v/>
      </c>
      <c r="V75" s="107"/>
      <c r="W75" s="107"/>
      <c r="X75" s="107"/>
      <c r="Y75" s="107"/>
      <c r="Z75" s="107"/>
      <c r="AA75" s="107"/>
      <c r="AB75" s="107"/>
      <c r="AC75" s="107"/>
      <c r="AD75" s="107"/>
      <c r="AE75" s="107"/>
      <c r="AF75" s="107"/>
      <c r="AG75" s="107"/>
      <c r="AH75" s="107"/>
      <c r="AI75" s="107"/>
      <c r="AJ75" s="108"/>
      <c r="AK75" s="56"/>
      <c r="AL75" s="56"/>
      <c r="AM75" s="106" t="str">
        <f>IF([1]回答表!AD42="○",[1]回答表!B143,"")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IF([1]回答表!F17="水道事業",IF([1]回答表!X43="○","○",""),"")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IF([1]回答表!F17="水道事業",IF([1]回答表!X43="○",[1]回答表!B154,IF([1]回答表!AA43="○",[1]回答表!B201,"")),"")</f>
        <v/>
      </c>
      <c r="AN87" s="107"/>
      <c r="AO87" s="107"/>
      <c r="AP87" s="107"/>
      <c r="AQ87" s="107"/>
      <c r="AR87" s="107"/>
      <c r="AS87" s="107"/>
      <c r="AT87" s="107"/>
      <c r="AU87" s="107"/>
      <c r="AV87" s="107"/>
      <c r="AW87" s="107"/>
      <c r="AX87" s="107"/>
      <c r="AY87" s="107"/>
      <c r="AZ87" s="107"/>
      <c r="BA87" s="107"/>
      <c r="BB87" s="108"/>
      <c r="BC87" s="40"/>
      <c r="BD87" s="35"/>
      <c r="BE87" s="115" t="str">
        <f>IF([1]回答表!F17="水道事業",IF([1]回答表!X43="○",[1]回答表!B190,IF([1]回答表!AA43="○",[1]回答表!B238,"")),"")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IF([1]回答表!F17="水道事業",IF([1]回答表!X43="○",[1]回答表!J162,IF([1]回答表!AA43="○",[1]回答表!J209,"")),"")</f>
        <v/>
      </c>
      <c r="V89" s="119"/>
      <c r="W89" s="119"/>
      <c r="X89" s="119"/>
      <c r="Y89" s="119"/>
      <c r="Z89" s="119"/>
      <c r="AA89" s="119"/>
      <c r="AB89" s="120"/>
      <c r="AC89" s="118" t="str">
        <f>IF([1]回答表!F17="水道事業",IF([1]回答表!X43="○",[1]回答表!J169,IF([1]回答表!AA43="○",[1]回答表!J216,"")),"")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IF([1]回答表!F17="水道事業",IF([1]回答表!X43="○",[1]回答表!E190,IF([1]回答表!AA43="○",[1]回答表!E238,"")),"")</f>
        <v/>
      </c>
      <c r="BF90" s="83"/>
      <c r="BG90" s="83"/>
      <c r="BH90" s="83"/>
      <c r="BI90" s="82" t="str">
        <f>IF([1]回答表!F17="水道事業",IF([1]回答表!X43="○",[1]回答表!E191,IF([1]回答表!AA43="○",[1]回答表!E239,"")),"")</f>
        <v/>
      </c>
      <c r="BJ90" s="83"/>
      <c r="BK90" s="83"/>
      <c r="BL90" s="83"/>
      <c r="BM90" s="82" t="str">
        <f>IF([1]回答表!F17="水道事業",IF([1]回答表!X43="○",[1]回答表!E192,IF([1]回答表!AA43="○",[1]回答表!E240,"")),"")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IF([1]回答表!F17="水道事業",IF([1]回答表!AA43="○","○",""),"")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IF([1]回答表!F17="水道事業",IF([1]回答表!X43="○",[1]回答表!J172,IF([1]回答表!AA43="○",[1]回答表!J219,"")),"")</f>
        <v/>
      </c>
      <c r="V94" s="119"/>
      <c r="W94" s="119"/>
      <c r="X94" s="119"/>
      <c r="Y94" s="119"/>
      <c r="Z94" s="119"/>
      <c r="AA94" s="119"/>
      <c r="AB94" s="120"/>
      <c r="AC94" s="118" t="str">
        <f>IF([1]回答表!F17="水道事業",IF([1]回答表!X43="○",[1]回答表!J176,IF([1]回答表!AA43="○",[1]回答表!J223,"")),"")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IF([1]回答表!F17="水道事業",IF([1]回答表!AD43="○","○",""),"")</f>
        <v/>
      </c>
      <c r="O99" s="98"/>
      <c r="P99" s="98"/>
      <c r="Q99" s="99"/>
      <c r="R99" s="39"/>
      <c r="S99" s="39"/>
      <c r="T99" s="39"/>
      <c r="U99" s="106" t="str">
        <f>IF([1]回答表!F17="水道事業",IF([1]回答表!AD43="○",[1]回答表!B249,""),"")</f>
        <v/>
      </c>
      <c r="V99" s="107"/>
      <c r="W99" s="107"/>
      <c r="X99" s="107"/>
      <c r="Y99" s="107"/>
      <c r="Z99" s="107"/>
      <c r="AA99" s="107"/>
      <c r="AB99" s="107"/>
      <c r="AC99" s="107"/>
      <c r="AD99" s="107"/>
      <c r="AE99" s="107"/>
      <c r="AF99" s="107"/>
      <c r="AG99" s="107"/>
      <c r="AH99" s="107"/>
      <c r="AI99" s="107"/>
      <c r="AJ99" s="108"/>
      <c r="AK99" s="56"/>
      <c r="AL99" s="56"/>
      <c r="AM99" s="106" t="str">
        <f>IF([1]回答表!F17="水道事業",IF([1]回答表!AD43="○",[1]回答表!B255,""),"")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IF([1]回答表!F17="簡易水道事業",IF([1]回答表!X43="○","○",""),"")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IF([1]回答表!F17="簡易水道事業",IF([1]回答表!X43="○",[1]回答表!B154,IF([1]回答表!AA43="○",[1]回答表!B201,"")),"")</f>
        <v/>
      </c>
      <c r="AN111" s="107"/>
      <c r="AO111" s="107"/>
      <c r="AP111" s="107"/>
      <c r="AQ111" s="107"/>
      <c r="AR111" s="107"/>
      <c r="AS111" s="107"/>
      <c r="AT111" s="107"/>
      <c r="AU111" s="107"/>
      <c r="AV111" s="107"/>
      <c r="AW111" s="107"/>
      <c r="AX111" s="107"/>
      <c r="AY111" s="107"/>
      <c r="AZ111" s="107"/>
      <c r="BA111" s="107"/>
      <c r="BB111" s="108"/>
      <c r="BC111" s="40"/>
      <c r="BD111" s="35"/>
      <c r="BE111" s="115" t="str">
        <f>IF([1]回答表!F17="簡易水道事業",IF([1]回答表!X43="○",[1]回答表!B190,IF([1]回答表!AA43="○",[1]回答表!B238,"")),"")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IF([1]回答表!F17="簡易水道事業",IF([1]回答表!X43="○",[1]回答表!Y181,IF([1]回答表!AA43="○",[1]回答表!Y229,"")),"")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IF([1]回答表!F17="簡易水道事業",IF([1]回答表!X43="○",[1]回答表!E190,IF([1]回答表!AA43="○",[1]回答表!E238,"")),"")</f>
        <v/>
      </c>
      <c r="BF114" s="83"/>
      <c r="BG114" s="83"/>
      <c r="BH114" s="83"/>
      <c r="BI114" s="82" t="str">
        <f>IF([1]回答表!F17="簡易水道事業",IF([1]回答表!X43="○",[1]回答表!E191,IF([1]回答表!AA43="○",[1]回答表!E239,"")),"")</f>
        <v/>
      </c>
      <c r="BJ114" s="83"/>
      <c r="BK114" s="83"/>
      <c r="BL114" s="83"/>
      <c r="BM114" s="82" t="str">
        <f>IF([1]回答表!F17="簡易水道事業",IF([1]回答表!X43="○",[1]回答表!E192,IF([1]回答表!AA43="○",[1]回答表!E240,"")),"")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IF([1]回答表!F17="簡易水道事業",IF([1]回答表!AA43="○","○",""),"")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IF([1]回答表!F17="簡易水道事業",IF([1]回答表!X43="○",[1]回答表!Y182,IF([1]回答表!AA43="○",[1]回答表!Y230,"")),"")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IF([1]回答表!F17="簡易水道事業",IF([1]回答表!AD43="○","○",""),"")</f>
        <v/>
      </c>
      <c r="O123" s="98"/>
      <c r="P123" s="98"/>
      <c r="Q123" s="99"/>
      <c r="R123" s="39"/>
      <c r="S123" s="39"/>
      <c r="T123" s="39"/>
      <c r="U123" s="106" t="str">
        <f>IF([1]回答表!F17="簡易水道事業",IF([1]回答表!AD43="○",[1]回答表!B249,""),"")</f>
        <v/>
      </c>
      <c r="V123" s="107"/>
      <c r="W123" s="107"/>
      <c r="X123" s="107"/>
      <c r="Y123" s="107"/>
      <c r="Z123" s="107"/>
      <c r="AA123" s="107"/>
      <c r="AB123" s="107"/>
      <c r="AC123" s="107"/>
      <c r="AD123" s="107"/>
      <c r="AE123" s="107"/>
      <c r="AF123" s="107"/>
      <c r="AG123" s="107"/>
      <c r="AH123" s="107"/>
      <c r="AI123" s="107"/>
      <c r="AJ123" s="108"/>
      <c r="AK123" s="56"/>
      <c r="AL123" s="56"/>
      <c r="AM123" s="106" t="str">
        <f>IF([1]回答表!F17="簡易水道事業",IF([1]回答表!AD43="○",[1]回答表!B255,""),"")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IF([1]回答表!F17="下水道事業",IF([1]回答表!X43="○","○",""),"")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287" t="str">
        <f>IF([1]回答表!F17="下水道事業",IF([1]回答表!X43="○",[1]回答表!B154,IF([1]回答表!AA43="○",[1]回答表!B201,"")),"")</f>
        <v>　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
      <c r="AN135" s="288"/>
      <c r="AO135" s="288"/>
      <c r="AP135" s="288"/>
      <c r="AQ135" s="288"/>
      <c r="AR135" s="288"/>
      <c r="AS135" s="288"/>
      <c r="AT135" s="288"/>
      <c r="AU135" s="288"/>
      <c r="AV135" s="288"/>
      <c r="AW135" s="288"/>
      <c r="AX135" s="288"/>
      <c r="AY135" s="288"/>
      <c r="AZ135" s="288"/>
      <c r="BA135" s="288"/>
      <c r="BB135" s="289"/>
      <c r="BC135" s="40"/>
      <c r="BD135" s="35"/>
      <c r="BE135" s="115" t="str">
        <f>IF([1]回答表!F17="下水道事業",IF([1]回答表!X43="○",[1]回答表!B190,IF([1]回答表!AA43="○",[1]回答表!B238,"")),"")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290"/>
      <c r="AN136" s="291"/>
      <c r="AO136" s="291"/>
      <c r="AP136" s="291"/>
      <c r="AQ136" s="291"/>
      <c r="AR136" s="291"/>
      <c r="AS136" s="291"/>
      <c r="AT136" s="291"/>
      <c r="AU136" s="291"/>
      <c r="AV136" s="291"/>
      <c r="AW136" s="291"/>
      <c r="AX136" s="291"/>
      <c r="AY136" s="291"/>
      <c r="AZ136" s="291"/>
      <c r="BA136" s="291"/>
      <c r="BB136" s="292"/>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f>IF([1]回答表!F17="下水道事業",IF([1]回答表!X43="○",[1]回答表!Y184,IF([1]回答表!AA43="○",[1]回答表!Y232,"")),"")</f>
        <v>0</v>
      </c>
      <c r="V137" s="119"/>
      <c r="W137" s="119"/>
      <c r="X137" s="119"/>
      <c r="Y137" s="119"/>
      <c r="Z137" s="119"/>
      <c r="AA137" s="119"/>
      <c r="AB137" s="120"/>
      <c r="AC137" s="118" t="str">
        <f>IF([1]回答表!F17="下水道事業",IF([1]回答表!X43="○",[1]回答表!Y185,IF([1]回答表!AA43="○",[1]回答表!Y233,"")),"")</f>
        <v>○</v>
      </c>
      <c r="AD137" s="119"/>
      <c r="AE137" s="119"/>
      <c r="AF137" s="119"/>
      <c r="AG137" s="119"/>
      <c r="AH137" s="119"/>
      <c r="AI137" s="119"/>
      <c r="AJ137" s="120"/>
      <c r="AK137" s="50"/>
      <c r="AL137" s="50"/>
      <c r="AM137" s="290"/>
      <c r="AN137" s="291"/>
      <c r="AO137" s="291"/>
      <c r="AP137" s="291"/>
      <c r="AQ137" s="291"/>
      <c r="AR137" s="291"/>
      <c r="AS137" s="291"/>
      <c r="AT137" s="291"/>
      <c r="AU137" s="291"/>
      <c r="AV137" s="291"/>
      <c r="AW137" s="291"/>
      <c r="AX137" s="291"/>
      <c r="AY137" s="291"/>
      <c r="AZ137" s="291"/>
      <c r="BA137" s="291"/>
      <c r="BB137" s="292"/>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290"/>
      <c r="AN138" s="291"/>
      <c r="AO138" s="291"/>
      <c r="AP138" s="291"/>
      <c r="AQ138" s="291"/>
      <c r="AR138" s="291"/>
      <c r="AS138" s="291"/>
      <c r="AT138" s="291"/>
      <c r="AU138" s="291"/>
      <c r="AV138" s="291"/>
      <c r="AW138" s="291"/>
      <c r="AX138" s="291"/>
      <c r="AY138" s="291"/>
      <c r="AZ138" s="291"/>
      <c r="BA138" s="291"/>
      <c r="BB138" s="292"/>
      <c r="BC138" s="40"/>
      <c r="BD138" s="35"/>
      <c r="BE138" s="82">
        <f>IF([1]回答表!F17="下水道事業",IF([1]回答表!X43="○",[1]回答表!E190,IF([1]回答表!AA43="○",[1]回答表!E238,"")),"")</f>
        <v>3</v>
      </c>
      <c r="BF138" s="83"/>
      <c r="BG138" s="83"/>
      <c r="BH138" s="83"/>
      <c r="BI138" s="82">
        <f>IF([1]回答表!F17="下水道事業",IF([1]回答表!X43="○",[1]回答表!E191,IF([1]回答表!AA43="○",[1]回答表!E239,"")),"")</f>
        <v>4</v>
      </c>
      <c r="BJ138" s="83"/>
      <c r="BK138" s="83"/>
      <c r="BL138" s="83"/>
      <c r="BM138" s="82">
        <f>IF([1]回答表!F17="下水道事業",IF([1]回答表!X43="○",[1]回答表!E192,IF([1]回答表!AA43="○",[1]回答表!E240,"")),"")</f>
        <v>1</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290"/>
      <c r="AN139" s="291"/>
      <c r="AO139" s="291"/>
      <c r="AP139" s="291"/>
      <c r="AQ139" s="291"/>
      <c r="AR139" s="291"/>
      <c r="AS139" s="291"/>
      <c r="AT139" s="291"/>
      <c r="AU139" s="291"/>
      <c r="AV139" s="291"/>
      <c r="AW139" s="291"/>
      <c r="AX139" s="291"/>
      <c r="AY139" s="291"/>
      <c r="AZ139" s="291"/>
      <c r="BA139" s="291"/>
      <c r="BB139" s="292"/>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290"/>
      <c r="AN140" s="291"/>
      <c r="AO140" s="291"/>
      <c r="AP140" s="291"/>
      <c r="AQ140" s="291"/>
      <c r="AR140" s="291"/>
      <c r="AS140" s="291"/>
      <c r="AT140" s="291"/>
      <c r="AU140" s="291"/>
      <c r="AV140" s="291"/>
      <c r="AW140" s="291"/>
      <c r="AX140" s="291"/>
      <c r="AY140" s="291"/>
      <c r="AZ140" s="291"/>
      <c r="BA140" s="291"/>
      <c r="BB140" s="292"/>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IF([1]回答表!F17="下水道事業",IF([1]回答表!AA43="○","○",""),"")</f>
        <v>○</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290"/>
      <c r="AN141" s="291"/>
      <c r="AO141" s="291"/>
      <c r="AP141" s="291"/>
      <c r="AQ141" s="291"/>
      <c r="AR141" s="291"/>
      <c r="AS141" s="291"/>
      <c r="AT141" s="291"/>
      <c r="AU141" s="291"/>
      <c r="AV141" s="291"/>
      <c r="AW141" s="291"/>
      <c r="AX141" s="291"/>
      <c r="AY141" s="291"/>
      <c r="AZ141" s="291"/>
      <c r="BA141" s="291"/>
      <c r="BB141" s="292"/>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f>IF([1]回答表!F17="下水道事業",IF([1]回答表!X43="○",[1]回答表!Y186,IF([1]回答表!AA43="○",[1]回答表!Y234,"")),"")</f>
        <v>0</v>
      </c>
      <c r="V142" s="119"/>
      <c r="W142" s="119"/>
      <c r="X142" s="119"/>
      <c r="Y142" s="119"/>
      <c r="Z142" s="119"/>
      <c r="AA142" s="119"/>
      <c r="AB142" s="120"/>
      <c r="AC142" s="118">
        <f>IF([1]回答表!F17="下水道事業",IF([1]回答表!X43="○",[1]回答表!Y187,IF([1]回答表!AA43="○",[1]回答表!Y235,"")),"")</f>
        <v>0</v>
      </c>
      <c r="AD142" s="119"/>
      <c r="AE142" s="119"/>
      <c r="AF142" s="119"/>
      <c r="AG142" s="119"/>
      <c r="AH142" s="119"/>
      <c r="AI142" s="119"/>
      <c r="AJ142" s="120"/>
      <c r="AK142" s="50"/>
      <c r="AL142" s="50"/>
      <c r="AM142" s="290"/>
      <c r="AN142" s="291"/>
      <c r="AO142" s="291"/>
      <c r="AP142" s="291"/>
      <c r="AQ142" s="291"/>
      <c r="AR142" s="291"/>
      <c r="AS142" s="291"/>
      <c r="AT142" s="291"/>
      <c r="AU142" s="291"/>
      <c r="AV142" s="291"/>
      <c r="AW142" s="291"/>
      <c r="AX142" s="291"/>
      <c r="AY142" s="291"/>
      <c r="AZ142" s="291"/>
      <c r="BA142" s="291"/>
      <c r="BB142" s="292"/>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290"/>
      <c r="AN143" s="291"/>
      <c r="AO143" s="291"/>
      <c r="AP143" s="291"/>
      <c r="AQ143" s="291"/>
      <c r="AR143" s="291"/>
      <c r="AS143" s="291"/>
      <c r="AT143" s="291"/>
      <c r="AU143" s="291"/>
      <c r="AV143" s="291"/>
      <c r="AW143" s="291"/>
      <c r="AX143" s="291"/>
      <c r="AY143" s="291"/>
      <c r="AZ143" s="291"/>
      <c r="BA143" s="291"/>
      <c r="BB143" s="292"/>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293"/>
      <c r="AN144" s="294"/>
      <c r="AO144" s="294"/>
      <c r="AP144" s="294"/>
      <c r="AQ144" s="294"/>
      <c r="AR144" s="294"/>
      <c r="AS144" s="294"/>
      <c r="AT144" s="294"/>
      <c r="AU144" s="294"/>
      <c r="AV144" s="294"/>
      <c r="AW144" s="294"/>
      <c r="AX144" s="294"/>
      <c r="AY144" s="294"/>
      <c r="AZ144" s="294"/>
      <c r="BA144" s="294"/>
      <c r="BB144" s="295"/>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IF([1]回答表!F17="下水道事業",IF([1]回答表!AD43="○","○",""),"")</f>
        <v/>
      </c>
      <c r="O147" s="98"/>
      <c r="P147" s="98"/>
      <c r="Q147" s="99"/>
      <c r="R147" s="39"/>
      <c r="S147" s="39"/>
      <c r="T147" s="39"/>
      <c r="U147" s="106" t="str">
        <f>IF([1]回答表!F17="下水道事業",IF([1]回答表!AD43="○",[1]回答表!B249,""),"")</f>
        <v/>
      </c>
      <c r="V147" s="107"/>
      <c r="W147" s="107"/>
      <c r="X147" s="107"/>
      <c r="Y147" s="107"/>
      <c r="Z147" s="107"/>
      <c r="AA147" s="107"/>
      <c r="AB147" s="107"/>
      <c r="AC147" s="107"/>
      <c r="AD147" s="107"/>
      <c r="AE147" s="107"/>
      <c r="AF147" s="107"/>
      <c r="AG147" s="107"/>
      <c r="AH147" s="107"/>
      <c r="AI147" s="107"/>
      <c r="AJ147" s="108"/>
      <c r="AK147" s="56"/>
      <c r="AL147" s="56"/>
      <c r="AM147" s="106" t="str">
        <f>IF([1]回答表!F17="下水道事業",IF([1]回答表!AD43="○",[1]回答表!B255,""),"")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IF([1]回答表!BD17="○",IF([1]回答表!X43="○","○",""),"")</f>
        <v/>
      </c>
      <c r="O159" s="98"/>
      <c r="P159" s="98"/>
      <c r="Q159" s="99"/>
      <c r="R159" s="39"/>
      <c r="S159" s="39"/>
      <c r="T159" s="39"/>
      <c r="U159" s="106" t="str">
        <f>IF([1]回答表!BD17="○",IF([1]回答表!X43="○",[1]回答表!B154,IF([1]回答表!AA43="○",[1]回答表!B201,"")),"")</f>
        <v/>
      </c>
      <c r="V159" s="107"/>
      <c r="W159" s="107"/>
      <c r="X159" s="107"/>
      <c r="Y159" s="107"/>
      <c r="Z159" s="107"/>
      <c r="AA159" s="107"/>
      <c r="AB159" s="107"/>
      <c r="AC159" s="107"/>
      <c r="AD159" s="107"/>
      <c r="AE159" s="107"/>
      <c r="AF159" s="107"/>
      <c r="AG159" s="107"/>
      <c r="AH159" s="107"/>
      <c r="AI159" s="107"/>
      <c r="AJ159" s="108"/>
      <c r="AK159" s="50"/>
      <c r="AL159" s="50"/>
      <c r="AM159" s="115" t="str">
        <f>IF([1]回答表!BD17="○",IF([1]回答表!X43="○",[1]回答表!B190,IF([1]回答表!AA43="○",[1]回答表!B238,"")),"")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IF([1]回答表!BD17="○",IF([1]回答表!X43="○",[1]回答表!E190,IF([1]回答表!AA43="○",[1]回答表!E238,"")),"")</f>
        <v/>
      </c>
      <c r="AN162" s="83"/>
      <c r="AO162" s="83"/>
      <c r="AP162" s="83"/>
      <c r="AQ162" s="82" t="str">
        <f>IF([1]回答表!BD17="○",IF([1]回答表!X43="○",[1]回答表!E191,IF([1]回答表!AA43="○",[1]回答表!E239,"")),"")</f>
        <v/>
      </c>
      <c r="AR162" s="83"/>
      <c r="AS162" s="83"/>
      <c r="AT162" s="83"/>
      <c r="AU162" s="82" t="str">
        <f>IF([1]回答表!BD17="○",IF([1]回答表!X43="○",[1]回答表!E192,IF([1]回答表!AA43="○",[1]回答表!E240,"")),"")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IF([1]回答表!BD17="○",IF([1]回答表!AA43="○","○",""),"")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IF([1]回答表!BD17="○",IF([1]回答表!AD43="○","○",""),"")</f>
        <v/>
      </c>
      <c r="O171" s="98"/>
      <c r="P171" s="98"/>
      <c r="Q171" s="99"/>
      <c r="R171" s="39"/>
      <c r="S171" s="39"/>
      <c r="T171" s="39"/>
      <c r="U171" s="106" t="str">
        <f>IF([1]回答表!BD17="○",IF([1]回答表!AD43="○",[1]回答表!B249,""),"")</f>
        <v/>
      </c>
      <c r="V171" s="107"/>
      <c r="W171" s="107"/>
      <c r="X171" s="107"/>
      <c r="Y171" s="107"/>
      <c r="Z171" s="107"/>
      <c r="AA171" s="107"/>
      <c r="AB171" s="107"/>
      <c r="AC171" s="107"/>
      <c r="AD171" s="107"/>
      <c r="AE171" s="107"/>
      <c r="AF171" s="107"/>
      <c r="AG171" s="107"/>
      <c r="AH171" s="107"/>
      <c r="AI171" s="107"/>
      <c r="AJ171" s="108"/>
      <c r="AK171" s="56"/>
      <c r="AL171" s="56"/>
      <c r="AM171" s="106" t="str">
        <f>IF([1]回答表!BD17="○",IF([1]回答表!AD43="○",[1]回答表!B255,""),"")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IF([1]回答表!X44="○","○","")</f>
        <v/>
      </c>
      <c r="O183" s="98"/>
      <c r="P183" s="98"/>
      <c r="Q183" s="99"/>
      <c r="R183" s="39"/>
      <c r="S183" s="39"/>
      <c r="T183" s="39"/>
      <c r="U183" s="106" t="str">
        <f>IF([1]回答表!X44="○",[1]回答表!B266,IF([1]回答表!AA44="○",[1]回答表!B283,""))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IF([1]回答表!X44="○",[1]回答表!U272,IF([1]回答表!AA44="○",[1]回答表!U289,""))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IF([1]回答表!X44="○",[1]回答表!G272,IF([1]回答表!AA44="○",[1]回答表!G289,""))</f>
        <v/>
      </c>
      <c r="AN186" s="119"/>
      <c r="AO186" s="119"/>
      <c r="AP186" s="119"/>
      <c r="AQ186" s="119"/>
      <c r="AR186" s="119"/>
      <c r="AS186" s="119"/>
      <c r="AT186" s="120"/>
      <c r="AU186" s="118" t="str">
        <f>IF([1]回答表!X44="○",[1]回答表!G273,IF([1]回答表!AA44="○",[1]回答表!G290,""))</f>
        <v/>
      </c>
      <c r="AV186" s="119"/>
      <c r="AW186" s="119"/>
      <c r="AX186" s="119"/>
      <c r="AY186" s="119"/>
      <c r="AZ186" s="119"/>
      <c r="BA186" s="119"/>
      <c r="BB186" s="120"/>
      <c r="BC186" s="40"/>
      <c r="BD186" s="35"/>
      <c r="BE186" s="82" t="str">
        <f>IF([1]回答表!X44="○",[1]回答表!X272,IF([1]回答表!AA44="○",[1]回答表!X289,""))</f>
        <v/>
      </c>
      <c r="BF186" s="83"/>
      <c r="BG186" s="83"/>
      <c r="BH186" s="83"/>
      <c r="BI186" s="82" t="str">
        <f>IF([1]回答表!X44="○",[1]回答表!X273,IF([1]回答表!AA44="○",[1]回答表!X290,""))</f>
        <v/>
      </c>
      <c r="BJ186" s="83"/>
      <c r="BK186" s="83"/>
      <c r="BL186" s="86"/>
      <c r="BM186" s="82" t="str">
        <f>IF([1]回答表!X44="○",[1]回答表!X274,IF([1]回答表!AA44="○",[1]回答表!X291,""))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IF([1]回答表!AD44="○","○","")</f>
        <v/>
      </c>
      <c r="O195" s="98"/>
      <c r="P195" s="98"/>
      <c r="Q195" s="99"/>
      <c r="R195" s="39"/>
      <c r="S195" s="39"/>
      <c r="T195" s="39"/>
      <c r="U195" s="106" t="str">
        <f>IF([1]回答表!AD44="○",[1]回答表!B296,"")</f>
        <v/>
      </c>
      <c r="V195" s="107"/>
      <c r="W195" s="107"/>
      <c r="X195" s="107"/>
      <c r="Y195" s="107"/>
      <c r="Z195" s="107"/>
      <c r="AA195" s="107"/>
      <c r="AB195" s="107"/>
      <c r="AC195" s="107"/>
      <c r="AD195" s="107"/>
      <c r="AE195" s="107"/>
      <c r="AF195" s="107"/>
      <c r="AG195" s="107"/>
      <c r="AH195" s="107"/>
      <c r="AI195" s="107"/>
      <c r="AJ195" s="108"/>
      <c r="AK195" s="61"/>
      <c r="AL195" s="61"/>
      <c r="AM195" s="106" t="str">
        <f>IF([1]回答表!AD44="○",[1]回答表!B302,"")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IF([1]回答表!X45="○","○","")</f>
        <v/>
      </c>
      <c r="O207" s="98"/>
      <c r="P207" s="98"/>
      <c r="Q207" s="99"/>
      <c r="R207" s="39"/>
      <c r="S207" s="39"/>
      <c r="T207" s="39"/>
      <c r="U207" s="106" t="str">
        <f>IF([1]回答表!X45="○",[1]回答表!B314,IF([1]回答表!AA45="○",[1]回答表!B337,""))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IF([1]回答表!X45="○",[1]回答表!B320,"")</f>
        <v/>
      </c>
      <c r="AO207" s="164"/>
      <c r="AP207" s="164"/>
      <c r="AQ207" s="164"/>
      <c r="AR207" s="164"/>
      <c r="AS207" s="164"/>
      <c r="AT207" s="164"/>
      <c r="AU207" s="164"/>
      <c r="AV207" s="164"/>
      <c r="AW207" s="164"/>
      <c r="AX207" s="164"/>
      <c r="AY207" s="164"/>
      <c r="AZ207" s="164"/>
      <c r="BA207" s="164"/>
      <c r="BB207" s="165"/>
      <c r="BC207" s="40"/>
      <c r="BD207" s="35"/>
      <c r="BE207" s="115" t="str">
        <f>IF([1]回答表!X45="○",[1]回答表!B326,IF([1]回答表!AA45="○",[1]回答表!B343,""))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IF([1]回答表!X45="○",[1]回答表!E326,IF([1]回答表!AA45="○",[1]回答表!E343,""))</f>
        <v/>
      </c>
      <c r="BF210" s="83"/>
      <c r="BG210" s="83"/>
      <c r="BH210" s="83"/>
      <c r="BI210" s="82" t="str">
        <f>IF([1]回答表!X45="○",[1]回答表!E327,IF([1]回答表!AA45="○",[1]回答表!E344,""))</f>
        <v/>
      </c>
      <c r="BJ210" s="83"/>
      <c r="BK210" s="83"/>
      <c r="BL210" s="86"/>
      <c r="BM210" s="82" t="str">
        <f>IF([1]回答表!X45="○",[1]回答表!E328,IF([1]回答表!AA45="○",[1]回答表!E345,""))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IF([1]回答表!AD45="○","○","")</f>
        <v/>
      </c>
      <c r="O219" s="98"/>
      <c r="P219" s="98"/>
      <c r="Q219" s="99"/>
      <c r="R219" s="39"/>
      <c r="S219" s="39"/>
      <c r="T219" s="39"/>
      <c r="U219" s="106" t="str">
        <f>IF([1]回答表!AD45="○",[1]回答表!B350,"")</f>
        <v/>
      </c>
      <c r="V219" s="107"/>
      <c r="W219" s="107"/>
      <c r="X219" s="107"/>
      <c r="Y219" s="107"/>
      <c r="Z219" s="107"/>
      <c r="AA219" s="107"/>
      <c r="AB219" s="107"/>
      <c r="AC219" s="107"/>
      <c r="AD219" s="107"/>
      <c r="AE219" s="107"/>
      <c r="AF219" s="107"/>
      <c r="AG219" s="107"/>
      <c r="AH219" s="107"/>
      <c r="AI219" s="107"/>
      <c r="AJ219" s="108"/>
      <c r="AK219" s="61"/>
      <c r="AL219" s="61"/>
      <c r="AM219" s="106" t="str">
        <f>IF([1]回答表!AD45="○",[1]回答表!B356,"")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IF([1]回答表!X46="○","○","")</f>
        <v/>
      </c>
      <c r="O231" s="98"/>
      <c r="P231" s="98"/>
      <c r="Q231" s="99"/>
      <c r="R231" s="39"/>
      <c r="S231" s="39"/>
      <c r="T231" s="39"/>
      <c r="U231" s="106" t="str">
        <f>IF([1]回答表!X46="○",[1]回答表!B368,IF([1]回答表!AA46="○",[1]回答表!B382,""))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IF([1]回答表!X46="○",[1]回答表!BC375,IF([1]回答表!AA46="○",[1]回答表!BC389,""))</f>
        <v/>
      </c>
      <c r="AR231" s="150"/>
      <c r="AS231" s="150"/>
      <c r="AT231" s="150"/>
      <c r="AU231" s="155" t="s">
        <v>63</v>
      </c>
      <c r="AV231" s="156"/>
      <c r="AW231" s="156"/>
      <c r="AX231" s="157"/>
      <c r="AY231" s="150" t="str">
        <f>IF([1]回答表!X46="○",[1]回答表!BC380,IF([1]回答表!AA46="○",[1]回答表!BC394,""))</f>
        <v/>
      </c>
      <c r="AZ231" s="150"/>
      <c r="BA231" s="150"/>
      <c r="BB231" s="150"/>
      <c r="BC231" s="40"/>
      <c r="BD231" s="35"/>
      <c r="BE231" s="115" t="str">
        <f>IF([1]回答表!X46="○",[1]回答表!S374,IF([1]回答表!AA46="○",[1]回答表!S388,""))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IF([1]回答表!X46="○",[1]回答表!BC376,IF([1]回答表!AA46="○",[1]回答表!BC390,""))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IF([1]回答表!X46="○",[1]回答表!V374,IF([1]回答表!AA46="○",[1]回答表!V388,""))</f>
        <v/>
      </c>
      <c r="BF234" s="83"/>
      <c r="BG234" s="83"/>
      <c r="BH234" s="83"/>
      <c r="BI234" s="82" t="str">
        <f>IF([1]回答表!X46="○",[1]回答表!V375,IF([1]回答表!AA46="○",[1]回答表!V389,""))</f>
        <v/>
      </c>
      <c r="BJ234" s="83"/>
      <c r="BK234" s="83"/>
      <c r="BL234" s="86"/>
      <c r="BM234" s="82" t="str">
        <f>IF([1]回答表!X46="○",[1]回答表!V376,IF([1]回答表!AA46="○",[1]回答表!V390,""))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IF([1]回答表!X46="○",[1]回答表!BC377,IF([1]回答表!AA46="○",[1]回答表!BC391,""))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IF([1]回答表!X46="○",[1]回答表!BC381,IF([1]回答表!AA46="○",[1]回答表!BC395,""))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IF([1]回答表!X46="○",[1]回答表!BC378,IF([1]回答表!AA46="○",[1]回答表!BC392,""))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IF([1]回答表!X46="○",[1]回答表!BC379,IF([1]回答表!AA46="○",[1]回答表!BC393,""))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IF([1]回答表!AD46="○","○","")</f>
        <v/>
      </c>
      <c r="O243" s="98"/>
      <c r="P243" s="98"/>
      <c r="Q243" s="99"/>
      <c r="R243" s="39"/>
      <c r="S243" s="39"/>
      <c r="T243" s="39"/>
      <c r="U243" s="106" t="str">
        <f>IF([1]回答表!AD46="○",[1]回答表!B396,"")</f>
        <v/>
      </c>
      <c r="V243" s="107"/>
      <c r="W243" s="107"/>
      <c r="X243" s="107"/>
      <c r="Y243" s="107"/>
      <c r="Z243" s="107"/>
      <c r="AA243" s="107"/>
      <c r="AB243" s="107"/>
      <c r="AC243" s="107"/>
      <c r="AD243" s="107"/>
      <c r="AE243" s="107"/>
      <c r="AF243" s="107"/>
      <c r="AG243" s="107"/>
      <c r="AH243" s="107"/>
      <c r="AI243" s="107"/>
      <c r="AJ243" s="108"/>
      <c r="AK243" s="56"/>
      <c r="AL243" s="56"/>
      <c r="AM243" s="106" t="str">
        <f>IF([1]回答表!AD46="○",[1]回答表!B402,"")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IF([1]回答表!X47="○","○","")</f>
        <v/>
      </c>
      <c r="O254" s="98"/>
      <c r="P254" s="98"/>
      <c r="Q254" s="99"/>
      <c r="R254" s="39"/>
      <c r="S254" s="39"/>
      <c r="T254" s="39"/>
      <c r="U254" s="106" t="str">
        <f>IF([1]回答表!X47="○",[1]回答表!B414,IF([1]回答表!AA47="○",[1]回答表!B431,""))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IF([1]回答表!X47="○",[1]回答表!B424,IF([1]回答表!AA47="○",[1]回答表!B441,""))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IF([1]回答表!X47="○",[1]回答表!G420,IF([1]回答表!AA47="○",[1]回答表!G437,""))</f>
        <v/>
      </c>
      <c r="AN256" s="119"/>
      <c r="AO256" s="119"/>
      <c r="AP256" s="119"/>
      <c r="AQ256" s="119"/>
      <c r="AR256" s="119"/>
      <c r="AS256" s="119"/>
      <c r="AT256" s="120"/>
      <c r="AU256" s="118" t="str">
        <f>IF([1]回答表!X47="○",[1]回答表!G421,IF([1]回答表!AA47="○",[1]回答表!G438,""))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IF([1]回答表!X47="○",[1]回答表!E424,IF([1]回答表!AA47="○",[1]回答表!E441,""))</f>
        <v/>
      </c>
      <c r="BF257" s="83"/>
      <c r="BG257" s="83"/>
      <c r="BH257" s="83"/>
      <c r="BI257" s="82" t="str">
        <f>IF([1]回答表!X47="○",[1]回答表!E425,IF([1]回答表!AA47="○",[1]回答表!E442,""))</f>
        <v/>
      </c>
      <c r="BJ257" s="83"/>
      <c r="BK257" s="83"/>
      <c r="BL257" s="86"/>
      <c r="BM257" s="82" t="str">
        <f>IF([1]回答表!X47="○",[1]回答表!E426,IF([1]回答表!AA47="○",[1]回答表!E443,""))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IF([1]回答表!AD47="○","○","")</f>
        <v/>
      </c>
      <c r="O266" s="98"/>
      <c r="P266" s="98"/>
      <c r="Q266" s="99"/>
      <c r="R266" s="39"/>
      <c r="S266" s="39"/>
      <c r="T266" s="39"/>
      <c r="U266" s="106" t="str">
        <f>IF([1]回答表!AD47="○",[1]回答表!B448,"")</f>
        <v/>
      </c>
      <c r="V266" s="107"/>
      <c r="W266" s="107"/>
      <c r="X266" s="107"/>
      <c r="Y266" s="107"/>
      <c r="Z266" s="107"/>
      <c r="AA266" s="107"/>
      <c r="AB266" s="107"/>
      <c r="AC266" s="107"/>
      <c r="AD266" s="107"/>
      <c r="AE266" s="107"/>
      <c r="AF266" s="107"/>
      <c r="AG266" s="107"/>
      <c r="AH266" s="107"/>
      <c r="AI266" s="107"/>
      <c r="AJ266" s="108"/>
      <c r="AK266" s="50"/>
      <c r="AL266" s="50"/>
      <c r="AM266" s="106" t="str">
        <f>IF([1]回答表!AD47="○",[1]回答表!B454,"")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IF([1]回答表!R48="○",[1]回答表!B467,"")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9766F-1A32-475B-BFF1-B03F808A2776}">
  <sheetPr>
    <pageSetUpPr fitToPage="1"/>
  </sheetPr>
  <dimension ref="A1:CE298"/>
  <sheetViews>
    <sheetView showZeros="0" zoomScale="55" zoomScaleNormal="55" workbookViewId="0">
      <selection activeCell="AU63" sqref="AU63:BB65"/>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IF(COUNTIF([3]回答表!K15,"*")&gt;0,[3]回答表!K15,"")</f>
        <v>大仙市</v>
      </c>
      <c r="D11" s="264"/>
      <c r="E11" s="264"/>
      <c r="F11" s="264"/>
      <c r="G11" s="264"/>
      <c r="H11" s="264"/>
      <c r="I11" s="264"/>
      <c r="J11" s="264"/>
      <c r="K11" s="264"/>
      <c r="L11" s="264"/>
      <c r="M11" s="264"/>
      <c r="N11" s="264"/>
      <c r="O11" s="264"/>
      <c r="P11" s="264"/>
      <c r="Q11" s="264"/>
      <c r="R11" s="264"/>
      <c r="S11" s="264"/>
      <c r="T11" s="264"/>
      <c r="U11" s="271" t="str">
        <f>IF(COUNTIF([3]回答表!F17,"*")&gt;0,[3]回答表!F17,"")</f>
        <v>下水道事業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IF(COUNTIF([3]回答表!W17,"*")&gt;0,[3]回答表!W17,"")</f>
        <v>農業集落排水施設</v>
      </c>
      <c r="AP11" s="266"/>
      <c r="AQ11" s="266"/>
      <c r="AR11" s="266"/>
      <c r="AS11" s="266"/>
      <c r="AT11" s="266"/>
      <c r="AU11" s="266"/>
      <c r="AV11" s="266"/>
      <c r="AW11" s="266"/>
      <c r="AX11" s="266"/>
      <c r="AY11" s="266"/>
      <c r="AZ11" s="266"/>
      <c r="BA11" s="266"/>
      <c r="BB11" s="266"/>
      <c r="BC11" s="266"/>
      <c r="BD11" s="266"/>
      <c r="BE11" s="267"/>
      <c r="BF11" s="270" t="str">
        <f>IF(COUNTIF([3]回答表!F19,"*")&gt;0,[3]回答表!F19,"")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IF([3]回答表!R41="○","○","")</f>
        <v/>
      </c>
      <c r="E24" s="122"/>
      <c r="F24" s="122"/>
      <c r="G24" s="122"/>
      <c r="H24" s="122"/>
      <c r="I24" s="122"/>
      <c r="J24" s="123"/>
      <c r="K24" s="121" t="str">
        <f>IF([3]回答表!R42="○","○","")</f>
        <v/>
      </c>
      <c r="L24" s="122"/>
      <c r="M24" s="122"/>
      <c r="N24" s="122"/>
      <c r="O24" s="122"/>
      <c r="P24" s="122"/>
      <c r="Q24" s="123"/>
      <c r="R24" s="121" t="str">
        <f>IF([3]回答表!R43="○","○","")</f>
        <v>○</v>
      </c>
      <c r="S24" s="122"/>
      <c r="T24" s="122"/>
      <c r="U24" s="122"/>
      <c r="V24" s="122"/>
      <c r="W24" s="122"/>
      <c r="X24" s="123"/>
      <c r="Y24" s="121" t="str">
        <f>IF([3]回答表!R44="○","○","")</f>
        <v/>
      </c>
      <c r="Z24" s="122"/>
      <c r="AA24" s="122"/>
      <c r="AB24" s="122"/>
      <c r="AC24" s="122"/>
      <c r="AD24" s="122"/>
      <c r="AE24" s="123"/>
      <c r="AF24" s="121" t="str">
        <f>IF([3]回答表!R45="○","○","")</f>
        <v/>
      </c>
      <c r="AG24" s="122"/>
      <c r="AH24" s="122"/>
      <c r="AI24" s="122"/>
      <c r="AJ24" s="122"/>
      <c r="AK24" s="122"/>
      <c r="AL24" s="123"/>
      <c r="AM24" s="121" t="str">
        <f>IF([3]回答表!R46="○","○","")</f>
        <v/>
      </c>
      <c r="AN24" s="122"/>
      <c r="AO24" s="122"/>
      <c r="AP24" s="122"/>
      <c r="AQ24" s="122"/>
      <c r="AR24" s="122"/>
      <c r="AS24" s="123"/>
      <c r="AT24" s="121" t="str">
        <f>IF([3]回答表!R47="○","○","")</f>
        <v/>
      </c>
      <c r="AU24" s="122"/>
      <c r="AV24" s="122"/>
      <c r="AW24" s="122"/>
      <c r="AX24" s="122"/>
      <c r="AY24" s="122"/>
      <c r="AZ24" s="123"/>
      <c r="BA24" s="19"/>
      <c r="BB24" s="118" t="str">
        <f>IF([3]回答表!R48="○","○","")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IF([3]回答表!X41="○","○","")</f>
        <v/>
      </c>
      <c r="O36" s="98"/>
      <c r="P36" s="98"/>
      <c r="Q36" s="99"/>
      <c r="R36" s="39"/>
      <c r="S36" s="39"/>
      <c r="T36" s="39"/>
      <c r="U36" s="106" t="str">
        <f>IF([3]回答表!X41="○",[3]回答表!B56,IF([3]回答表!AA41="○",[3]回答表!B76,""))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IF([3]回答表!X41="○",[3]回答表!S62,IF([3]回答表!AA41="○",[3]回答表!S82,""))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IF([3]回答表!X41="○",[3]回答表!G62,IF([3]回答表!AA41="○",[3]回答表!G82,""))</f>
        <v/>
      </c>
      <c r="AN38" s="119"/>
      <c r="AO38" s="119"/>
      <c r="AP38" s="119"/>
      <c r="AQ38" s="119"/>
      <c r="AR38" s="119"/>
      <c r="AS38" s="119"/>
      <c r="AT38" s="120"/>
      <c r="AU38" s="118" t="str">
        <f>IF([3]回答表!X41="○",[3]回答表!G63,IF([3]回答表!AA41="○",[3]回答表!G83,""))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IF([3]回答表!X41="○",[3]回答表!V62,IF([3]回答表!AA41="○",[3]回答表!V82,""))</f>
        <v/>
      </c>
      <c r="BF39" s="217"/>
      <c r="BG39" s="217"/>
      <c r="BH39" s="218"/>
      <c r="BI39" s="82" t="str">
        <f>IF([3]回答表!X41="○",[3]回答表!V63,IF([3]回答表!AA41="○",[3]回答表!V83,""))</f>
        <v/>
      </c>
      <c r="BJ39" s="217"/>
      <c r="BK39" s="217"/>
      <c r="BL39" s="218"/>
      <c r="BM39" s="82" t="str">
        <f>IF([3]回答表!X41="○",[3]回答表!V64,IF([3]回答表!AA41="○",[3]回答表!V84,""))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IF([3]回答表!X41="○",[3]回答表!O68,IF([3]回答表!AA41="○",[3]回答表!O88,""))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IF([3]回答表!X41="○",[3]回答表!O69,IF([3]回答表!AA41="○",[3]回答表!O89,""))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IF([3]回答表!X41="○",[3]回答表!O70,IF([3]回答表!AA41="○",[3]回答表!O90,""))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IF([3]回答表!X41="○",[3]回答表!O71,IF([3]回答表!AA41="○",[3]回答表!O91,""))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IF([3]回答表!X41="○",[3]回答表!AG68,IF([3]回答表!AA41="○",[3]回答表!AG88,""))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IF([3]回答表!X41="○",[3]回答表!AG69,IF([3]回答表!AA41="○",[3]回答表!AG89,""))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IF([3]回答表!X41="○",[3]回答表!AG70,IF([3]回答表!AA41="○",[3]回答表!AG90,""))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IF([3]回答表!AD41="○","○","")</f>
        <v/>
      </c>
      <c r="O52" s="98"/>
      <c r="P52" s="98"/>
      <c r="Q52" s="99"/>
      <c r="R52" s="39"/>
      <c r="S52" s="39"/>
      <c r="T52" s="39"/>
      <c r="U52" s="106" t="str">
        <f>IF([3]回答表!AD41="○",[3]回答表!B96,"")</f>
        <v/>
      </c>
      <c r="V52" s="107"/>
      <c r="W52" s="107"/>
      <c r="X52" s="107"/>
      <c r="Y52" s="107"/>
      <c r="Z52" s="107"/>
      <c r="AA52" s="107"/>
      <c r="AB52" s="107"/>
      <c r="AC52" s="107"/>
      <c r="AD52" s="107"/>
      <c r="AE52" s="107"/>
      <c r="AF52" s="107"/>
      <c r="AG52" s="107"/>
      <c r="AH52" s="107"/>
      <c r="AI52" s="107"/>
      <c r="AJ52" s="108"/>
      <c r="AK52" s="56"/>
      <c r="AL52" s="56"/>
      <c r="AM52" s="106" t="str">
        <f>IF([3]回答表!AD41="○",[3]回答表!B101,"")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IF([3]回答表!X42="○","○","")</f>
        <v/>
      </c>
      <c r="O63" s="98"/>
      <c r="P63" s="98"/>
      <c r="Q63" s="99"/>
      <c r="R63" s="39"/>
      <c r="S63" s="39"/>
      <c r="T63" s="39"/>
      <c r="U63" s="106" t="str">
        <f>IF([3]回答表!X42="○",[3]回答表!B111,IF([3]回答表!AA42="○",[3]回答表!B124,""))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IF([3]回答表!X42="○",[3]回答表!S117,IF([3]回答表!AA42="○",[3]回答表!S130,""))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IF([3]回答表!X42="○",[3]回答表!J117,IF([3]回答表!AA42="○",[3]回答表!J130,""))</f>
        <v/>
      </c>
      <c r="AN66" s="119"/>
      <c r="AO66" s="119"/>
      <c r="AP66" s="119"/>
      <c r="AQ66" s="119"/>
      <c r="AR66" s="119"/>
      <c r="AS66" s="119"/>
      <c r="AT66" s="120"/>
      <c r="AU66" s="118" t="str">
        <f>IF([3]回答表!X42="○",[3]回答表!J118,IF([3]回答表!AA42="○",[3]回答表!J131,""))</f>
        <v/>
      </c>
      <c r="AV66" s="119"/>
      <c r="AW66" s="119"/>
      <c r="AX66" s="119"/>
      <c r="AY66" s="119"/>
      <c r="AZ66" s="119"/>
      <c r="BA66" s="119"/>
      <c r="BB66" s="120"/>
      <c r="BC66" s="40"/>
      <c r="BD66" s="35"/>
      <c r="BE66" s="82" t="str">
        <f>IF([3]回答表!X42="○",[3]回答表!V117,IF([3]回答表!AA42="○",[3]回答表!V130,""))</f>
        <v/>
      </c>
      <c r="BF66" s="83"/>
      <c r="BG66" s="83"/>
      <c r="BH66" s="83"/>
      <c r="BI66" s="82" t="str">
        <f>IF([3]回答表!X42="○",[3]回答表!V118,IF([3]回答表!AA42="○",[3]回答表!V131,""))</f>
        <v/>
      </c>
      <c r="BJ66" s="83"/>
      <c r="BK66" s="83"/>
      <c r="BL66" s="83"/>
      <c r="BM66" s="82" t="str">
        <f>IF([3]回答表!X42="○",[3]回答表!V119,IF([3]回答表!AA42="○",[3]回答表!V132,""))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IF([3]回答表!AD42="○","○","")</f>
        <v/>
      </c>
      <c r="O75" s="98"/>
      <c r="P75" s="98"/>
      <c r="Q75" s="99"/>
      <c r="R75" s="39"/>
      <c r="S75" s="39"/>
      <c r="T75" s="39"/>
      <c r="U75" s="106" t="str">
        <f>IF([3]回答表!AD42="○",[3]回答表!B137,"")</f>
        <v/>
      </c>
      <c r="V75" s="107"/>
      <c r="W75" s="107"/>
      <c r="X75" s="107"/>
      <c r="Y75" s="107"/>
      <c r="Z75" s="107"/>
      <c r="AA75" s="107"/>
      <c r="AB75" s="107"/>
      <c r="AC75" s="107"/>
      <c r="AD75" s="107"/>
      <c r="AE75" s="107"/>
      <c r="AF75" s="107"/>
      <c r="AG75" s="107"/>
      <c r="AH75" s="107"/>
      <c r="AI75" s="107"/>
      <c r="AJ75" s="108"/>
      <c r="AK75" s="56"/>
      <c r="AL75" s="56"/>
      <c r="AM75" s="106" t="str">
        <f>IF([3]回答表!AD42="○",[3]回答表!B143,"")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IF([3]回答表!F17="水道事業",IF([3]回答表!X43="○","○",""),"")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IF([3]回答表!F17="水道事業",IF([3]回答表!X43="○",[3]回答表!B154,IF([3]回答表!AA43="○",[3]回答表!B201,"")),"")</f>
        <v/>
      </c>
      <c r="AN87" s="107"/>
      <c r="AO87" s="107"/>
      <c r="AP87" s="107"/>
      <c r="AQ87" s="107"/>
      <c r="AR87" s="107"/>
      <c r="AS87" s="107"/>
      <c r="AT87" s="107"/>
      <c r="AU87" s="107"/>
      <c r="AV87" s="107"/>
      <c r="AW87" s="107"/>
      <c r="AX87" s="107"/>
      <c r="AY87" s="107"/>
      <c r="AZ87" s="107"/>
      <c r="BA87" s="107"/>
      <c r="BB87" s="108"/>
      <c r="BC87" s="40"/>
      <c r="BD87" s="35"/>
      <c r="BE87" s="115" t="str">
        <f>IF([3]回答表!F17="水道事業",IF([3]回答表!X43="○",[3]回答表!B190,IF([3]回答表!AA43="○",[3]回答表!B238,"")),"")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IF([3]回答表!F17="水道事業",IF([3]回答表!X43="○",[3]回答表!J162,IF([3]回答表!AA43="○",[3]回答表!J209,"")),"")</f>
        <v/>
      </c>
      <c r="V89" s="119"/>
      <c r="W89" s="119"/>
      <c r="X89" s="119"/>
      <c r="Y89" s="119"/>
      <c r="Z89" s="119"/>
      <c r="AA89" s="119"/>
      <c r="AB89" s="120"/>
      <c r="AC89" s="118" t="str">
        <f>IF([3]回答表!F17="水道事業",IF([3]回答表!X43="○",[3]回答表!J169,IF([3]回答表!AA43="○",[3]回答表!J216,"")),"")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IF([3]回答表!F17="水道事業",IF([3]回答表!X43="○",[3]回答表!E190,IF([3]回答表!AA43="○",[3]回答表!E238,"")),"")</f>
        <v/>
      </c>
      <c r="BF90" s="83"/>
      <c r="BG90" s="83"/>
      <c r="BH90" s="83"/>
      <c r="BI90" s="82" t="str">
        <f>IF([3]回答表!F17="水道事業",IF([3]回答表!X43="○",[3]回答表!E191,IF([3]回答表!AA43="○",[3]回答表!E239,"")),"")</f>
        <v/>
      </c>
      <c r="BJ90" s="83"/>
      <c r="BK90" s="83"/>
      <c r="BL90" s="83"/>
      <c r="BM90" s="82" t="str">
        <f>IF([3]回答表!F17="水道事業",IF([3]回答表!X43="○",[3]回答表!E192,IF([3]回答表!AA43="○",[3]回答表!E240,"")),"")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IF([3]回答表!F17="水道事業",IF([3]回答表!AA43="○","○",""),"")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IF([3]回答表!F17="水道事業",IF([3]回答表!X43="○",[3]回答表!J172,IF([3]回答表!AA43="○",[3]回答表!J219,"")),"")</f>
        <v/>
      </c>
      <c r="V94" s="119"/>
      <c r="W94" s="119"/>
      <c r="X94" s="119"/>
      <c r="Y94" s="119"/>
      <c r="Z94" s="119"/>
      <c r="AA94" s="119"/>
      <c r="AB94" s="120"/>
      <c r="AC94" s="118" t="str">
        <f>IF([3]回答表!F17="水道事業",IF([3]回答表!X43="○",[3]回答表!J176,IF([3]回答表!AA43="○",[3]回答表!J223,"")),"")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IF([3]回答表!F17="水道事業",IF([3]回答表!AD43="○","○",""),"")</f>
        <v/>
      </c>
      <c r="O99" s="98"/>
      <c r="P99" s="98"/>
      <c r="Q99" s="99"/>
      <c r="R99" s="39"/>
      <c r="S99" s="39"/>
      <c r="T99" s="39"/>
      <c r="U99" s="106" t="str">
        <f>IF([3]回答表!F17="水道事業",IF([3]回答表!AD43="○",[3]回答表!B249,""),"")</f>
        <v/>
      </c>
      <c r="V99" s="107"/>
      <c r="W99" s="107"/>
      <c r="X99" s="107"/>
      <c r="Y99" s="107"/>
      <c r="Z99" s="107"/>
      <c r="AA99" s="107"/>
      <c r="AB99" s="107"/>
      <c r="AC99" s="107"/>
      <c r="AD99" s="107"/>
      <c r="AE99" s="107"/>
      <c r="AF99" s="107"/>
      <c r="AG99" s="107"/>
      <c r="AH99" s="107"/>
      <c r="AI99" s="107"/>
      <c r="AJ99" s="108"/>
      <c r="AK99" s="56"/>
      <c r="AL99" s="56"/>
      <c r="AM99" s="106" t="str">
        <f>IF([3]回答表!F17="水道事業",IF([3]回答表!AD43="○",[3]回答表!B255,""),"")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IF([3]回答表!F17="簡易水道事業",IF([3]回答表!X43="○","○",""),"")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IF([3]回答表!F17="簡易水道事業",IF([3]回答表!X43="○",[3]回答表!B154,IF([3]回答表!AA43="○",[3]回答表!B201,"")),"")</f>
        <v/>
      </c>
      <c r="AN111" s="107"/>
      <c r="AO111" s="107"/>
      <c r="AP111" s="107"/>
      <c r="AQ111" s="107"/>
      <c r="AR111" s="107"/>
      <c r="AS111" s="107"/>
      <c r="AT111" s="107"/>
      <c r="AU111" s="107"/>
      <c r="AV111" s="107"/>
      <c r="AW111" s="107"/>
      <c r="AX111" s="107"/>
      <c r="AY111" s="107"/>
      <c r="AZ111" s="107"/>
      <c r="BA111" s="107"/>
      <c r="BB111" s="108"/>
      <c r="BC111" s="40"/>
      <c r="BD111" s="35"/>
      <c r="BE111" s="115" t="str">
        <f>IF([3]回答表!F17="簡易水道事業",IF([3]回答表!X43="○",[3]回答表!B190,IF([3]回答表!AA43="○",[3]回答表!B238,"")),"")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IF([3]回答表!F17="簡易水道事業",IF([3]回答表!X43="○",[3]回答表!Y181,IF([3]回答表!AA43="○",[3]回答表!Y229,"")),"")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IF([3]回答表!F17="簡易水道事業",IF([3]回答表!X43="○",[3]回答表!E190,IF([3]回答表!AA43="○",[3]回答表!E238,"")),"")</f>
        <v/>
      </c>
      <c r="BF114" s="83"/>
      <c r="BG114" s="83"/>
      <c r="BH114" s="83"/>
      <c r="BI114" s="82" t="str">
        <f>IF([3]回答表!F17="簡易水道事業",IF([3]回答表!X43="○",[3]回答表!E191,IF([3]回答表!AA43="○",[3]回答表!E239,"")),"")</f>
        <v/>
      </c>
      <c r="BJ114" s="83"/>
      <c r="BK114" s="83"/>
      <c r="BL114" s="83"/>
      <c r="BM114" s="82" t="str">
        <f>IF([3]回答表!F17="簡易水道事業",IF([3]回答表!X43="○",[3]回答表!E192,IF([3]回答表!AA43="○",[3]回答表!E240,"")),"")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IF([3]回答表!F17="簡易水道事業",IF([3]回答表!AA43="○","○",""),"")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IF([3]回答表!F17="簡易水道事業",IF([3]回答表!X43="○",[3]回答表!Y182,IF([3]回答表!AA43="○",[3]回答表!Y230,"")),"")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IF([3]回答表!F17="簡易水道事業",IF([3]回答表!AD43="○","○",""),"")</f>
        <v/>
      </c>
      <c r="O123" s="98"/>
      <c r="P123" s="98"/>
      <c r="Q123" s="99"/>
      <c r="R123" s="39"/>
      <c r="S123" s="39"/>
      <c r="T123" s="39"/>
      <c r="U123" s="106" t="str">
        <f>IF([3]回答表!F17="簡易水道事業",IF([3]回答表!AD43="○",[3]回答表!B249,""),"")</f>
        <v/>
      </c>
      <c r="V123" s="107"/>
      <c r="W123" s="107"/>
      <c r="X123" s="107"/>
      <c r="Y123" s="107"/>
      <c r="Z123" s="107"/>
      <c r="AA123" s="107"/>
      <c r="AB123" s="107"/>
      <c r="AC123" s="107"/>
      <c r="AD123" s="107"/>
      <c r="AE123" s="107"/>
      <c r="AF123" s="107"/>
      <c r="AG123" s="107"/>
      <c r="AH123" s="107"/>
      <c r="AI123" s="107"/>
      <c r="AJ123" s="108"/>
      <c r="AK123" s="56"/>
      <c r="AL123" s="56"/>
      <c r="AM123" s="106" t="str">
        <f>IF([3]回答表!F17="簡易水道事業",IF([3]回答表!AD43="○",[3]回答表!B255,""),"")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IF([3]回答表!F17="下水道事業",IF([3]回答表!X43="○","○",""),"")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IF([3]回答表!F17="下水道事業",IF([3]回答表!X43="○",[3]回答表!B154,IF([3]回答表!AA43="○",[3]回答表!B201,"")),"")</f>
        <v>昨年度、神岡東部・薬師・払田・福田の４処理場を流域下水道へ接続するための実施設計を発注し、今年度、接続工事を発注予定。</v>
      </c>
      <c r="AN135" s="107"/>
      <c r="AO135" s="107"/>
      <c r="AP135" s="107"/>
      <c r="AQ135" s="107"/>
      <c r="AR135" s="107"/>
      <c r="AS135" s="107"/>
      <c r="AT135" s="107"/>
      <c r="AU135" s="107"/>
      <c r="AV135" s="107"/>
      <c r="AW135" s="107"/>
      <c r="AX135" s="107"/>
      <c r="AY135" s="107"/>
      <c r="AZ135" s="107"/>
      <c r="BA135" s="107"/>
      <c r="BB135" s="108"/>
      <c r="BC135" s="40"/>
      <c r="BD135" s="35"/>
      <c r="BE135" s="115" t="str">
        <f>IF([3]回答表!F17="下水道事業",IF([3]回答表!X43="○",[3]回答表!B190,IF([3]回答表!AA43="○",[3]回答表!B238,"")),"")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IF([3]回答表!F17="下水道事業",IF([3]回答表!X43="○",[3]回答表!Y184,IF([3]回答表!AA43="○",[3]回答表!Y232,"")),"")</f>
        <v>○</v>
      </c>
      <c r="V137" s="119"/>
      <c r="W137" s="119"/>
      <c r="X137" s="119"/>
      <c r="Y137" s="119"/>
      <c r="Z137" s="119"/>
      <c r="AA137" s="119"/>
      <c r="AB137" s="120"/>
      <c r="AC137" s="118" t="str">
        <f>IF([3]回答表!F17="下水道事業",IF([3]回答表!X43="○",[3]回答表!Y185,IF([3]回答表!AA43="○",[3]回答表!Y233,"")),"")</f>
        <v xml:space="preserve">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f>IF([3]回答表!F17="下水道事業",IF([3]回答表!X43="○",[3]回答表!E190,IF([3]回答表!AA43="○",[3]回答表!E238,"")),"")</f>
        <v>2</v>
      </c>
      <c r="BF138" s="83"/>
      <c r="BG138" s="83"/>
      <c r="BH138" s="83"/>
      <c r="BI138" s="82">
        <f>IF([3]回答表!F17="下水道事業",IF([3]回答表!X43="○",[3]回答表!E191,IF([3]回答表!AA43="○",[3]回答表!E239,"")),"")</f>
        <v>4</v>
      </c>
      <c r="BJ138" s="83"/>
      <c r="BK138" s="83"/>
      <c r="BL138" s="83"/>
      <c r="BM138" s="82">
        <f>IF([3]回答表!F17="下水道事業",IF([3]回答表!X43="○",[3]回答表!E192,IF([3]回答表!AA43="○",[3]回答表!E240,"")),"")</f>
        <v>1</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IF([3]回答表!F17="下水道事業",IF([3]回答表!AA43="○","○",""),"")</f>
        <v>○</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f>IF([3]回答表!F17="下水道事業",IF([3]回答表!X43="○",[3]回答表!Y186,IF([3]回答表!AA43="○",[3]回答表!Y234,"")),"")</f>
        <v>0</v>
      </c>
      <c r="V142" s="119"/>
      <c r="W142" s="119"/>
      <c r="X142" s="119"/>
      <c r="Y142" s="119"/>
      <c r="Z142" s="119"/>
      <c r="AA142" s="119"/>
      <c r="AB142" s="120"/>
      <c r="AC142" s="118">
        <f>IF([3]回答表!F17="下水道事業",IF([3]回答表!X43="○",[3]回答表!Y187,IF([3]回答表!AA43="○",[3]回答表!Y235,"")),"")</f>
        <v>0</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IF([3]回答表!F17="下水道事業",IF([3]回答表!AD43="○","○",""),"")</f>
        <v/>
      </c>
      <c r="O147" s="98"/>
      <c r="P147" s="98"/>
      <c r="Q147" s="99"/>
      <c r="R147" s="39"/>
      <c r="S147" s="39"/>
      <c r="T147" s="39"/>
      <c r="U147" s="106" t="str">
        <f>IF([3]回答表!F17="下水道事業",IF([3]回答表!AD43="○",[3]回答表!B249,""),"")</f>
        <v/>
      </c>
      <c r="V147" s="107"/>
      <c r="W147" s="107"/>
      <c r="X147" s="107"/>
      <c r="Y147" s="107"/>
      <c r="Z147" s="107"/>
      <c r="AA147" s="107"/>
      <c r="AB147" s="107"/>
      <c r="AC147" s="107"/>
      <c r="AD147" s="107"/>
      <c r="AE147" s="107"/>
      <c r="AF147" s="107"/>
      <c r="AG147" s="107"/>
      <c r="AH147" s="107"/>
      <c r="AI147" s="107"/>
      <c r="AJ147" s="108"/>
      <c r="AK147" s="56"/>
      <c r="AL147" s="56"/>
      <c r="AM147" s="106" t="str">
        <f>IF([3]回答表!F17="下水道事業",IF([3]回答表!AD43="○",[3]回答表!B255,""),"")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IF([3]回答表!BD17="○",IF([3]回答表!X43="○","○",""),"")</f>
        <v/>
      </c>
      <c r="O159" s="98"/>
      <c r="P159" s="98"/>
      <c r="Q159" s="99"/>
      <c r="R159" s="39"/>
      <c r="S159" s="39"/>
      <c r="T159" s="39"/>
      <c r="U159" s="106" t="str">
        <f>IF([3]回答表!BD17="○",IF([3]回答表!X43="○",[3]回答表!B154,IF([3]回答表!AA43="○",[3]回答表!B201,"")),"")</f>
        <v/>
      </c>
      <c r="V159" s="107"/>
      <c r="W159" s="107"/>
      <c r="X159" s="107"/>
      <c r="Y159" s="107"/>
      <c r="Z159" s="107"/>
      <c r="AA159" s="107"/>
      <c r="AB159" s="107"/>
      <c r="AC159" s="107"/>
      <c r="AD159" s="107"/>
      <c r="AE159" s="107"/>
      <c r="AF159" s="107"/>
      <c r="AG159" s="107"/>
      <c r="AH159" s="107"/>
      <c r="AI159" s="107"/>
      <c r="AJ159" s="108"/>
      <c r="AK159" s="50"/>
      <c r="AL159" s="50"/>
      <c r="AM159" s="115" t="str">
        <f>IF([3]回答表!BD17="○",IF([3]回答表!X43="○",[3]回答表!B190,IF([3]回答表!AA43="○",[3]回答表!B238,"")),"")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IF([3]回答表!BD17="○",IF([3]回答表!X43="○",[3]回答表!E190,IF([3]回答表!AA43="○",[3]回答表!E238,"")),"")</f>
        <v/>
      </c>
      <c r="AN162" s="83"/>
      <c r="AO162" s="83"/>
      <c r="AP162" s="83"/>
      <c r="AQ162" s="82" t="str">
        <f>IF([3]回答表!BD17="○",IF([3]回答表!X43="○",[3]回答表!E191,IF([3]回答表!AA43="○",[3]回答表!E239,"")),"")</f>
        <v/>
      </c>
      <c r="AR162" s="83"/>
      <c r="AS162" s="83"/>
      <c r="AT162" s="83"/>
      <c r="AU162" s="82" t="str">
        <f>IF([3]回答表!BD17="○",IF([3]回答表!X43="○",[3]回答表!E192,IF([3]回答表!AA43="○",[3]回答表!E240,"")),"")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IF([3]回答表!BD17="○",IF([3]回答表!AA43="○","○",""),"")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IF([3]回答表!BD17="○",IF([3]回答表!AD43="○","○",""),"")</f>
        <v/>
      </c>
      <c r="O171" s="98"/>
      <c r="P171" s="98"/>
      <c r="Q171" s="99"/>
      <c r="R171" s="39"/>
      <c r="S171" s="39"/>
      <c r="T171" s="39"/>
      <c r="U171" s="106" t="str">
        <f>IF([3]回答表!BD17="○",IF([3]回答表!AD43="○",[3]回答表!B249,""),"")</f>
        <v/>
      </c>
      <c r="V171" s="107"/>
      <c r="W171" s="107"/>
      <c r="X171" s="107"/>
      <c r="Y171" s="107"/>
      <c r="Z171" s="107"/>
      <c r="AA171" s="107"/>
      <c r="AB171" s="107"/>
      <c r="AC171" s="107"/>
      <c r="AD171" s="107"/>
      <c r="AE171" s="107"/>
      <c r="AF171" s="107"/>
      <c r="AG171" s="107"/>
      <c r="AH171" s="107"/>
      <c r="AI171" s="107"/>
      <c r="AJ171" s="108"/>
      <c r="AK171" s="56"/>
      <c r="AL171" s="56"/>
      <c r="AM171" s="106" t="str">
        <f>IF([3]回答表!BD17="○",IF([3]回答表!AD43="○",[3]回答表!B255,""),"")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IF([3]回答表!X44="○","○","")</f>
        <v/>
      </c>
      <c r="O183" s="98"/>
      <c r="P183" s="98"/>
      <c r="Q183" s="99"/>
      <c r="R183" s="39"/>
      <c r="S183" s="39"/>
      <c r="T183" s="39"/>
      <c r="U183" s="106" t="str">
        <f>IF([3]回答表!X44="○",[3]回答表!B266,IF([3]回答表!AA44="○",[3]回答表!B283,""))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IF([3]回答表!X44="○",[3]回答表!U272,IF([3]回答表!AA44="○",[3]回答表!U289,""))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IF([3]回答表!X44="○",[3]回答表!G272,IF([3]回答表!AA44="○",[3]回答表!G289,""))</f>
        <v/>
      </c>
      <c r="AN186" s="119"/>
      <c r="AO186" s="119"/>
      <c r="AP186" s="119"/>
      <c r="AQ186" s="119"/>
      <c r="AR186" s="119"/>
      <c r="AS186" s="119"/>
      <c r="AT186" s="120"/>
      <c r="AU186" s="118" t="str">
        <f>IF([3]回答表!X44="○",[3]回答表!G273,IF([3]回答表!AA44="○",[3]回答表!G290,""))</f>
        <v/>
      </c>
      <c r="AV186" s="119"/>
      <c r="AW186" s="119"/>
      <c r="AX186" s="119"/>
      <c r="AY186" s="119"/>
      <c r="AZ186" s="119"/>
      <c r="BA186" s="119"/>
      <c r="BB186" s="120"/>
      <c r="BC186" s="40"/>
      <c r="BD186" s="35"/>
      <c r="BE186" s="82" t="str">
        <f>IF([3]回答表!X44="○",[3]回答表!X272,IF([3]回答表!AA44="○",[3]回答表!X289,""))</f>
        <v/>
      </c>
      <c r="BF186" s="83"/>
      <c r="BG186" s="83"/>
      <c r="BH186" s="83"/>
      <c r="BI186" s="82" t="str">
        <f>IF([3]回答表!X44="○",[3]回答表!X273,IF([3]回答表!AA44="○",[3]回答表!X290,""))</f>
        <v/>
      </c>
      <c r="BJ186" s="83"/>
      <c r="BK186" s="83"/>
      <c r="BL186" s="86"/>
      <c r="BM186" s="82" t="str">
        <f>IF([3]回答表!X44="○",[3]回答表!X274,IF([3]回答表!AA44="○",[3]回答表!X291,""))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IF([3]回答表!AD44="○","○","")</f>
        <v/>
      </c>
      <c r="O195" s="98"/>
      <c r="P195" s="98"/>
      <c r="Q195" s="99"/>
      <c r="R195" s="39"/>
      <c r="S195" s="39"/>
      <c r="T195" s="39"/>
      <c r="U195" s="106" t="str">
        <f>IF([3]回答表!AD44="○",[3]回答表!B296,"")</f>
        <v/>
      </c>
      <c r="V195" s="107"/>
      <c r="W195" s="107"/>
      <c r="X195" s="107"/>
      <c r="Y195" s="107"/>
      <c r="Z195" s="107"/>
      <c r="AA195" s="107"/>
      <c r="AB195" s="107"/>
      <c r="AC195" s="107"/>
      <c r="AD195" s="107"/>
      <c r="AE195" s="107"/>
      <c r="AF195" s="107"/>
      <c r="AG195" s="107"/>
      <c r="AH195" s="107"/>
      <c r="AI195" s="107"/>
      <c r="AJ195" s="108"/>
      <c r="AK195" s="61"/>
      <c r="AL195" s="61"/>
      <c r="AM195" s="106" t="str">
        <f>IF([3]回答表!AD44="○",[3]回答表!B302,"")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IF([3]回答表!X45="○","○","")</f>
        <v/>
      </c>
      <c r="O207" s="98"/>
      <c r="P207" s="98"/>
      <c r="Q207" s="99"/>
      <c r="R207" s="39"/>
      <c r="S207" s="39"/>
      <c r="T207" s="39"/>
      <c r="U207" s="106" t="str">
        <f>IF([3]回答表!X45="○",[3]回答表!B314,IF([3]回答表!AA45="○",[3]回答表!B337,""))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IF([3]回答表!X45="○",[3]回答表!B320,"")</f>
        <v/>
      </c>
      <c r="AO207" s="164"/>
      <c r="AP207" s="164"/>
      <c r="AQ207" s="164"/>
      <c r="AR207" s="164"/>
      <c r="AS207" s="164"/>
      <c r="AT207" s="164"/>
      <c r="AU207" s="164"/>
      <c r="AV207" s="164"/>
      <c r="AW207" s="164"/>
      <c r="AX207" s="164"/>
      <c r="AY207" s="164"/>
      <c r="AZ207" s="164"/>
      <c r="BA207" s="164"/>
      <c r="BB207" s="165"/>
      <c r="BC207" s="40"/>
      <c r="BD207" s="35"/>
      <c r="BE207" s="115" t="str">
        <f>IF([3]回答表!X45="○",[3]回答表!B326,IF([3]回答表!AA45="○",[3]回答表!B343,""))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IF([3]回答表!X45="○",[3]回答表!E326,IF([3]回答表!AA45="○",[3]回答表!E343,""))</f>
        <v/>
      </c>
      <c r="BF210" s="83"/>
      <c r="BG210" s="83"/>
      <c r="BH210" s="83"/>
      <c r="BI210" s="82" t="str">
        <f>IF([3]回答表!X45="○",[3]回答表!E327,IF([3]回答表!AA45="○",[3]回答表!E344,""))</f>
        <v/>
      </c>
      <c r="BJ210" s="83"/>
      <c r="BK210" s="83"/>
      <c r="BL210" s="86"/>
      <c r="BM210" s="82" t="str">
        <f>IF([3]回答表!X45="○",[3]回答表!E328,IF([3]回答表!AA45="○",[3]回答表!E345,""))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IF([3]回答表!AD45="○","○","")</f>
        <v/>
      </c>
      <c r="O219" s="98"/>
      <c r="P219" s="98"/>
      <c r="Q219" s="99"/>
      <c r="R219" s="39"/>
      <c r="S219" s="39"/>
      <c r="T219" s="39"/>
      <c r="U219" s="106" t="str">
        <f>IF([3]回答表!AD45="○",[3]回答表!B350,"")</f>
        <v/>
      </c>
      <c r="V219" s="107"/>
      <c r="W219" s="107"/>
      <c r="X219" s="107"/>
      <c r="Y219" s="107"/>
      <c r="Z219" s="107"/>
      <c r="AA219" s="107"/>
      <c r="AB219" s="107"/>
      <c r="AC219" s="107"/>
      <c r="AD219" s="107"/>
      <c r="AE219" s="107"/>
      <c r="AF219" s="107"/>
      <c r="AG219" s="107"/>
      <c r="AH219" s="107"/>
      <c r="AI219" s="107"/>
      <c r="AJ219" s="108"/>
      <c r="AK219" s="61"/>
      <c r="AL219" s="61"/>
      <c r="AM219" s="106" t="str">
        <f>IF([3]回答表!AD45="○",[3]回答表!B356,"")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IF([3]回答表!X46="○","○","")</f>
        <v/>
      </c>
      <c r="O231" s="98"/>
      <c r="P231" s="98"/>
      <c r="Q231" s="99"/>
      <c r="R231" s="39"/>
      <c r="S231" s="39"/>
      <c r="T231" s="39"/>
      <c r="U231" s="106" t="str">
        <f>IF([3]回答表!X46="○",[3]回答表!B368,IF([3]回答表!AA46="○",[3]回答表!B382,""))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IF([3]回答表!X46="○",[3]回答表!BC375,IF([3]回答表!AA46="○",[3]回答表!BC389,""))</f>
        <v/>
      </c>
      <c r="AR231" s="150"/>
      <c r="AS231" s="150"/>
      <c r="AT231" s="150"/>
      <c r="AU231" s="155" t="s">
        <v>63</v>
      </c>
      <c r="AV231" s="156"/>
      <c r="AW231" s="156"/>
      <c r="AX231" s="157"/>
      <c r="AY231" s="150" t="str">
        <f>IF([3]回答表!X46="○",[3]回答表!BC380,IF([3]回答表!AA46="○",[3]回答表!BC394,""))</f>
        <v/>
      </c>
      <c r="AZ231" s="150"/>
      <c r="BA231" s="150"/>
      <c r="BB231" s="150"/>
      <c r="BC231" s="40"/>
      <c r="BD231" s="35"/>
      <c r="BE231" s="115" t="str">
        <f>IF([3]回答表!X46="○",[3]回答表!S374,IF([3]回答表!AA46="○",[3]回答表!S388,""))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IF([3]回答表!X46="○",[3]回答表!BC376,IF([3]回答表!AA46="○",[3]回答表!BC390,""))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IF([3]回答表!X46="○",[3]回答表!V374,IF([3]回答表!AA46="○",[3]回答表!V388,""))</f>
        <v/>
      </c>
      <c r="BF234" s="83"/>
      <c r="BG234" s="83"/>
      <c r="BH234" s="83"/>
      <c r="BI234" s="82" t="str">
        <f>IF([3]回答表!X46="○",[3]回答表!V375,IF([3]回答表!AA46="○",[3]回答表!V389,""))</f>
        <v/>
      </c>
      <c r="BJ234" s="83"/>
      <c r="BK234" s="83"/>
      <c r="BL234" s="86"/>
      <c r="BM234" s="82" t="str">
        <f>IF([3]回答表!X46="○",[3]回答表!V376,IF([3]回答表!AA46="○",[3]回答表!V390,""))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IF([3]回答表!X46="○",[3]回答表!BC377,IF([3]回答表!AA46="○",[3]回答表!BC391,""))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IF([3]回答表!X46="○",[3]回答表!BC381,IF([3]回答表!AA46="○",[3]回答表!BC395,""))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IF([3]回答表!X46="○",[3]回答表!BC378,IF([3]回答表!AA46="○",[3]回答表!BC392,""))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IF([3]回答表!X46="○",[3]回答表!BC379,IF([3]回答表!AA46="○",[3]回答表!BC393,""))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IF([3]回答表!AD46="○","○","")</f>
        <v/>
      </c>
      <c r="O243" s="98"/>
      <c r="P243" s="98"/>
      <c r="Q243" s="99"/>
      <c r="R243" s="39"/>
      <c r="S243" s="39"/>
      <c r="T243" s="39"/>
      <c r="U243" s="106" t="str">
        <f>IF([3]回答表!AD46="○",[3]回答表!B396,"")</f>
        <v/>
      </c>
      <c r="V243" s="107"/>
      <c r="W243" s="107"/>
      <c r="X243" s="107"/>
      <c r="Y243" s="107"/>
      <c r="Z243" s="107"/>
      <c r="AA243" s="107"/>
      <c r="AB243" s="107"/>
      <c r="AC243" s="107"/>
      <c r="AD243" s="107"/>
      <c r="AE243" s="107"/>
      <c r="AF243" s="107"/>
      <c r="AG243" s="107"/>
      <c r="AH243" s="107"/>
      <c r="AI243" s="107"/>
      <c r="AJ243" s="108"/>
      <c r="AK243" s="56"/>
      <c r="AL243" s="56"/>
      <c r="AM243" s="106" t="str">
        <f>IF([3]回答表!AD46="○",[3]回答表!B402,"")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IF([3]回答表!X47="○","○","")</f>
        <v/>
      </c>
      <c r="O254" s="98"/>
      <c r="P254" s="98"/>
      <c r="Q254" s="99"/>
      <c r="R254" s="39"/>
      <c r="S254" s="39"/>
      <c r="T254" s="39"/>
      <c r="U254" s="106" t="str">
        <f>IF([3]回答表!X47="○",[3]回答表!B414,IF([3]回答表!AA47="○",[3]回答表!B431,""))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IF([3]回答表!X47="○",[3]回答表!B424,IF([3]回答表!AA47="○",[3]回答表!B441,""))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IF([3]回答表!X47="○",[3]回答表!G420,IF([3]回答表!AA47="○",[3]回答表!G437,""))</f>
        <v/>
      </c>
      <c r="AN256" s="119"/>
      <c r="AO256" s="119"/>
      <c r="AP256" s="119"/>
      <c r="AQ256" s="119"/>
      <c r="AR256" s="119"/>
      <c r="AS256" s="119"/>
      <c r="AT256" s="120"/>
      <c r="AU256" s="118" t="str">
        <f>IF([3]回答表!X47="○",[3]回答表!G421,IF([3]回答表!AA47="○",[3]回答表!G438,""))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IF([3]回答表!X47="○",[3]回答表!E424,IF([3]回答表!AA47="○",[3]回答表!E441,""))</f>
        <v/>
      </c>
      <c r="BF257" s="83"/>
      <c r="BG257" s="83"/>
      <c r="BH257" s="83"/>
      <c r="BI257" s="82" t="str">
        <f>IF([3]回答表!X47="○",[3]回答表!E425,IF([3]回答表!AA47="○",[3]回答表!E442,""))</f>
        <v/>
      </c>
      <c r="BJ257" s="83"/>
      <c r="BK257" s="83"/>
      <c r="BL257" s="86"/>
      <c r="BM257" s="82" t="str">
        <f>IF([3]回答表!X47="○",[3]回答表!E426,IF([3]回答表!AA47="○",[3]回答表!E443,""))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IF([3]回答表!AD47="○","○","")</f>
        <v/>
      </c>
      <c r="O266" s="98"/>
      <c r="P266" s="98"/>
      <c r="Q266" s="99"/>
      <c r="R266" s="39"/>
      <c r="S266" s="39"/>
      <c r="T266" s="39"/>
      <c r="U266" s="106" t="str">
        <f>IF([3]回答表!AD47="○",[3]回答表!B448,"")</f>
        <v/>
      </c>
      <c r="V266" s="107"/>
      <c r="W266" s="107"/>
      <c r="X266" s="107"/>
      <c r="Y266" s="107"/>
      <c r="Z266" s="107"/>
      <c r="AA266" s="107"/>
      <c r="AB266" s="107"/>
      <c r="AC266" s="107"/>
      <c r="AD266" s="107"/>
      <c r="AE266" s="107"/>
      <c r="AF266" s="107"/>
      <c r="AG266" s="107"/>
      <c r="AH266" s="107"/>
      <c r="AI266" s="107"/>
      <c r="AJ266" s="108"/>
      <c r="AK266" s="50"/>
      <c r="AL266" s="50"/>
      <c r="AM266" s="106" t="str">
        <f>IF([3]回答表!AD47="○",[3]回答表!B454,"")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IF([3]回答表!R48="○",[3]回答表!B467,"")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9"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CFF66-7710-4941-BCE8-3823850898AC}">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IF(COUNTIF([2]回答表!K15,"*")&gt;0,[2]回答表!K15,"")</f>
        <v>大仙市</v>
      </c>
      <c r="D11" s="264"/>
      <c r="E11" s="264"/>
      <c r="F11" s="264"/>
      <c r="G11" s="264"/>
      <c r="H11" s="264"/>
      <c r="I11" s="264"/>
      <c r="J11" s="264"/>
      <c r="K11" s="264"/>
      <c r="L11" s="264"/>
      <c r="M11" s="264"/>
      <c r="N11" s="264"/>
      <c r="O11" s="264"/>
      <c r="P11" s="264"/>
      <c r="Q11" s="264"/>
      <c r="R11" s="264"/>
      <c r="S11" s="264"/>
      <c r="T11" s="264"/>
      <c r="U11" s="271" t="str">
        <f>IF(COUNTIF([2]回答表!F17,"*")&gt;0,[2]回答表!F17,"")</f>
        <v>下水道事業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IF(COUNTIF([2]回答表!W17,"*")&gt;0,[2]回答表!W17,"")</f>
        <v>特定地域排水処理施設</v>
      </c>
      <c r="AP11" s="266"/>
      <c r="AQ11" s="266"/>
      <c r="AR11" s="266"/>
      <c r="AS11" s="266"/>
      <c r="AT11" s="266"/>
      <c r="AU11" s="266"/>
      <c r="AV11" s="266"/>
      <c r="AW11" s="266"/>
      <c r="AX11" s="266"/>
      <c r="AY11" s="266"/>
      <c r="AZ11" s="266"/>
      <c r="BA11" s="266"/>
      <c r="BB11" s="266"/>
      <c r="BC11" s="266"/>
      <c r="BD11" s="266"/>
      <c r="BE11" s="267"/>
      <c r="BF11" s="270" t="str">
        <f>IF(COUNTIF([2]回答表!F19,"*")&gt;0,[2]回答表!F19,"")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IF([2]回答表!R41="○","○","")</f>
        <v/>
      </c>
      <c r="E24" s="122"/>
      <c r="F24" s="122"/>
      <c r="G24" s="122"/>
      <c r="H24" s="122"/>
      <c r="I24" s="122"/>
      <c r="J24" s="123"/>
      <c r="K24" s="121" t="str">
        <f>IF([2]回答表!R42="○","○","")</f>
        <v/>
      </c>
      <c r="L24" s="122"/>
      <c r="M24" s="122"/>
      <c r="N24" s="122"/>
      <c r="O24" s="122"/>
      <c r="P24" s="122"/>
      <c r="Q24" s="123"/>
      <c r="R24" s="121" t="str">
        <f>IF([2]回答表!R43="○","○","")</f>
        <v/>
      </c>
      <c r="S24" s="122"/>
      <c r="T24" s="122"/>
      <c r="U24" s="122"/>
      <c r="V24" s="122"/>
      <c r="W24" s="122"/>
      <c r="X24" s="123"/>
      <c r="Y24" s="121" t="str">
        <f>IF([2]回答表!R44="○","○","")</f>
        <v/>
      </c>
      <c r="Z24" s="122"/>
      <c r="AA24" s="122"/>
      <c r="AB24" s="122"/>
      <c r="AC24" s="122"/>
      <c r="AD24" s="122"/>
      <c r="AE24" s="123"/>
      <c r="AF24" s="121" t="str">
        <f>IF([2]回答表!R45="○","○","")</f>
        <v/>
      </c>
      <c r="AG24" s="122"/>
      <c r="AH24" s="122"/>
      <c r="AI24" s="122"/>
      <c r="AJ24" s="122"/>
      <c r="AK24" s="122"/>
      <c r="AL24" s="123"/>
      <c r="AM24" s="121" t="str">
        <f>IF([2]回答表!R46="○","○","")</f>
        <v/>
      </c>
      <c r="AN24" s="122"/>
      <c r="AO24" s="122"/>
      <c r="AP24" s="122"/>
      <c r="AQ24" s="122"/>
      <c r="AR24" s="122"/>
      <c r="AS24" s="123"/>
      <c r="AT24" s="121" t="str">
        <f>IF([2]回答表!R47="○","○","")</f>
        <v/>
      </c>
      <c r="AU24" s="122"/>
      <c r="AV24" s="122"/>
      <c r="AW24" s="122"/>
      <c r="AX24" s="122"/>
      <c r="AY24" s="122"/>
      <c r="AZ24" s="123"/>
      <c r="BA24" s="19"/>
      <c r="BB24" s="118" t="str">
        <f>IF([2]回答表!R48="○","○","")</f>
        <v>○</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IF([2]回答表!X41="○","○","")</f>
        <v/>
      </c>
      <c r="O36" s="98"/>
      <c r="P36" s="98"/>
      <c r="Q36" s="99"/>
      <c r="R36" s="39"/>
      <c r="S36" s="39"/>
      <c r="T36" s="39"/>
      <c r="U36" s="106" t="str">
        <f>IF([2]回答表!X41="○",[2]回答表!B56,IF([2]回答表!AA41="○",[2]回答表!B76,""))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IF([2]回答表!X41="○",[2]回答表!S62,IF([2]回答表!AA41="○",[2]回答表!S82,""))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IF([2]回答表!X41="○",[2]回答表!G62,IF([2]回答表!AA41="○",[2]回答表!G82,""))</f>
        <v/>
      </c>
      <c r="AN38" s="119"/>
      <c r="AO38" s="119"/>
      <c r="AP38" s="119"/>
      <c r="AQ38" s="119"/>
      <c r="AR38" s="119"/>
      <c r="AS38" s="119"/>
      <c r="AT38" s="120"/>
      <c r="AU38" s="118" t="str">
        <f>IF([2]回答表!X41="○",[2]回答表!G63,IF([2]回答表!AA41="○",[2]回答表!G83,""))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IF([2]回答表!X41="○",[2]回答表!V62,IF([2]回答表!AA41="○",[2]回答表!V82,""))</f>
        <v/>
      </c>
      <c r="BF39" s="217"/>
      <c r="BG39" s="217"/>
      <c r="BH39" s="218"/>
      <c r="BI39" s="82" t="str">
        <f>IF([2]回答表!X41="○",[2]回答表!V63,IF([2]回答表!AA41="○",[2]回答表!V83,""))</f>
        <v/>
      </c>
      <c r="BJ39" s="217"/>
      <c r="BK39" s="217"/>
      <c r="BL39" s="218"/>
      <c r="BM39" s="82" t="str">
        <f>IF([2]回答表!X41="○",[2]回答表!V64,IF([2]回答表!AA41="○",[2]回答表!V84,""))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IF([2]回答表!X41="○",[2]回答表!O68,IF([2]回答表!AA41="○",[2]回答表!O88,""))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IF([2]回答表!X41="○",[2]回答表!O69,IF([2]回答表!AA41="○",[2]回答表!O89,""))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IF([2]回答表!X41="○",[2]回答表!O70,IF([2]回答表!AA41="○",[2]回答表!O90,""))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IF([2]回答表!X41="○",[2]回答表!O71,IF([2]回答表!AA41="○",[2]回答表!O91,""))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IF([2]回答表!X41="○",[2]回答表!AG68,IF([2]回答表!AA41="○",[2]回答表!AG88,""))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IF([2]回答表!X41="○",[2]回答表!AG69,IF([2]回答表!AA41="○",[2]回答表!AG89,""))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IF([2]回答表!X41="○",[2]回答表!AG70,IF([2]回答表!AA41="○",[2]回答表!AG90,""))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IF([2]回答表!AD41="○","○","")</f>
        <v/>
      </c>
      <c r="O52" s="98"/>
      <c r="P52" s="98"/>
      <c r="Q52" s="99"/>
      <c r="R52" s="39"/>
      <c r="S52" s="39"/>
      <c r="T52" s="39"/>
      <c r="U52" s="106" t="str">
        <f>IF([2]回答表!AD41="○",[2]回答表!B96,"")</f>
        <v/>
      </c>
      <c r="V52" s="107"/>
      <c r="W52" s="107"/>
      <c r="X52" s="107"/>
      <c r="Y52" s="107"/>
      <c r="Z52" s="107"/>
      <c r="AA52" s="107"/>
      <c r="AB52" s="107"/>
      <c r="AC52" s="107"/>
      <c r="AD52" s="107"/>
      <c r="AE52" s="107"/>
      <c r="AF52" s="107"/>
      <c r="AG52" s="107"/>
      <c r="AH52" s="107"/>
      <c r="AI52" s="107"/>
      <c r="AJ52" s="108"/>
      <c r="AK52" s="56"/>
      <c r="AL52" s="56"/>
      <c r="AM52" s="106" t="str">
        <f>IF([2]回答表!AD41="○",[2]回答表!B101,"")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IF([2]回答表!X42="○","○","")</f>
        <v/>
      </c>
      <c r="O63" s="98"/>
      <c r="P63" s="98"/>
      <c r="Q63" s="99"/>
      <c r="R63" s="39"/>
      <c r="S63" s="39"/>
      <c r="T63" s="39"/>
      <c r="U63" s="106" t="str">
        <f>IF([2]回答表!X42="○",[2]回答表!B111,IF([2]回答表!AA42="○",[2]回答表!B124,""))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IF([2]回答表!X42="○",[2]回答表!S117,IF([2]回答表!AA42="○",[2]回答表!S130,""))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IF([2]回答表!X42="○",[2]回答表!J117,IF([2]回答表!AA42="○",[2]回答表!J130,""))</f>
        <v/>
      </c>
      <c r="AN66" s="119"/>
      <c r="AO66" s="119"/>
      <c r="AP66" s="119"/>
      <c r="AQ66" s="119"/>
      <c r="AR66" s="119"/>
      <c r="AS66" s="119"/>
      <c r="AT66" s="120"/>
      <c r="AU66" s="118" t="str">
        <f>IF([2]回答表!X42="○",[2]回答表!J118,IF([2]回答表!AA42="○",[2]回答表!J131,""))</f>
        <v/>
      </c>
      <c r="AV66" s="119"/>
      <c r="AW66" s="119"/>
      <c r="AX66" s="119"/>
      <c r="AY66" s="119"/>
      <c r="AZ66" s="119"/>
      <c r="BA66" s="119"/>
      <c r="BB66" s="120"/>
      <c r="BC66" s="40"/>
      <c r="BD66" s="35"/>
      <c r="BE66" s="82" t="str">
        <f>IF([2]回答表!X42="○",[2]回答表!V117,IF([2]回答表!AA42="○",[2]回答表!V130,""))</f>
        <v/>
      </c>
      <c r="BF66" s="83"/>
      <c r="BG66" s="83"/>
      <c r="BH66" s="83"/>
      <c r="BI66" s="82" t="str">
        <f>IF([2]回答表!X42="○",[2]回答表!V118,IF([2]回答表!AA42="○",[2]回答表!V131,""))</f>
        <v/>
      </c>
      <c r="BJ66" s="83"/>
      <c r="BK66" s="83"/>
      <c r="BL66" s="83"/>
      <c r="BM66" s="82" t="str">
        <f>IF([2]回答表!X42="○",[2]回答表!V119,IF([2]回答表!AA42="○",[2]回答表!V132,""))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IF([2]回答表!AD42="○","○","")</f>
        <v/>
      </c>
      <c r="O75" s="98"/>
      <c r="P75" s="98"/>
      <c r="Q75" s="99"/>
      <c r="R75" s="39"/>
      <c r="S75" s="39"/>
      <c r="T75" s="39"/>
      <c r="U75" s="106" t="str">
        <f>IF([2]回答表!AD42="○",[2]回答表!B137,"")</f>
        <v/>
      </c>
      <c r="V75" s="107"/>
      <c r="W75" s="107"/>
      <c r="X75" s="107"/>
      <c r="Y75" s="107"/>
      <c r="Z75" s="107"/>
      <c r="AA75" s="107"/>
      <c r="AB75" s="107"/>
      <c r="AC75" s="107"/>
      <c r="AD75" s="107"/>
      <c r="AE75" s="107"/>
      <c r="AF75" s="107"/>
      <c r="AG75" s="107"/>
      <c r="AH75" s="107"/>
      <c r="AI75" s="107"/>
      <c r="AJ75" s="108"/>
      <c r="AK75" s="56"/>
      <c r="AL75" s="56"/>
      <c r="AM75" s="106" t="str">
        <f>IF([2]回答表!AD42="○",[2]回答表!B143,"")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IF([2]回答表!F17="水道事業",IF([2]回答表!X43="○","○",""),"")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IF([2]回答表!F17="水道事業",IF([2]回答表!X43="○",[2]回答表!B154,IF([2]回答表!AA43="○",[2]回答表!B201,"")),"")</f>
        <v/>
      </c>
      <c r="AN87" s="107"/>
      <c r="AO87" s="107"/>
      <c r="AP87" s="107"/>
      <c r="AQ87" s="107"/>
      <c r="AR87" s="107"/>
      <c r="AS87" s="107"/>
      <c r="AT87" s="107"/>
      <c r="AU87" s="107"/>
      <c r="AV87" s="107"/>
      <c r="AW87" s="107"/>
      <c r="AX87" s="107"/>
      <c r="AY87" s="107"/>
      <c r="AZ87" s="107"/>
      <c r="BA87" s="107"/>
      <c r="BB87" s="108"/>
      <c r="BC87" s="40"/>
      <c r="BD87" s="35"/>
      <c r="BE87" s="115" t="str">
        <f>IF([2]回答表!F17="水道事業",IF([2]回答表!X43="○",[2]回答表!B190,IF([2]回答表!AA43="○",[2]回答表!B238,"")),"")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IF([2]回答表!F17="水道事業",IF([2]回答表!X43="○",[2]回答表!J162,IF([2]回答表!AA43="○",[2]回答表!J209,"")),"")</f>
        <v/>
      </c>
      <c r="V89" s="119"/>
      <c r="W89" s="119"/>
      <c r="X89" s="119"/>
      <c r="Y89" s="119"/>
      <c r="Z89" s="119"/>
      <c r="AA89" s="119"/>
      <c r="AB89" s="120"/>
      <c r="AC89" s="118" t="str">
        <f>IF([2]回答表!F17="水道事業",IF([2]回答表!X43="○",[2]回答表!J169,IF([2]回答表!AA43="○",[2]回答表!J216,"")),"")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IF([2]回答表!F17="水道事業",IF([2]回答表!X43="○",[2]回答表!E190,IF([2]回答表!AA43="○",[2]回答表!E238,"")),"")</f>
        <v/>
      </c>
      <c r="BF90" s="83"/>
      <c r="BG90" s="83"/>
      <c r="BH90" s="83"/>
      <c r="BI90" s="82" t="str">
        <f>IF([2]回答表!F17="水道事業",IF([2]回答表!X43="○",[2]回答表!E191,IF([2]回答表!AA43="○",[2]回答表!E239,"")),"")</f>
        <v/>
      </c>
      <c r="BJ90" s="83"/>
      <c r="BK90" s="83"/>
      <c r="BL90" s="83"/>
      <c r="BM90" s="82" t="str">
        <f>IF([2]回答表!F17="水道事業",IF([2]回答表!X43="○",[2]回答表!E192,IF([2]回答表!AA43="○",[2]回答表!E240,"")),"")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IF([2]回答表!F17="水道事業",IF([2]回答表!AA43="○","○",""),"")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IF([2]回答表!F17="水道事業",IF([2]回答表!X43="○",[2]回答表!J172,IF([2]回答表!AA43="○",[2]回答表!J219,"")),"")</f>
        <v/>
      </c>
      <c r="V94" s="119"/>
      <c r="W94" s="119"/>
      <c r="X94" s="119"/>
      <c r="Y94" s="119"/>
      <c r="Z94" s="119"/>
      <c r="AA94" s="119"/>
      <c r="AB94" s="120"/>
      <c r="AC94" s="118" t="str">
        <f>IF([2]回答表!F17="水道事業",IF([2]回答表!X43="○",[2]回答表!J176,IF([2]回答表!AA43="○",[2]回答表!J223,"")),"")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IF([2]回答表!F17="水道事業",IF([2]回答表!AD43="○","○",""),"")</f>
        <v/>
      </c>
      <c r="O99" s="98"/>
      <c r="P99" s="98"/>
      <c r="Q99" s="99"/>
      <c r="R99" s="39"/>
      <c r="S99" s="39"/>
      <c r="T99" s="39"/>
      <c r="U99" s="106" t="str">
        <f>IF([2]回答表!F17="水道事業",IF([2]回答表!AD43="○",[2]回答表!B249,""),"")</f>
        <v/>
      </c>
      <c r="V99" s="107"/>
      <c r="W99" s="107"/>
      <c r="X99" s="107"/>
      <c r="Y99" s="107"/>
      <c r="Z99" s="107"/>
      <c r="AA99" s="107"/>
      <c r="AB99" s="107"/>
      <c r="AC99" s="107"/>
      <c r="AD99" s="107"/>
      <c r="AE99" s="107"/>
      <c r="AF99" s="107"/>
      <c r="AG99" s="107"/>
      <c r="AH99" s="107"/>
      <c r="AI99" s="107"/>
      <c r="AJ99" s="108"/>
      <c r="AK99" s="56"/>
      <c r="AL99" s="56"/>
      <c r="AM99" s="106" t="str">
        <f>IF([2]回答表!F17="水道事業",IF([2]回答表!AD43="○",[2]回答表!B255,""),"")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IF([2]回答表!F17="簡易水道事業",IF([2]回答表!X43="○","○",""),"")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IF([2]回答表!F17="簡易水道事業",IF([2]回答表!X43="○",[2]回答表!B154,IF([2]回答表!AA43="○",[2]回答表!B201,"")),"")</f>
        <v/>
      </c>
      <c r="AN111" s="107"/>
      <c r="AO111" s="107"/>
      <c r="AP111" s="107"/>
      <c r="AQ111" s="107"/>
      <c r="AR111" s="107"/>
      <c r="AS111" s="107"/>
      <c r="AT111" s="107"/>
      <c r="AU111" s="107"/>
      <c r="AV111" s="107"/>
      <c r="AW111" s="107"/>
      <c r="AX111" s="107"/>
      <c r="AY111" s="107"/>
      <c r="AZ111" s="107"/>
      <c r="BA111" s="107"/>
      <c r="BB111" s="108"/>
      <c r="BC111" s="40"/>
      <c r="BD111" s="35"/>
      <c r="BE111" s="115" t="str">
        <f>IF([2]回答表!F17="簡易水道事業",IF([2]回答表!X43="○",[2]回答表!B190,IF([2]回答表!AA43="○",[2]回答表!B238,"")),"")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IF([2]回答表!F17="簡易水道事業",IF([2]回答表!X43="○",[2]回答表!Y181,IF([2]回答表!AA43="○",[2]回答表!Y229,"")),"")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IF([2]回答表!F17="簡易水道事業",IF([2]回答表!X43="○",[2]回答表!E190,IF([2]回答表!AA43="○",[2]回答表!E238,"")),"")</f>
        <v/>
      </c>
      <c r="BF114" s="83"/>
      <c r="BG114" s="83"/>
      <c r="BH114" s="83"/>
      <c r="BI114" s="82" t="str">
        <f>IF([2]回答表!F17="簡易水道事業",IF([2]回答表!X43="○",[2]回答表!E191,IF([2]回答表!AA43="○",[2]回答表!E239,"")),"")</f>
        <v/>
      </c>
      <c r="BJ114" s="83"/>
      <c r="BK114" s="83"/>
      <c r="BL114" s="83"/>
      <c r="BM114" s="82" t="str">
        <f>IF([2]回答表!F17="簡易水道事業",IF([2]回答表!X43="○",[2]回答表!E192,IF([2]回答表!AA43="○",[2]回答表!E240,"")),"")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IF([2]回答表!F17="簡易水道事業",IF([2]回答表!AA43="○","○",""),"")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IF([2]回答表!F17="簡易水道事業",IF([2]回答表!X43="○",[2]回答表!Y182,IF([2]回答表!AA43="○",[2]回答表!Y230,"")),"")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IF([2]回答表!F17="簡易水道事業",IF([2]回答表!AD43="○","○",""),"")</f>
        <v/>
      </c>
      <c r="O123" s="98"/>
      <c r="P123" s="98"/>
      <c r="Q123" s="99"/>
      <c r="R123" s="39"/>
      <c r="S123" s="39"/>
      <c r="T123" s="39"/>
      <c r="U123" s="106" t="str">
        <f>IF([2]回答表!F17="簡易水道事業",IF([2]回答表!AD43="○",[2]回答表!B249,""),"")</f>
        <v/>
      </c>
      <c r="V123" s="107"/>
      <c r="W123" s="107"/>
      <c r="X123" s="107"/>
      <c r="Y123" s="107"/>
      <c r="Z123" s="107"/>
      <c r="AA123" s="107"/>
      <c r="AB123" s="107"/>
      <c r="AC123" s="107"/>
      <c r="AD123" s="107"/>
      <c r="AE123" s="107"/>
      <c r="AF123" s="107"/>
      <c r="AG123" s="107"/>
      <c r="AH123" s="107"/>
      <c r="AI123" s="107"/>
      <c r="AJ123" s="108"/>
      <c r="AK123" s="56"/>
      <c r="AL123" s="56"/>
      <c r="AM123" s="106" t="str">
        <f>IF([2]回答表!F17="簡易水道事業",IF([2]回答表!AD43="○",[2]回答表!B255,""),"")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IF([2]回答表!F17="下水道事業",IF([2]回答表!X43="○","○",""),"")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IF([2]回答表!F17="下水道事業",IF([2]回答表!X43="○",[2]回答表!B154,IF([2]回答表!AA43="○",[2]回答表!B201,"")),"")</f>
        <v/>
      </c>
      <c r="AN135" s="107"/>
      <c r="AO135" s="107"/>
      <c r="AP135" s="107"/>
      <c r="AQ135" s="107"/>
      <c r="AR135" s="107"/>
      <c r="AS135" s="107"/>
      <c r="AT135" s="107"/>
      <c r="AU135" s="107"/>
      <c r="AV135" s="107"/>
      <c r="AW135" s="107"/>
      <c r="AX135" s="107"/>
      <c r="AY135" s="107"/>
      <c r="AZ135" s="107"/>
      <c r="BA135" s="107"/>
      <c r="BB135" s="108"/>
      <c r="BC135" s="40"/>
      <c r="BD135" s="35"/>
      <c r="BE135" s="115" t="str">
        <f>IF([2]回答表!F17="下水道事業",IF([2]回答表!X43="○",[2]回答表!B190,IF([2]回答表!AA43="○",[2]回答表!B238,"")),"")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IF([2]回答表!F17="下水道事業",IF([2]回答表!X43="○",[2]回答表!Y184,IF([2]回答表!AA43="○",[2]回答表!Y232,"")),"")</f>
        <v/>
      </c>
      <c r="V137" s="119"/>
      <c r="W137" s="119"/>
      <c r="X137" s="119"/>
      <c r="Y137" s="119"/>
      <c r="Z137" s="119"/>
      <c r="AA137" s="119"/>
      <c r="AB137" s="120"/>
      <c r="AC137" s="118" t="str">
        <f>IF([2]回答表!F17="下水道事業",IF([2]回答表!X43="○",[2]回答表!Y185,IF([2]回答表!AA43="○",[2]回答表!Y233,"")),"")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IF([2]回答表!F17="下水道事業",IF([2]回答表!X43="○",[2]回答表!E190,IF([2]回答表!AA43="○",[2]回答表!E238,"")),"")</f>
        <v/>
      </c>
      <c r="BF138" s="83"/>
      <c r="BG138" s="83"/>
      <c r="BH138" s="83"/>
      <c r="BI138" s="82" t="str">
        <f>IF([2]回答表!F17="下水道事業",IF([2]回答表!X43="○",[2]回答表!E191,IF([2]回答表!AA43="○",[2]回答表!E239,"")),"")</f>
        <v/>
      </c>
      <c r="BJ138" s="83"/>
      <c r="BK138" s="83"/>
      <c r="BL138" s="83"/>
      <c r="BM138" s="82" t="str">
        <f>IF([2]回答表!F17="下水道事業",IF([2]回答表!X43="○",[2]回答表!E192,IF([2]回答表!AA43="○",[2]回答表!E240,"")),"")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IF([2]回答表!F17="下水道事業",IF([2]回答表!AA43="○","○",""),"")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IF([2]回答表!F17="下水道事業",IF([2]回答表!X43="○",[2]回答表!Y186,IF([2]回答表!AA43="○",[2]回答表!Y234,"")),"")</f>
        <v/>
      </c>
      <c r="V142" s="119"/>
      <c r="W142" s="119"/>
      <c r="X142" s="119"/>
      <c r="Y142" s="119"/>
      <c r="Z142" s="119"/>
      <c r="AA142" s="119"/>
      <c r="AB142" s="120"/>
      <c r="AC142" s="118" t="str">
        <f>IF([2]回答表!F17="下水道事業",IF([2]回答表!X43="○",[2]回答表!Y187,IF([2]回答表!AA43="○",[2]回答表!Y235,"")),"")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IF([2]回答表!F17="下水道事業",IF([2]回答表!AD43="○","○",""),"")</f>
        <v/>
      </c>
      <c r="O147" s="98"/>
      <c r="P147" s="98"/>
      <c r="Q147" s="99"/>
      <c r="R147" s="39"/>
      <c r="S147" s="39"/>
      <c r="T147" s="39"/>
      <c r="U147" s="106" t="str">
        <f>IF([2]回答表!F17="下水道事業",IF([2]回答表!AD43="○",[2]回答表!B249,""),"")</f>
        <v/>
      </c>
      <c r="V147" s="107"/>
      <c r="W147" s="107"/>
      <c r="X147" s="107"/>
      <c r="Y147" s="107"/>
      <c r="Z147" s="107"/>
      <c r="AA147" s="107"/>
      <c r="AB147" s="107"/>
      <c r="AC147" s="107"/>
      <c r="AD147" s="107"/>
      <c r="AE147" s="107"/>
      <c r="AF147" s="107"/>
      <c r="AG147" s="107"/>
      <c r="AH147" s="107"/>
      <c r="AI147" s="107"/>
      <c r="AJ147" s="108"/>
      <c r="AK147" s="56"/>
      <c r="AL147" s="56"/>
      <c r="AM147" s="106" t="str">
        <f>IF([2]回答表!F17="下水道事業",IF([2]回答表!AD43="○",[2]回答表!B255,""),"")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IF([2]回答表!BD17="○",IF([2]回答表!X43="○","○",""),"")</f>
        <v/>
      </c>
      <c r="O159" s="98"/>
      <c r="P159" s="98"/>
      <c r="Q159" s="99"/>
      <c r="R159" s="39"/>
      <c r="S159" s="39"/>
      <c r="T159" s="39"/>
      <c r="U159" s="106" t="str">
        <f>IF([2]回答表!BD17="○",IF([2]回答表!X43="○",[2]回答表!B154,IF([2]回答表!AA43="○",[2]回答表!B201,"")),"")</f>
        <v/>
      </c>
      <c r="V159" s="107"/>
      <c r="W159" s="107"/>
      <c r="X159" s="107"/>
      <c r="Y159" s="107"/>
      <c r="Z159" s="107"/>
      <c r="AA159" s="107"/>
      <c r="AB159" s="107"/>
      <c r="AC159" s="107"/>
      <c r="AD159" s="107"/>
      <c r="AE159" s="107"/>
      <c r="AF159" s="107"/>
      <c r="AG159" s="107"/>
      <c r="AH159" s="107"/>
      <c r="AI159" s="107"/>
      <c r="AJ159" s="108"/>
      <c r="AK159" s="50"/>
      <c r="AL159" s="50"/>
      <c r="AM159" s="115" t="str">
        <f>IF([2]回答表!BD17="○",IF([2]回答表!X43="○",[2]回答表!B190,IF([2]回答表!AA43="○",[2]回答表!B238,"")),"")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IF([2]回答表!BD17="○",IF([2]回答表!X43="○",[2]回答表!E190,IF([2]回答表!AA43="○",[2]回答表!E238,"")),"")</f>
        <v/>
      </c>
      <c r="AN162" s="83"/>
      <c r="AO162" s="83"/>
      <c r="AP162" s="83"/>
      <c r="AQ162" s="82" t="str">
        <f>IF([2]回答表!BD17="○",IF([2]回答表!X43="○",[2]回答表!E191,IF([2]回答表!AA43="○",[2]回答表!E239,"")),"")</f>
        <v/>
      </c>
      <c r="AR162" s="83"/>
      <c r="AS162" s="83"/>
      <c r="AT162" s="83"/>
      <c r="AU162" s="82" t="str">
        <f>IF([2]回答表!BD17="○",IF([2]回答表!X43="○",[2]回答表!E192,IF([2]回答表!AA43="○",[2]回答表!E240,"")),"")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IF([2]回答表!BD17="○",IF([2]回答表!AA43="○","○",""),"")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IF([2]回答表!BD17="○",IF([2]回答表!AD43="○","○",""),"")</f>
        <v/>
      </c>
      <c r="O171" s="98"/>
      <c r="P171" s="98"/>
      <c r="Q171" s="99"/>
      <c r="R171" s="39"/>
      <c r="S171" s="39"/>
      <c r="T171" s="39"/>
      <c r="U171" s="106" t="str">
        <f>IF([2]回答表!BD17="○",IF([2]回答表!AD43="○",[2]回答表!B249,""),"")</f>
        <v/>
      </c>
      <c r="V171" s="107"/>
      <c r="W171" s="107"/>
      <c r="X171" s="107"/>
      <c r="Y171" s="107"/>
      <c r="Z171" s="107"/>
      <c r="AA171" s="107"/>
      <c r="AB171" s="107"/>
      <c r="AC171" s="107"/>
      <c r="AD171" s="107"/>
      <c r="AE171" s="107"/>
      <c r="AF171" s="107"/>
      <c r="AG171" s="107"/>
      <c r="AH171" s="107"/>
      <c r="AI171" s="107"/>
      <c r="AJ171" s="108"/>
      <c r="AK171" s="56"/>
      <c r="AL171" s="56"/>
      <c r="AM171" s="106" t="str">
        <f>IF([2]回答表!BD17="○",IF([2]回答表!AD43="○",[2]回答表!B255,""),"")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IF([2]回答表!X44="○","○","")</f>
        <v/>
      </c>
      <c r="O183" s="98"/>
      <c r="P183" s="98"/>
      <c r="Q183" s="99"/>
      <c r="R183" s="39"/>
      <c r="S183" s="39"/>
      <c r="T183" s="39"/>
      <c r="U183" s="106" t="str">
        <f>IF([2]回答表!X44="○",[2]回答表!B266,IF([2]回答表!AA44="○",[2]回答表!B283,""))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IF([2]回答表!X44="○",[2]回答表!U272,IF([2]回答表!AA44="○",[2]回答表!U289,""))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IF([2]回答表!X44="○",[2]回答表!G272,IF([2]回答表!AA44="○",[2]回答表!G289,""))</f>
        <v/>
      </c>
      <c r="AN186" s="119"/>
      <c r="AO186" s="119"/>
      <c r="AP186" s="119"/>
      <c r="AQ186" s="119"/>
      <c r="AR186" s="119"/>
      <c r="AS186" s="119"/>
      <c r="AT186" s="120"/>
      <c r="AU186" s="118" t="str">
        <f>IF([2]回答表!X44="○",[2]回答表!G273,IF([2]回答表!AA44="○",[2]回答表!G290,""))</f>
        <v/>
      </c>
      <c r="AV186" s="119"/>
      <c r="AW186" s="119"/>
      <c r="AX186" s="119"/>
      <c r="AY186" s="119"/>
      <c r="AZ186" s="119"/>
      <c r="BA186" s="119"/>
      <c r="BB186" s="120"/>
      <c r="BC186" s="40"/>
      <c r="BD186" s="35"/>
      <c r="BE186" s="82" t="str">
        <f>IF([2]回答表!X44="○",[2]回答表!X272,IF([2]回答表!AA44="○",[2]回答表!X289,""))</f>
        <v/>
      </c>
      <c r="BF186" s="83"/>
      <c r="BG186" s="83"/>
      <c r="BH186" s="83"/>
      <c r="BI186" s="82" t="str">
        <f>IF([2]回答表!X44="○",[2]回答表!X273,IF([2]回答表!AA44="○",[2]回答表!X290,""))</f>
        <v/>
      </c>
      <c r="BJ186" s="83"/>
      <c r="BK186" s="83"/>
      <c r="BL186" s="86"/>
      <c r="BM186" s="82" t="str">
        <f>IF([2]回答表!X44="○",[2]回答表!X274,IF([2]回答表!AA44="○",[2]回答表!X291,""))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IF([2]回答表!AD44="○","○","")</f>
        <v/>
      </c>
      <c r="O195" s="98"/>
      <c r="P195" s="98"/>
      <c r="Q195" s="99"/>
      <c r="R195" s="39"/>
      <c r="S195" s="39"/>
      <c r="T195" s="39"/>
      <c r="U195" s="106" t="str">
        <f>IF([2]回答表!AD44="○",[2]回答表!B296,"")</f>
        <v/>
      </c>
      <c r="V195" s="107"/>
      <c r="W195" s="107"/>
      <c r="X195" s="107"/>
      <c r="Y195" s="107"/>
      <c r="Z195" s="107"/>
      <c r="AA195" s="107"/>
      <c r="AB195" s="107"/>
      <c r="AC195" s="107"/>
      <c r="AD195" s="107"/>
      <c r="AE195" s="107"/>
      <c r="AF195" s="107"/>
      <c r="AG195" s="107"/>
      <c r="AH195" s="107"/>
      <c r="AI195" s="107"/>
      <c r="AJ195" s="108"/>
      <c r="AK195" s="61"/>
      <c r="AL195" s="61"/>
      <c r="AM195" s="106" t="str">
        <f>IF([2]回答表!AD44="○",[2]回答表!B302,"")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IF([2]回答表!X45="○","○","")</f>
        <v/>
      </c>
      <c r="O207" s="98"/>
      <c r="P207" s="98"/>
      <c r="Q207" s="99"/>
      <c r="R207" s="39"/>
      <c r="S207" s="39"/>
      <c r="T207" s="39"/>
      <c r="U207" s="106" t="str">
        <f>IF([2]回答表!X45="○",[2]回答表!B314,IF([2]回答表!AA45="○",[2]回答表!B337,""))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IF([2]回答表!X45="○",[2]回答表!B320,"")</f>
        <v/>
      </c>
      <c r="AO207" s="164"/>
      <c r="AP207" s="164"/>
      <c r="AQ207" s="164"/>
      <c r="AR207" s="164"/>
      <c r="AS207" s="164"/>
      <c r="AT207" s="164"/>
      <c r="AU207" s="164"/>
      <c r="AV207" s="164"/>
      <c r="AW207" s="164"/>
      <c r="AX207" s="164"/>
      <c r="AY207" s="164"/>
      <c r="AZ207" s="164"/>
      <c r="BA207" s="164"/>
      <c r="BB207" s="165"/>
      <c r="BC207" s="40"/>
      <c r="BD207" s="35"/>
      <c r="BE207" s="115" t="str">
        <f>IF([2]回答表!X45="○",[2]回答表!B326,IF([2]回答表!AA45="○",[2]回答表!B343,""))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IF([2]回答表!X45="○",[2]回答表!E326,IF([2]回答表!AA45="○",[2]回答表!E343,""))</f>
        <v/>
      </c>
      <c r="BF210" s="83"/>
      <c r="BG210" s="83"/>
      <c r="BH210" s="83"/>
      <c r="BI210" s="82" t="str">
        <f>IF([2]回答表!X45="○",[2]回答表!E327,IF([2]回答表!AA45="○",[2]回答表!E344,""))</f>
        <v/>
      </c>
      <c r="BJ210" s="83"/>
      <c r="BK210" s="83"/>
      <c r="BL210" s="86"/>
      <c r="BM210" s="82" t="str">
        <f>IF([2]回答表!X45="○",[2]回答表!E328,IF([2]回答表!AA45="○",[2]回答表!E345,""))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IF([2]回答表!AD45="○","○","")</f>
        <v/>
      </c>
      <c r="O219" s="98"/>
      <c r="P219" s="98"/>
      <c r="Q219" s="99"/>
      <c r="R219" s="39"/>
      <c r="S219" s="39"/>
      <c r="T219" s="39"/>
      <c r="U219" s="106" t="str">
        <f>IF([2]回答表!AD45="○",[2]回答表!B350,"")</f>
        <v/>
      </c>
      <c r="V219" s="107"/>
      <c r="W219" s="107"/>
      <c r="X219" s="107"/>
      <c r="Y219" s="107"/>
      <c r="Z219" s="107"/>
      <c r="AA219" s="107"/>
      <c r="AB219" s="107"/>
      <c r="AC219" s="107"/>
      <c r="AD219" s="107"/>
      <c r="AE219" s="107"/>
      <c r="AF219" s="107"/>
      <c r="AG219" s="107"/>
      <c r="AH219" s="107"/>
      <c r="AI219" s="107"/>
      <c r="AJ219" s="108"/>
      <c r="AK219" s="61"/>
      <c r="AL219" s="61"/>
      <c r="AM219" s="106" t="str">
        <f>IF([2]回答表!AD45="○",[2]回答表!B356,"")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IF([2]回答表!X46="○","○","")</f>
        <v/>
      </c>
      <c r="O231" s="98"/>
      <c r="P231" s="98"/>
      <c r="Q231" s="99"/>
      <c r="R231" s="39"/>
      <c r="S231" s="39"/>
      <c r="T231" s="39"/>
      <c r="U231" s="106" t="str">
        <f>IF([2]回答表!X46="○",[2]回答表!B368,IF([2]回答表!AA46="○",[2]回答表!B382,""))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IF([2]回答表!X46="○",[2]回答表!BC375,IF([2]回答表!AA46="○",[2]回答表!BC389,""))</f>
        <v/>
      </c>
      <c r="AR231" s="150"/>
      <c r="AS231" s="150"/>
      <c r="AT231" s="150"/>
      <c r="AU231" s="155" t="s">
        <v>63</v>
      </c>
      <c r="AV231" s="156"/>
      <c r="AW231" s="156"/>
      <c r="AX231" s="157"/>
      <c r="AY231" s="150" t="str">
        <f>IF([2]回答表!X46="○",[2]回答表!BC380,IF([2]回答表!AA46="○",[2]回答表!BC394,""))</f>
        <v/>
      </c>
      <c r="AZ231" s="150"/>
      <c r="BA231" s="150"/>
      <c r="BB231" s="150"/>
      <c r="BC231" s="40"/>
      <c r="BD231" s="35"/>
      <c r="BE231" s="115" t="str">
        <f>IF([2]回答表!X46="○",[2]回答表!S374,IF([2]回答表!AA46="○",[2]回答表!S388,""))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IF([2]回答表!X46="○",[2]回答表!BC376,IF([2]回答表!AA46="○",[2]回答表!BC390,""))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IF([2]回答表!X46="○",[2]回答表!V374,IF([2]回答表!AA46="○",[2]回答表!V388,""))</f>
        <v/>
      </c>
      <c r="BF234" s="83"/>
      <c r="BG234" s="83"/>
      <c r="BH234" s="83"/>
      <c r="BI234" s="82" t="str">
        <f>IF([2]回答表!X46="○",[2]回答表!V375,IF([2]回答表!AA46="○",[2]回答表!V389,""))</f>
        <v/>
      </c>
      <c r="BJ234" s="83"/>
      <c r="BK234" s="83"/>
      <c r="BL234" s="86"/>
      <c r="BM234" s="82" t="str">
        <f>IF([2]回答表!X46="○",[2]回答表!V376,IF([2]回答表!AA46="○",[2]回答表!V390,""))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IF([2]回答表!X46="○",[2]回答表!BC377,IF([2]回答表!AA46="○",[2]回答表!BC391,""))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IF([2]回答表!X46="○",[2]回答表!BC381,IF([2]回答表!AA46="○",[2]回答表!BC395,""))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IF([2]回答表!X46="○",[2]回答表!BC378,IF([2]回答表!AA46="○",[2]回答表!BC392,""))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IF([2]回答表!X46="○",[2]回答表!BC379,IF([2]回答表!AA46="○",[2]回答表!BC393,""))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IF([2]回答表!AD46="○","○","")</f>
        <v/>
      </c>
      <c r="O243" s="98"/>
      <c r="P243" s="98"/>
      <c r="Q243" s="99"/>
      <c r="R243" s="39"/>
      <c r="S243" s="39"/>
      <c r="T243" s="39"/>
      <c r="U243" s="106" t="str">
        <f>IF([2]回答表!AD46="○",[2]回答表!B396,"")</f>
        <v/>
      </c>
      <c r="V243" s="107"/>
      <c r="W243" s="107"/>
      <c r="X243" s="107"/>
      <c r="Y243" s="107"/>
      <c r="Z243" s="107"/>
      <c r="AA243" s="107"/>
      <c r="AB243" s="107"/>
      <c r="AC243" s="107"/>
      <c r="AD243" s="107"/>
      <c r="AE243" s="107"/>
      <c r="AF243" s="107"/>
      <c r="AG243" s="107"/>
      <c r="AH243" s="107"/>
      <c r="AI243" s="107"/>
      <c r="AJ243" s="108"/>
      <c r="AK243" s="56"/>
      <c r="AL243" s="56"/>
      <c r="AM243" s="106" t="str">
        <f>IF([2]回答表!AD46="○",[2]回答表!B402,"")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IF([2]回答表!X47="○","○","")</f>
        <v/>
      </c>
      <c r="O254" s="98"/>
      <c r="P254" s="98"/>
      <c r="Q254" s="99"/>
      <c r="R254" s="39"/>
      <c r="S254" s="39"/>
      <c r="T254" s="39"/>
      <c r="U254" s="106" t="str">
        <f>IF([2]回答表!X47="○",[2]回答表!B414,IF([2]回答表!AA47="○",[2]回答表!B431,""))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IF([2]回答表!X47="○",[2]回答表!B424,IF([2]回答表!AA47="○",[2]回答表!B441,""))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IF([2]回答表!X47="○",[2]回答表!G420,IF([2]回答表!AA47="○",[2]回答表!G437,""))</f>
        <v/>
      </c>
      <c r="AN256" s="119"/>
      <c r="AO256" s="119"/>
      <c r="AP256" s="119"/>
      <c r="AQ256" s="119"/>
      <c r="AR256" s="119"/>
      <c r="AS256" s="119"/>
      <c r="AT256" s="120"/>
      <c r="AU256" s="118" t="str">
        <f>IF([2]回答表!X47="○",[2]回答表!G421,IF([2]回答表!AA47="○",[2]回答表!G438,""))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IF([2]回答表!X47="○",[2]回答表!E424,IF([2]回答表!AA47="○",[2]回答表!E441,""))</f>
        <v/>
      </c>
      <c r="BF257" s="83"/>
      <c r="BG257" s="83"/>
      <c r="BH257" s="83"/>
      <c r="BI257" s="82" t="str">
        <f>IF([2]回答表!X47="○",[2]回答表!E425,IF([2]回答表!AA47="○",[2]回答表!E442,""))</f>
        <v/>
      </c>
      <c r="BJ257" s="83"/>
      <c r="BK257" s="83"/>
      <c r="BL257" s="86"/>
      <c r="BM257" s="82" t="str">
        <f>IF([2]回答表!X47="○",[2]回答表!E426,IF([2]回答表!AA47="○",[2]回答表!E443,""))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IF([2]回答表!AD47="○","○","")</f>
        <v/>
      </c>
      <c r="O266" s="98"/>
      <c r="P266" s="98"/>
      <c r="Q266" s="99"/>
      <c r="R266" s="39"/>
      <c r="S266" s="39"/>
      <c r="T266" s="39"/>
      <c r="U266" s="106" t="str">
        <f>IF([2]回答表!AD47="○",[2]回答表!B448,"")</f>
        <v/>
      </c>
      <c r="V266" s="107"/>
      <c r="W266" s="107"/>
      <c r="X266" s="107"/>
      <c r="Y266" s="107"/>
      <c r="Z266" s="107"/>
      <c r="AA266" s="107"/>
      <c r="AB266" s="107"/>
      <c r="AC266" s="107"/>
      <c r="AD266" s="107"/>
      <c r="AE266" s="107"/>
      <c r="AF266" s="107"/>
      <c r="AG266" s="107"/>
      <c r="AH266" s="107"/>
      <c r="AI266" s="107"/>
      <c r="AJ266" s="108"/>
      <c r="AK266" s="50"/>
      <c r="AL266" s="50"/>
      <c r="AM266" s="106" t="str">
        <f>IF([2]回答表!AD47="○",[2]回答表!B454,"")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IF([2]回答表!R48="○",[2]回答表!B467,"")</f>
        <v>　現在、当市において、特定地域排水処理施設の事業については完了しており、市町村設置型の浄化槽の維持管理を行っている。健全な事業運営が実施できているため現行の経営体制・手法で継続していく予定である。</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5C0C7-C9D4-4B7F-9292-542DC28DA1E5}">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IF(COUNTIF([13]回答表!K15,"*")&gt;0,[13]回答表!K15,"")</f>
        <v>大仙市</v>
      </c>
      <c r="D11" s="264"/>
      <c r="E11" s="264"/>
      <c r="F11" s="264"/>
      <c r="G11" s="264"/>
      <c r="H11" s="264"/>
      <c r="I11" s="264"/>
      <c r="J11" s="264"/>
      <c r="K11" s="264"/>
      <c r="L11" s="264"/>
      <c r="M11" s="264"/>
      <c r="N11" s="264"/>
      <c r="O11" s="264"/>
      <c r="P11" s="264"/>
      <c r="Q11" s="264"/>
      <c r="R11" s="264"/>
      <c r="S11" s="264"/>
      <c r="T11" s="264"/>
      <c r="U11" s="271" t="str">
        <f>IF(COUNTIF([13]回答表!F17,"*")&gt;0,[13]回答表!F17,"")</f>
        <v>電気事業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IF(COUNTIF([13]回答表!W17,"*")&gt;0,[13]回答表!W17,"")</f>
        <v>―</v>
      </c>
      <c r="AP11" s="266"/>
      <c r="AQ11" s="266"/>
      <c r="AR11" s="266"/>
      <c r="AS11" s="266"/>
      <c r="AT11" s="266"/>
      <c r="AU11" s="266"/>
      <c r="AV11" s="266"/>
      <c r="AW11" s="266"/>
      <c r="AX11" s="266"/>
      <c r="AY11" s="266"/>
      <c r="AZ11" s="266"/>
      <c r="BA11" s="266"/>
      <c r="BB11" s="266"/>
      <c r="BC11" s="266"/>
      <c r="BD11" s="266"/>
      <c r="BE11" s="267"/>
      <c r="BF11" s="270" t="str">
        <f>IF(COUNTIF([13]回答表!F19,"*")&gt;0,[13]回答表!F19,"")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IF([13]回答表!R41="○","○","")</f>
        <v/>
      </c>
      <c r="E24" s="122"/>
      <c r="F24" s="122"/>
      <c r="G24" s="122"/>
      <c r="H24" s="122"/>
      <c r="I24" s="122"/>
      <c r="J24" s="123"/>
      <c r="K24" s="121" t="str">
        <f>IF([13]回答表!R42="○","○","")</f>
        <v/>
      </c>
      <c r="L24" s="122"/>
      <c r="M24" s="122"/>
      <c r="N24" s="122"/>
      <c r="O24" s="122"/>
      <c r="P24" s="122"/>
      <c r="Q24" s="123"/>
      <c r="R24" s="121" t="str">
        <f>IF([13]回答表!R43="○","○","")</f>
        <v/>
      </c>
      <c r="S24" s="122"/>
      <c r="T24" s="122"/>
      <c r="U24" s="122"/>
      <c r="V24" s="122"/>
      <c r="W24" s="122"/>
      <c r="X24" s="123"/>
      <c r="Y24" s="121" t="str">
        <f>IF([13]回答表!R44="○","○","")</f>
        <v/>
      </c>
      <c r="Z24" s="122"/>
      <c r="AA24" s="122"/>
      <c r="AB24" s="122"/>
      <c r="AC24" s="122"/>
      <c r="AD24" s="122"/>
      <c r="AE24" s="123"/>
      <c r="AF24" s="121" t="str">
        <f>IF([13]回答表!R45="○","○","")</f>
        <v/>
      </c>
      <c r="AG24" s="122"/>
      <c r="AH24" s="122"/>
      <c r="AI24" s="122"/>
      <c r="AJ24" s="122"/>
      <c r="AK24" s="122"/>
      <c r="AL24" s="123"/>
      <c r="AM24" s="121" t="str">
        <f>IF([13]回答表!R46="○","○","")</f>
        <v/>
      </c>
      <c r="AN24" s="122"/>
      <c r="AO24" s="122"/>
      <c r="AP24" s="122"/>
      <c r="AQ24" s="122"/>
      <c r="AR24" s="122"/>
      <c r="AS24" s="123"/>
      <c r="AT24" s="121" t="str">
        <f>IF([13]回答表!R47="○","○","")</f>
        <v/>
      </c>
      <c r="AU24" s="122"/>
      <c r="AV24" s="122"/>
      <c r="AW24" s="122"/>
      <c r="AX24" s="122"/>
      <c r="AY24" s="122"/>
      <c r="AZ24" s="123"/>
      <c r="BA24" s="19"/>
      <c r="BB24" s="118" t="str">
        <f>IF([13]回答表!R48="○","○","")</f>
        <v>○</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IF([13]回答表!X41="○","○","")</f>
        <v/>
      </c>
      <c r="O36" s="98"/>
      <c r="P36" s="98"/>
      <c r="Q36" s="99"/>
      <c r="R36" s="39"/>
      <c r="S36" s="39"/>
      <c r="T36" s="39"/>
      <c r="U36" s="106" t="str">
        <f>IF([13]回答表!X41="○",[13]回答表!B56,IF([13]回答表!AA41="○",[13]回答表!B76,""))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IF([13]回答表!X41="○",[13]回答表!S62,IF([13]回答表!AA41="○",[13]回答表!S82,""))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IF([13]回答表!X41="○",[13]回答表!G62,IF([13]回答表!AA41="○",[13]回答表!G82,""))</f>
        <v/>
      </c>
      <c r="AN38" s="119"/>
      <c r="AO38" s="119"/>
      <c r="AP38" s="119"/>
      <c r="AQ38" s="119"/>
      <c r="AR38" s="119"/>
      <c r="AS38" s="119"/>
      <c r="AT38" s="120"/>
      <c r="AU38" s="118" t="str">
        <f>IF([13]回答表!X41="○",[13]回答表!G63,IF([13]回答表!AA41="○",[13]回答表!G83,""))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IF([13]回答表!X41="○",[13]回答表!V62,IF([13]回答表!AA41="○",[13]回答表!V82,""))</f>
        <v/>
      </c>
      <c r="BF39" s="217"/>
      <c r="BG39" s="217"/>
      <c r="BH39" s="218"/>
      <c r="BI39" s="82" t="str">
        <f>IF([13]回答表!X41="○",[13]回答表!V63,IF([13]回答表!AA41="○",[13]回答表!V83,""))</f>
        <v/>
      </c>
      <c r="BJ39" s="217"/>
      <c r="BK39" s="217"/>
      <c r="BL39" s="218"/>
      <c r="BM39" s="82" t="str">
        <f>IF([13]回答表!X41="○",[13]回答表!V64,IF([13]回答表!AA41="○",[13]回答表!V84,""))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IF([13]回答表!X41="○",[13]回答表!O68,IF([13]回答表!AA41="○",[13]回答表!O88,""))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IF([13]回答表!X41="○",[13]回答表!O69,IF([13]回答表!AA41="○",[13]回答表!O89,""))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IF([13]回答表!X41="○",[13]回答表!O70,IF([13]回答表!AA41="○",[13]回答表!O90,""))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IF([13]回答表!X41="○",[13]回答表!O71,IF([13]回答表!AA41="○",[13]回答表!O91,""))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IF([13]回答表!X41="○",[13]回答表!AG68,IF([13]回答表!AA41="○",[13]回答表!AG88,""))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IF([13]回答表!X41="○",[13]回答表!AG69,IF([13]回答表!AA41="○",[13]回答表!AG89,""))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IF([13]回答表!X41="○",[13]回答表!AG70,IF([13]回答表!AA41="○",[13]回答表!AG90,""))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IF([13]回答表!AD41="○","○","")</f>
        <v/>
      </c>
      <c r="O52" s="98"/>
      <c r="P52" s="98"/>
      <c r="Q52" s="99"/>
      <c r="R52" s="39"/>
      <c r="S52" s="39"/>
      <c r="T52" s="39"/>
      <c r="U52" s="106" t="str">
        <f>IF([13]回答表!AD41="○",[13]回答表!B96,"")</f>
        <v/>
      </c>
      <c r="V52" s="107"/>
      <c r="W52" s="107"/>
      <c r="X52" s="107"/>
      <c r="Y52" s="107"/>
      <c r="Z52" s="107"/>
      <c r="AA52" s="107"/>
      <c r="AB52" s="107"/>
      <c r="AC52" s="107"/>
      <c r="AD52" s="107"/>
      <c r="AE52" s="107"/>
      <c r="AF52" s="107"/>
      <c r="AG52" s="107"/>
      <c r="AH52" s="107"/>
      <c r="AI52" s="107"/>
      <c r="AJ52" s="108"/>
      <c r="AK52" s="56"/>
      <c r="AL52" s="56"/>
      <c r="AM52" s="106" t="str">
        <f>IF([13]回答表!AD41="○",[13]回答表!B101,"")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IF([13]回答表!X42="○","○","")</f>
        <v/>
      </c>
      <c r="O63" s="98"/>
      <c r="P63" s="98"/>
      <c r="Q63" s="99"/>
      <c r="R63" s="39"/>
      <c r="S63" s="39"/>
      <c r="T63" s="39"/>
      <c r="U63" s="106" t="str">
        <f>IF([13]回答表!X42="○",[13]回答表!B111,IF([13]回答表!AA42="○",[13]回答表!B124,""))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IF([13]回答表!X42="○",[13]回答表!S117,IF([13]回答表!AA42="○",[13]回答表!S130,""))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IF([13]回答表!X42="○",[13]回答表!J117,IF([13]回答表!AA42="○",[13]回答表!J130,""))</f>
        <v/>
      </c>
      <c r="AN66" s="119"/>
      <c r="AO66" s="119"/>
      <c r="AP66" s="119"/>
      <c r="AQ66" s="119"/>
      <c r="AR66" s="119"/>
      <c r="AS66" s="119"/>
      <c r="AT66" s="120"/>
      <c r="AU66" s="118" t="str">
        <f>IF([13]回答表!X42="○",[13]回答表!J118,IF([13]回答表!AA42="○",[13]回答表!J131,""))</f>
        <v/>
      </c>
      <c r="AV66" s="119"/>
      <c r="AW66" s="119"/>
      <c r="AX66" s="119"/>
      <c r="AY66" s="119"/>
      <c r="AZ66" s="119"/>
      <c r="BA66" s="119"/>
      <c r="BB66" s="120"/>
      <c r="BC66" s="40"/>
      <c r="BD66" s="35"/>
      <c r="BE66" s="82" t="str">
        <f>IF([13]回答表!X42="○",[13]回答表!V117,IF([13]回答表!AA42="○",[13]回答表!V130,""))</f>
        <v/>
      </c>
      <c r="BF66" s="83"/>
      <c r="BG66" s="83"/>
      <c r="BH66" s="83"/>
      <c r="BI66" s="82" t="str">
        <f>IF([13]回答表!X42="○",[13]回答表!V118,IF([13]回答表!AA42="○",[13]回答表!V131,""))</f>
        <v/>
      </c>
      <c r="BJ66" s="83"/>
      <c r="BK66" s="83"/>
      <c r="BL66" s="83"/>
      <c r="BM66" s="82" t="str">
        <f>IF([13]回答表!X42="○",[13]回答表!V119,IF([13]回答表!AA42="○",[13]回答表!V132,""))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IF([13]回答表!AD42="○","○","")</f>
        <v/>
      </c>
      <c r="O75" s="98"/>
      <c r="P75" s="98"/>
      <c r="Q75" s="99"/>
      <c r="R75" s="39"/>
      <c r="S75" s="39"/>
      <c r="T75" s="39"/>
      <c r="U75" s="106" t="str">
        <f>IF([13]回答表!AD42="○",[13]回答表!B137,"")</f>
        <v/>
      </c>
      <c r="V75" s="107"/>
      <c r="W75" s="107"/>
      <c r="X75" s="107"/>
      <c r="Y75" s="107"/>
      <c r="Z75" s="107"/>
      <c r="AA75" s="107"/>
      <c r="AB75" s="107"/>
      <c r="AC75" s="107"/>
      <c r="AD75" s="107"/>
      <c r="AE75" s="107"/>
      <c r="AF75" s="107"/>
      <c r="AG75" s="107"/>
      <c r="AH75" s="107"/>
      <c r="AI75" s="107"/>
      <c r="AJ75" s="108"/>
      <c r="AK75" s="56"/>
      <c r="AL75" s="56"/>
      <c r="AM75" s="106" t="str">
        <f>IF([13]回答表!AD42="○",[13]回答表!B143,"")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IF([13]回答表!F17="水道事業",IF([13]回答表!X43="○","○",""),"")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IF([13]回答表!F17="水道事業",IF([13]回答表!X43="○",[13]回答表!B154,IF([13]回答表!AA43="○",[13]回答表!B201,"")),"")</f>
        <v/>
      </c>
      <c r="AN87" s="107"/>
      <c r="AO87" s="107"/>
      <c r="AP87" s="107"/>
      <c r="AQ87" s="107"/>
      <c r="AR87" s="107"/>
      <c r="AS87" s="107"/>
      <c r="AT87" s="107"/>
      <c r="AU87" s="107"/>
      <c r="AV87" s="107"/>
      <c r="AW87" s="107"/>
      <c r="AX87" s="107"/>
      <c r="AY87" s="107"/>
      <c r="AZ87" s="107"/>
      <c r="BA87" s="107"/>
      <c r="BB87" s="108"/>
      <c r="BC87" s="40"/>
      <c r="BD87" s="35"/>
      <c r="BE87" s="115" t="str">
        <f>IF([13]回答表!F17="水道事業",IF([13]回答表!X43="○",[13]回答表!B190,IF([13]回答表!AA43="○",[13]回答表!B238,"")),"")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IF([13]回答表!F17="水道事業",IF([13]回答表!X43="○",[13]回答表!J162,IF([13]回答表!AA43="○",[13]回答表!J209,"")),"")</f>
        <v/>
      </c>
      <c r="V89" s="119"/>
      <c r="W89" s="119"/>
      <c r="X89" s="119"/>
      <c r="Y89" s="119"/>
      <c r="Z89" s="119"/>
      <c r="AA89" s="119"/>
      <c r="AB89" s="120"/>
      <c r="AC89" s="118" t="str">
        <f>IF([13]回答表!F17="水道事業",IF([13]回答表!X43="○",[13]回答表!J169,IF([13]回答表!AA43="○",[13]回答表!J216,"")),"")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IF([13]回答表!F17="水道事業",IF([13]回答表!X43="○",[13]回答表!E190,IF([13]回答表!AA43="○",[13]回答表!E238,"")),"")</f>
        <v/>
      </c>
      <c r="BF90" s="83"/>
      <c r="BG90" s="83"/>
      <c r="BH90" s="83"/>
      <c r="BI90" s="82" t="str">
        <f>IF([13]回答表!F17="水道事業",IF([13]回答表!X43="○",[13]回答表!E191,IF([13]回答表!AA43="○",[13]回答表!E239,"")),"")</f>
        <v/>
      </c>
      <c r="BJ90" s="83"/>
      <c r="BK90" s="83"/>
      <c r="BL90" s="83"/>
      <c r="BM90" s="82" t="str">
        <f>IF([13]回答表!F17="水道事業",IF([13]回答表!X43="○",[13]回答表!E192,IF([13]回答表!AA43="○",[13]回答表!E240,"")),"")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IF([13]回答表!F17="水道事業",IF([13]回答表!AA43="○","○",""),"")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IF([13]回答表!F17="水道事業",IF([13]回答表!X43="○",[13]回答表!J172,IF([13]回答表!AA43="○",[13]回答表!J219,"")),"")</f>
        <v/>
      </c>
      <c r="V94" s="119"/>
      <c r="W94" s="119"/>
      <c r="X94" s="119"/>
      <c r="Y94" s="119"/>
      <c r="Z94" s="119"/>
      <c r="AA94" s="119"/>
      <c r="AB94" s="120"/>
      <c r="AC94" s="118" t="str">
        <f>IF([13]回答表!F17="水道事業",IF([13]回答表!X43="○",[13]回答表!J176,IF([13]回答表!AA43="○",[13]回答表!J223,"")),"")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IF([13]回答表!F17="水道事業",IF([13]回答表!AD43="○","○",""),"")</f>
        <v/>
      </c>
      <c r="O99" s="98"/>
      <c r="P99" s="98"/>
      <c r="Q99" s="99"/>
      <c r="R99" s="39"/>
      <c r="S99" s="39"/>
      <c r="T99" s="39"/>
      <c r="U99" s="106" t="str">
        <f>IF([13]回答表!F17="水道事業",IF([13]回答表!AD43="○",[13]回答表!B249,""),"")</f>
        <v/>
      </c>
      <c r="V99" s="107"/>
      <c r="W99" s="107"/>
      <c r="X99" s="107"/>
      <c r="Y99" s="107"/>
      <c r="Z99" s="107"/>
      <c r="AA99" s="107"/>
      <c r="AB99" s="107"/>
      <c r="AC99" s="107"/>
      <c r="AD99" s="107"/>
      <c r="AE99" s="107"/>
      <c r="AF99" s="107"/>
      <c r="AG99" s="107"/>
      <c r="AH99" s="107"/>
      <c r="AI99" s="107"/>
      <c r="AJ99" s="108"/>
      <c r="AK99" s="56"/>
      <c r="AL99" s="56"/>
      <c r="AM99" s="106" t="str">
        <f>IF([13]回答表!F17="水道事業",IF([13]回答表!AD43="○",[13]回答表!B255,""),"")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IF([13]回答表!F17="簡易水道事業",IF([13]回答表!X43="○","○",""),"")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IF([13]回答表!F17="簡易水道事業",IF([13]回答表!X43="○",[13]回答表!B154,IF([13]回答表!AA43="○",[13]回答表!B201,"")),"")</f>
        <v/>
      </c>
      <c r="AN111" s="107"/>
      <c r="AO111" s="107"/>
      <c r="AP111" s="107"/>
      <c r="AQ111" s="107"/>
      <c r="AR111" s="107"/>
      <c r="AS111" s="107"/>
      <c r="AT111" s="107"/>
      <c r="AU111" s="107"/>
      <c r="AV111" s="107"/>
      <c r="AW111" s="107"/>
      <c r="AX111" s="107"/>
      <c r="AY111" s="107"/>
      <c r="AZ111" s="107"/>
      <c r="BA111" s="107"/>
      <c r="BB111" s="108"/>
      <c r="BC111" s="40"/>
      <c r="BD111" s="35"/>
      <c r="BE111" s="115" t="str">
        <f>IF([13]回答表!F17="簡易水道事業",IF([13]回答表!X43="○",[13]回答表!B190,IF([13]回答表!AA43="○",[13]回答表!B238,"")),"")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IF([13]回答表!F17="簡易水道事業",IF([13]回答表!X43="○",[13]回答表!Y181,IF([13]回答表!AA43="○",[13]回答表!Y229,"")),"")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IF([13]回答表!F17="簡易水道事業",IF([13]回答表!X43="○",[13]回答表!E190,IF([13]回答表!AA43="○",[13]回答表!E238,"")),"")</f>
        <v/>
      </c>
      <c r="BF114" s="83"/>
      <c r="BG114" s="83"/>
      <c r="BH114" s="83"/>
      <c r="BI114" s="82" t="str">
        <f>IF([13]回答表!F17="簡易水道事業",IF([13]回答表!X43="○",[13]回答表!E191,IF([13]回答表!AA43="○",[13]回答表!E239,"")),"")</f>
        <v/>
      </c>
      <c r="BJ114" s="83"/>
      <c r="BK114" s="83"/>
      <c r="BL114" s="83"/>
      <c r="BM114" s="82" t="str">
        <f>IF([13]回答表!F17="簡易水道事業",IF([13]回答表!X43="○",[13]回答表!E192,IF([13]回答表!AA43="○",[13]回答表!E240,"")),"")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IF([13]回答表!F17="簡易水道事業",IF([13]回答表!AA43="○","○",""),"")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IF([13]回答表!F17="簡易水道事業",IF([13]回答表!X43="○",[13]回答表!Y182,IF([13]回答表!AA43="○",[13]回答表!Y230,"")),"")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IF([13]回答表!F17="簡易水道事業",IF([13]回答表!AD43="○","○",""),"")</f>
        <v/>
      </c>
      <c r="O123" s="98"/>
      <c r="P123" s="98"/>
      <c r="Q123" s="99"/>
      <c r="R123" s="39"/>
      <c r="S123" s="39"/>
      <c r="T123" s="39"/>
      <c r="U123" s="106" t="str">
        <f>IF([13]回答表!F17="簡易水道事業",IF([13]回答表!AD43="○",[13]回答表!B249,""),"")</f>
        <v/>
      </c>
      <c r="V123" s="107"/>
      <c r="W123" s="107"/>
      <c r="X123" s="107"/>
      <c r="Y123" s="107"/>
      <c r="Z123" s="107"/>
      <c r="AA123" s="107"/>
      <c r="AB123" s="107"/>
      <c r="AC123" s="107"/>
      <c r="AD123" s="107"/>
      <c r="AE123" s="107"/>
      <c r="AF123" s="107"/>
      <c r="AG123" s="107"/>
      <c r="AH123" s="107"/>
      <c r="AI123" s="107"/>
      <c r="AJ123" s="108"/>
      <c r="AK123" s="56"/>
      <c r="AL123" s="56"/>
      <c r="AM123" s="106" t="str">
        <f>IF([13]回答表!F17="簡易水道事業",IF([13]回答表!AD43="○",[13]回答表!B255,""),"")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IF([13]回答表!F17="下水道事業",IF([13]回答表!X43="○","○",""),"")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IF([13]回答表!F17="下水道事業",IF([13]回答表!X43="○",[13]回答表!B154,IF([13]回答表!AA43="○",[13]回答表!B201,"")),"")</f>
        <v/>
      </c>
      <c r="AN135" s="107"/>
      <c r="AO135" s="107"/>
      <c r="AP135" s="107"/>
      <c r="AQ135" s="107"/>
      <c r="AR135" s="107"/>
      <c r="AS135" s="107"/>
      <c r="AT135" s="107"/>
      <c r="AU135" s="107"/>
      <c r="AV135" s="107"/>
      <c r="AW135" s="107"/>
      <c r="AX135" s="107"/>
      <c r="AY135" s="107"/>
      <c r="AZ135" s="107"/>
      <c r="BA135" s="107"/>
      <c r="BB135" s="108"/>
      <c r="BC135" s="40"/>
      <c r="BD135" s="35"/>
      <c r="BE135" s="115" t="str">
        <f>IF([13]回答表!F17="下水道事業",IF([13]回答表!X43="○",[13]回答表!B190,IF([13]回答表!AA43="○",[13]回答表!B238,"")),"")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IF([13]回答表!F17="下水道事業",IF([13]回答表!X43="○",[13]回答表!Y184,IF([13]回答表!AA43="○",[13]回答表!Y232,"")),"")</f>
        <v/>
      </c>
      <c r="V137" s="119"/>
      <c r="W137" s="119"/>
      <c r="X137" s="119"/>
      <c r="Y137" s="119"/>
      <c r="Z137" s="119"/>
      <c r="AA137" s="119"/>
      <c r="AB137" s="120"/>
      <c r="AC137" s="118" t="str">
        <f>IF([13]回答表!F17="下水道事業",IF([13]回答表!X43="○",[13]回答表!Y185,IF([13]回答表!AA43="○",[13]回答表!Y233,"")),"")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IF([13]回答表!F17="下水道事業",IF([13]回答表!X43="○",[13]回答表!E190,IF([13]回答表!AA43="○",[13]回答表!E238,"")),"")</f>
        <v/>
      </c>
      <c r="BF138" s="83"/>
      <c r="BG138" s="83"/>
      <c r="BH138" s="83"/>
      <c r="BI138" s="82" t="str">
        <f>IF([13]回答表!F17="下水道事業",IF([13]回答表!X43="○",[13]回答表!E191,IF([13]回答表!AA43="○",[13]回答表!E239,"")),"")</f>
        <v/>
      </c>
      <c r="BJ138" s="83"/>
      <c r="BK138" s="83"/>
      <c r="BL138" s="83"/>
      <c r="BM138" s="82" t="str">
        <f>IF([13]回答表!F17="下水道事業",IF([13]回答表!X43="○",[13]回答表!E192,IF([13]回答表!AA43="○",[13]回答表!E240,"")),"")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IF([13]回答表!F17="下水道事業",IF([13]回答表!AA43="○","○",""),"")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IF([13]回答表!F17="下水道事業",IF([13]回答表!X43="○",[13]回答表!Y186,IF([13]回答表!AA43="○",[13]回答表!Y234,"")),"")</f>
        <v/>
      </c>
      <c r="V142" s="119"/>
      <c r="W142" s="119"/>
      <c r="X142" s="119"/>
      <c r="Y142" s="119"/>
      <c r="Z142" s="119"/>
      <c r="AA142" s="119"/>
      <c r="AB142" s="120"/>
      <c r="AC142" s="118" t="str">
        <f>IF([13]回答表!F17="下水道事業",IF([13]回答表!X43="○",[13]回答表!Y187,IF([13]回答表!AA43="○",[13]回答表!Y235,"")),"")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IF([13]回答表!F17="下水道事業",IF([13]回答表!AD43="○","○",""),"")</f>
        <v/>
      </c>
      <c r="O147" s="98"/>
      <c r="P147" s="98"/>
      <c r="Q147" s="99"/>
      <c r="R147" s="39"/>
      <c r="S147" s="39"/>
      <c r="T147" s="39"/>
      <c r="U147" s="106" t="str">
        <f>IF([13]回答表!F17="下水道事業",IF([13]回答表!AD43="○",[13]回答表!B249,""),"")</f>
        <v/>
      </c>
      <c r="V147" s="107"/>
      <c r="W147" s="107"/>
      <c r="X147" s="107"/>
      <c r="Y147" s="107"/>
      <c r="Z147" s="107"/>
      <c r="AA147" s="107"/>
      <c r="AB147" s="107"/>
      <c r="AC147" s="107"/>
      <c r="AD147" s="107"/>
      <c r="AE147" s="107"/>
      <c r="AF147" s="107"/>
      <c r="AG147" s="107"/>
      <c r="AH147" s="107"/>
      <c r="AI147" s="107"/>
      <c r="AJ147" s="108"/>
      <c r="AK147" s="56"/>
      <c r="AL147" s="56"/>
      <c r="AM147" s="106" t="str">
        <f>IF([13]回答表!F17="下水道事業",IF([13]回答表!AD43="○",[13]回答表!B255,""),"")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IF([13]回答表!BD17="○",IF([13]回答表!X43="○","○",""),"")</f>
        <v/>
      </c>
      <c r="O159" s="98"/>
      <c r="P159" s="98"/>
      <c r="Q159" s="99"/>
      <c r="R159" s="39"/>
      <c r="S159" s="39"/>
      <c r="T159" s="39"/>
      <c r="U159" s="106" t="str">
        <f>IF([13]回答表!BD17="○",IF([13]回答表!X43="○",[13]回答表!B154,IF([13]回答表!AA43="○",[13]回答表!B201,"")),"")</f>
        <v/>
      </c>
      <c r="V159" s="107"/>
      <c r="W159" s="107"/>
      <c r="X159" s="107"/>
      <c r="Y159" s="107"/>
      <c r="Z159" s="107"/>
      <c r="AA159" s="107"/>
      <c r="AB159" s="107"/>
      <c r="AC159" s="107"/>
      <c r="AD159" s="107"/>
      <c r="AE159" s="107"/>
      <c r="AF159" s="107"/>
      <c r="AG159" s="107"/>
      <c r="AH159" s="107"/>
      <c r="AI159" s="107"/>
      <c r="AJ159" s="108"/>
      <c r="AK159" s="50"/>
      <c r="AL159" s="50"/>
      <c r="AM159" s="115" t="str">
        <f>IF([13]回答表!BD17="○",IF([13]回答表!X43="○",[13]回答表!B190,IF([13]回答表!AA43="○",[13]回答表!B238,"")),"")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IF([13]回答表!BD17="○",IF([13]回答表!X43="○",[13]回答表!E190,IF([13]回答表!AA43="○",[13]回答表!E238,"")),"")</f>
        <v/>
      </c>
      <c r="AN162" s="83"/>
      <c r="AO162" s="83"/>
      <c r="AP162" s="83"/>
      <c r="AQ162" s="82" t="str">
        <f>IF([13]回答表!BD17="○",IF([13]回答表!X43="○",[13]回答表!E191,IF([13]回答表!AA43="○",[13]回答表!E239,"")),"")</f>
        <v/>
      </c>
      <c r="AR162" s="83"/>
      <c r="AS162" s="83"/>
      <c r="AT162" s="83"/>
      <c r="AU162" s="82" t="str">
        <f>IF([13]回答表!BD17="○",IF([13]回答表!X43="○",[13]回答表!E192,IF([13]回答表!AA43="○",[13]回答表!E240,"")),"")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IF([13]回答表!BD17="○",IF([13]回答表!AA43="○","○",""),"")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IF([13]回答表!BD17="○",IF([13]回答表!AD43="○","○",""),"")</f>
        <v/>
      </c>
      <c r="O171" s="98"/>
      <c r="P171" s="98"/>
      <c r="Q171" s="99"/>
      <c r="R171" s="39"/>
      <c r="S171" s="39"/>
      <c r="T171" s="39"/>
      <c r="U171" s="106" t="str">
        <f>IF([13]回答表!BD17="○",IF([13]回答表!AD43="○",[13]回答表!B249,""),"")</f>
        <v/>
      </c>
      <c r="V171" s="107"/>
      <c r="W171" s="107"/>
      <c r="X171" s="107"/>
      <c r="Y171" s="107"/>
      <c r="Z171" s="107"/>
      <c r="AA171" s="107"/>
      <c r="AB171" s="107"/>
      <c r="AC171" s="107"/>
      <c r="AD171" s="107"/>
      <c r="AE171" s="107"/>
      <c r="AF171" s="107"/>
      <c r="AG171" s="107"/>
      <c r="AH171" s="107"/>
      <c r="AI171" s="107"/>
      <c r="AJ171" s="108"/>
      <c r="AK171" s="56"/>
      <c r="AL171" s="56"/>
      <c r="AM171" s="106" t="str">
        <f>IF([13]回答表!BD17="○",IF([13]回答表!AD43="○",[13]回答表!B255,""),"")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IF([13]回答表!X44="○","○","")</f>
        <v/>
      </c>
      <c r="O183" s="98"/>
      <c r="P183" s="98"/>
      <c r="Q183" s="99"/>
      <c r="R183" s="39"/>
      <c r="S183" s="39"/>
      <c r="T183" s="39"/>
      <c r="U183" s="106" t="str">
        <f>IF([13]回答表!X44="○",[13]回答表!B266,IF([13]回答表!AA44="○",[13]回答表!B283,""))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IF([13]回答表!X44="○",[13]回答表!U272,IF([13]回答表!AA44="○",[13]回答表!U289,""))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IF([13]回答表!X44="○",[13]回答表!G272,IF([13]回答表!AA44="○",[13]回答表!G289,""))</f>
        <v/>
      </c>
      <c r="AN186" s="119"/>
      <c r="AO186" s="119"/>
      <c r="AP186" s="119"/>
      <c r="AQ186" s="119"/>
      <c r="AR186" s="119"/>
      <c r="AS186" s="119"/>
      <c r="AT186" s="120"/>
      <c r="AU186" s="118" t="str">
        <f>IF([13]回答表!X44="○",[13]回答表!G273,IF([13]回答表!AA44="○",[13]回答表!G290,""))</f>
        <v/>
      </c>
      <c r="AV186" s="119"/>
      <c r="AW186" s="119"/>
      <c r="AX186" s="119"/>
      <c r="AY186" s="119"/>
      <c r="AZ186" s="119"/>
      <c r="BA186" s="119"/>
      <c r="BB186" s="120"/>
      <c r="BC186" s="40"/>
      <c r="BD186" s="35"/>
      <c r="BE186" s="82" t="str">
        <f>IF([13]回答表!X44="○",[13]回答表!X272,IF([13]回答表!AA44="○",[13]回答表!X289,""))</f>
        <v/>
      </c>
      <c r="BF186" s="83"/>
      <c r="BG186" s="83"/>
      <c r="BH186" s="83"/>
      <c r="BI186" s="82" t="str">
        <f>IF([13]回答表!X44="○",[13]回答表!X273,IF([13]回答表!AA44="○",[13]回答表!X290,""))</f>
        <v/>
      </c>
      <c r="BJ186" s="83"/>
      <c r="BK186" s="83"/>
      <c r="BL186" s="86"/>
      <c r="BM186" s="82" t="str">
        <f>IF([13]回答表!X44="○",[13]回答表!X274,IF([13]回答表!AA44="○",[13]回答表!X291,""))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IF([13]回答表!AD44="○","○","")</f>
        <v/>
      </c>
      <c r="O195" s="98"/>
      <c r="P195" s="98"/>
      <c r="Q195" s="99"/>
      <c r="R195" s="39"/>
      <c r="S195" s="39"/>
      <c r="T195" s="39"/>
      <c r="U195" s="106" t="str">
        <f>IF([13]回答表!AD44="○",[13]回答表!B296,"")</f>
        <v/>
      </c>
      <c r="V195" s="107"/>
      <c r="W195" s="107"/>
      <c r="X195" s="107"/>
      <c r="Y195" s="107"/>
      <c r="Z195" s="107"/>
      <c r="AA195" s="107"/>
      <c r="AB195" s="107"/>
      <c r="AC195" s="107"/>
      <c r="AD195" s="107"/>
      <c r="AE195" s="107"/>
      <c r="AF195" s="107"/>
      <c r="AG195" s="107"/>
      <c r="AH195" s="107"/>
      <c r="AI195" s="107"/>
      <c r="AJ195" s="108"/>
      <c r="AK195" s="61"/>
      <c r="AL195" s="61"/>
      <c r="AM195" s="106" t="str">
        <f>IF([13]回答表!AD44="○",[13]回答表!B302,"")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IF([13]回答表!X45="○","○","")</f>
        <v/>
      </c>
      <c r="O207" s="98"/>
      <c r="P207" s="98"/>
      <c r="Q207" s="99"/>
      <c r="R207" s="39"/>
      <c r="S207" s="39"/>
      <c r="T207" s="39"/>
      <c r="U207" s="106" t="str">
        <f>IF([13]回答表!X45="○",[13]回答表!B314,IF([13]回答表!AA45="○",[13]回答表!B337,""))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IF([13]回答表!X45="○",[13]回答表!B320,"")</f>
        <v/>
      </c>
      <c r="AO207" s="164"/>
      <c r="AP207" s="164"/>
      <c r="AQ207" s="164"/>
      <c r="AR207" s="164"/>
      <c r="AS207" s="164"/>
      <c r="AT207" s="164"/>
      <c r="AU207" s="164"/>
      <c r="AV207" s="164"/>
      <c r="AW207" s="164"/>
      <c r="AX207" s="164"/>
      <c r="AY207" s="164"/>
      <c r="AZ207" s="164"/>
      <c r="BA207" s="164"/>
      <c r="BB207" s="165"/>
      <c r="BC207" s="40"/>
      <c r="BD207" s="35"/>
      <c r="BE207" s="115" t="str">
        <f>IF([13]回答表!X45="○",[13]回答表!B326,IF([13]回答表!AA45="○",[13]回答表!B343,""))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IF([13]回答表!X45="○",[13]回答表!E326,IF([13]回答表!AA45="○",[13]回答表!E343,""))</f>
        <v/>
      </c>
      <c r="BF210" s="83"/>
      <c r="BG210" s="83"/>
      <c r="BH210" s="83"/>
      <c r="BI210" s="82" t="str">
        <f>IF([13]回答表!X45="○",[13]回答表!E327,IF([13]回答表!AA45="○",[13]回答表!E344,""))</f>
        <v/>
      </c>
      <c r="BJ210" s="83"/>
      <c r="BK210" s="83"/>
      <c r="BL210" s="86"/>
      <c r="BM210" s="82" t="str">
        <f>IF([13]回答表!X45="○",[13]回答表!E328,IF([13]回答表!AA45="○",[13]回答表!E345,""))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IF([13]回答表!AD45="○","○","")</f>
        <v/>
      </c>
      <c r="O219" s="98"/>
      <c r="P219" s="98"/>
      <c r="Q219" s="99"/>
      <c r="R219" s="39"/>
      <c r="S219" s="39"/>
      <c r="T219" s="39"/>
      <c r="U219" s="106" t="str">
        <f>IF([13]回答表!AD45="○",[13]回答表!B350,"")</f>
        <v/>
      </c>
      <c r="V219" s="107"/>
      <c r="W219" s="107"/>
      <c r="X219" s="107"/>
      <c r="Y219" s="107"/>
      <c r="Z219" s="107"/>
      <c r="AA219" s="107"/>
      <c r="AB219" s="107"/>
      <c r="AC219" s="107"/>
      <c r="AD219" s="107"/>
      <c r="AE219" s="107"/>
      <c r="AF219" s="107"/>
      <c r="AG219" s="107"/>
      <c r="AH219" s="107"/>
      <c r="AI219" s="107"/>
      <c r="AJ219" s="108"/>
      <c r="AK219" s="61"/>
      <c r="AL219" s="61"/>
      <c r="AM219" s="106" t="str">
        <f>IF([13]回答表!AD45="○",[13]回答表!B356,"")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IF([13]回答表!X46="○","○","")</f>
        <v/>
      </c>
      <c r="O231" s="98"/>
      <c r="P231" s="98"/>
      <c r="Q231" s="99"/>
      <c r="R231" s="39"/>
      <c r="S231" s="39"/>
      <c r="T231" s="39"/>
      <c r="U231" s="106" t="str">
        <f>IF([13]回答表!X46="○",[13]回答表!B368,IF([13]回答表!AA46="○",[13]回答表!B382,""))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IF([13]回答表!X46="○",[13]回答表!BC375,IF([13]回答表!AA46="○",[13]回答表!BC389,""))</f>
        <v/>
      </c>
      <c r="AR231" s="150"/>
      <c r="AS231" s="150"/>
      <c r="AT231" s="150"/>
      <c r="AU231" s="155" t="s">
        <v>63</v>
      </c>
      <c r="AV231" s="156"/>
      <c r="AW231" s="156"/>
      <c r="AX231" s="157"/>
      <c r="AY231" s="150" t="str">
        <f>IF([13]回答表!X46="○",[13]回答表!BC380,IF([13]回答表!AA46="○",[13]回答表!BC394,""))</f>
        <v/>
      </c>
      <c r="AZ231" s="150"/>
      <c r="BA231" s="150"/>
      <c r="BB231" s="150"/>
      <c r="BC231" s="40"/>
      <c r="BD231" s="35"/>
      <c r="BE231" s="115" t="str">
        <f>IF([13]回答表!X46="○",[13]回答表!S374,IF([13]回答表!AA46="○",[13]回答表!S388,""))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IF([13]回答表!X46="○",[13]回答表!BC376,IF([13]回答表!AA46="○",[13]回答表!BC390,""))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IF([13]回答表!X46="○",[13]回答表!V374,IF([13]回答表!AA46="○",[13]回答表!V388,""))</f>
        <v/>
      </c>
      <c r="BF234" s="83"/>
      <c r="BG234" s="83"/>
      <c r="BH234" s="83"/>
      <c r="BI234" s="82" t="str">
        <f>IF([13]回答表!X46="○",[13]回答表!V375,IF([13]回答表!AA46="○",[13]回答表!V389,""))</f>
        <v/>
      </c>
      <c r="BJ234" s="83"/>
      <c r="BK234" s="83"/>
      <c r="BL234" s="86"/>
      <c r="BM234" s="82" t="str">
        <f>IF([13]回答表!X46="○",[13]回答表!V376,IF([13]回答表!AA46="○",[13]回答表!V390,""))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IF([13]回答表!X46="○",[13]回答表!BC377,IF([13]回答表!AA46="○",[13]回答表!BC391,""))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IF([13]回答表!X46="○",[13]回答表!BC381,IF([13]回答表!AA46="○",[13]回答表!BC395,""))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IF([13]回答表!X46="○",[13]回答表!BC378,IF([13]回答表!AA46="○",[13]回答表!BC392,""))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IF([13]回答表!X46="○",[13]回答表!BC379,IF([13]回答表!AA46="○",[13]回答表!BC393,""))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IF([13]回答表!AD46="○","○","")</f>
        <v/>
      </c>
      <c r="O243" s="98"/>
      <c r="P243" s="98"/>
      <c r="Q243" s="99"/>
      <c r="R243" s="39"/>
      <c r="S243" s="39"/>
      <c r="T243" s="39"/>
      <c r="U243" s="106" t="str">
        <f>IF([13]回答表!AD46="○",[13]回答表!B396,"")</f>
        <v/>
      </c>
      <c r="V243" s="107"/>
      <c r="W243" s="107"/>
      <c r="X243" s="107"/>
      <c r="Y243" s="107"/>
      <c r="Z243" s="107"/>
      <c r="AA243" s="107"/>
      <c r="AB243" s="107"/>
      <c r="AC243" s="107"/>
      <c r="AD243" s="107"/>
      <c r="AE243" s="107"/>
      <c r="AF243" s="107"/>
      <c r="AG243" s="107"/>
      <c r="AH243" s="107"/>
      <c r="AI243" s="107"/>
      <c r="AJ243" s="108"/>
      <c r="AK243" s="56"/>
      <c r="AL243" s="56"/>
      <c r="AM243" s="106" t="str">
        <f>IF([13]回答表!AD46="○",[13]回答表!B402,"")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IF([13]回答表!X47="○","○","")</f>
        <v/>
      </c>
      <c r="O254" s="98"/>
      <c r="P254" s="98"/>
      <c r="Q254" s="99"/>
      <c r="R254" s="39"/>
      <c r="S254" s="39"/>
      <c r="T254" s="39"/>
      <c r="U254" s="106" t="str">
        <f>IF([13]回答表!X47="○",[13]回答表!B414,IF([13]回答表!AA47="○",[13]回答表!B431,""))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IF([13]回答表!X47="○",[13]回答表!B424,IF([13]回答表!AA47="○",[13]回答表!B441,""))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IF([13]回答表!X47="○",[13]回答表!G420,IF([13]回答表!AA47="○",[13]回答表!G437,""))</f>
        <v/>
      </c>
      <c r="AN256" s="119"/>
      <c r="AO256" s="119"/>
      <c r="AP256" s="119"/>
      <c r="AQ256" s="119"/>
      <c r="AR256" s="119"/>
      <c r="AS256" s="119"/>
      <c r="AT256" s="120"/>
      <c r="AU256" s="118" t="str">
        <f>IF([13]回答表!X47="○",[13]回答表!G421,IF([13]回答表!AA47="○",[13]回答表!G438,""))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IF([13]回答表!X47="○",[13]回答表!E424,IF([13]回答表!AA47="○",[13]回答表!E441,""))</f>
        <v/>
      </c>
      <c r="BF257" s="83"/>
      <c r="BG257" s="83"/>
      <c r="BH257" s="83"/>
      <c r="BI257" s="82" t="str">
        <f>IF([13]回答表!X47="○",[13]回答表!E425,IF([13]回答表!AA47="○",[13]回答表!E442,""))</f>
        <v/>
      </c>
      <c r="BJ257" s="83"/>
      <c r="BK257" s="83"/>
      <c r="BL257" s="86"/>
      <c r="BM257" s="82" t="str">
        <f>IF([13]回答表!X47="○",[13]回答表!E426,IF([13]回答表!AA47="○",[13]回答表!E443,""))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IF([13]回答表!AD47="○","○","")</f>
        <v/>
      </c>
      <c r="O266" s="98"/>
      <c r="P266" s="98"/>
      <c r="Q266" s="99"/>
      <c r="R266" s="39"/>
      <c r="S266" s="39"/>
      <c r="T266" s="39"/>
      <c r="U266" s="106" t="str">
        <f>IF([13]回答表!AD47="○",[13]回答表!B448,"")</f>
        <v/>
      </c>
      <c r="V266" s="107"/>
      <c r="W266" s="107"/>
      <c r="X266" s="107"/>
      <c r="Y266" s="107"/>
      <c r="Z266" s="107"/>
      <c r="AA266" s="107"/>
      <c r="AB266" s="107"/>
      <c r="AC266" s="107"/>
      <c r="AD266" s="107"/>
      <c r="AE266" s="107"/>
      <c r="AF266" s="107"/>
      <c r="AG266" s="107"/>
      <c r="AH266" s="107"/>
      <c r="AI266" s="107"/>
      <c r="AJ266" s="108"/>
      <c r="AK266" s="50"/>
      <c r="AL266" s="50"/>
      <c r="AM266" s="106" t="str">
        <f>IF([13]回答表!AD47="○",[13]回答表!B454,"")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IF([13]回答表!R48="○",[13]回答表!B467,"")</f>
        <v xml:space="preserve">収益的収支比率は119.6％と黒字となっている。FIT収入割合が100％となっているが、FIT調達期間と包括的施設リース契約期間がともに20年と同じであるため、事業経営上のリスクは低いものと考えられる。現行の経営体制・手法で、健全な事業運営が実施できている。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7"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70C0D-6064-4FFD-A457-E7F84CCD7DE4}">
  <sheetPr>
    <pageSetUpPr fitToPage="1"/>
  </sheetPr>
  <dimension ref="A1:CE298"/>
  <sheetViews>
    <sheetView showZeros="0" zoomScale="55" zoomScaleNormal="55" workbookViewId="0">
      <selection activeCell="AM87" sqref="AM87:BB9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IF(COUNTIF([12]回答表!K15,"*")&gt;0,[12]回答表!K15,"")</f>
        <v>大仙市</v>
      </c>
      <c r="D11" s="264"/>
      <c r="E11" s="264"/>
      <c r="F11" s="264"/>
      <c r="G11" s="264"/>
      <c r="H11" s="264"/>
      <c r="I11" s="264"/>
      <c r="J11" s="264"/>
      <c r="K11" s="264"/>
      <c r="L11" s="264"/>
      <c r="M11" s="264"/>
      <c r="N11" s="264"/>
      <c r="O11" s="264"/>
      <c r="P11" s="264"/>
      <c r="Q11" s="264"/>
      <c r="R11" s="264"/>
      <c r="S11" s="264"/>
      <c r="T11" s="264"/>
      <c r="U11" s="271" t="str">
        <f>IF(COUNTIF([12]回答表!F17,"*")&gt;0,[12]回答表!F17,"")</f>
        <v>電気事業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IF(COUNTIF([12]回答表!W17,"*")&gt;0,[12]回答表!W17,"")</f>
        <v>―</v>
      </c>
      <c r="AP11" s="266"/>
      <c r="AQ11" s="266"/>
      <c r="AR11" s="266"/>
      <c r="AS11" s="266"/>
      <c r="AT11" s="266"/>
      <c r="AU11" s="266"/>
      <c r="AV11" s="266"/>
      <c r="AW11" s="266"/>
      <c r="AX11" s="266"/>
      <c r="AY11" s="266"/>
      <c r="AZ11" s="266"/>
      <c r="BA11" s="266"/>
      <c r="BB11" s="266"/>
      <c r="BC11" s="266"/>
      <c r="BD11" s="266"/>
      <c r="BE11" s="267"/>
      <c r="BF11" s="270" t="str">
        <f>IF(COUNTIF([12]回答表!F19,"*")&gt;0,[12]回答表!F19,"")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IF([12]回答表!R41="○","○","")</f>
        <v/>
      </c>
      <c r="E24" s="122"/>
      <c r="F24" s="122"/>
      <c r="G24" s="122"/>
      <c r="H24" s="122"/>
      <c r="I24" s="122"/>
      <c r="J24" s="123"/>
      <c r="K24" s="121" t="str">
        <f>IF([12]回答表!R42="○","○","")</f>
        <v/>
      </c>
      <c r="L24" s="122"/>
      <c r="M24" s="122"/>
      <c r="N24" s="122"/>
      <c r="O24" s="122"/>
      <c r="P24" s="122"/>
      <c r="Q24" s="123"/>
      <c r="R24" s="121" t="str">
        <f>IF([12]回答表!R43="○","○","")</f>
        <v/>
      </c>
      <c r="S24" s="122"/>
      <c r="T24" s="122"/>
      <c r="U24" s="122"/>
      <c r="V24" s="122"/>
      <c r="W24" s="122"/>
      <c r="X24" s="123"/>
      <c r="Y24" s="121" t="str">
        <f>IF([12]回答表!R44="○","○","")</f>
        <v/>
      </c>
      <c r="Z24" s="122"/>
      <c r="AA24" s="122"/>
      <c r="AB24" s="122"/>
      <c r="AC24" s="122"/>
      <c r="AD24" s="122"/>
      <c r="AE24" s="123"/>
      <c r="AF24" s="121" t="str">
        <f>IF([12]回答表!R45="○","○","")</f>
        <v/>
      </c>
      <c r="AG24" s="122"/>
      <c r="AH24" s="122"/>
      <c r="AI24" s="122"/>
      <c r="AJ24" s="122"/>
      <c r="AK24" s="122"/>
      <c r="AL24" s="123"/>
      <c r="AM24" s="121" t="str">
        <f>IF([12]回答表!R46="○","○","")</f>
        <v/>
      </c>
      <c r="AN24" s="122"/>
      <c r="AO24" s="122"/>
      <c r="AP24" s="122"/>
      <c r="AQ24" s="122"/>
      <c r="AR24" s="122"/>
      <c r="AS24" s="123"/>
      <c r="AT24" s="121" t="str">
        <f>IF([12]回答表!R47="○","○","")</f>
        <v/>
      </c>
      <c r="AU24" s="122"/>
      <c r="AV24" s="122"/>
      <c r="AW24" s="122"/>
      <c r="AX24" s="122"/>
      <c r="AY24" s="122"/>
      <c r="AZ24" s="123"/>
      <c r="BA24" s="19"/>
      <c r="BB24" s="118" t="str">
        <f>IF([12]回答表!R48="○","○","")</f>
        <v>○</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IF([12]回答表!X41="○","○","")</f>
        <v/>
      </c>
      <c r="O36" s="98"/>
      <c r="P36" s="98"/>
      <c r="Q36" s="99"/>
      <c r="R36" s="39"/>
      <c r="S36" s="39"/>
      <c r="T36" s="39"/>
      <c r="U36" s="106" t="str">
        <f>IF([12]回答表!X41="○",[12]回答表!B56,IF([12]回答表!AA41="○",[12]回答表!B76,""))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IF([12]回答表!X41="○",[12]回答表!S62,IF([12]回答表!AA41="○",[12]回答表!S82,""))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IF([12]回答表!X41="○",[12]回答表!G62,IF([12]回答表!AA41="○",[12]回答表!G82,""))</f>
        <v/>
      </c>
      <c r="AN38" s="119"/>
      <c r="AO38" s="119"/>
      <c r="AP38" s="119"/>
      <c r="AQ38" s="119"/>
      <c r="AR38" s="119"/>
      <c r="AS38" s="119"/>
      <c r="AT38" s="120"/>
      <c r="AU38" s="118" t="str">
        <f>IF([12]回答表!X41="○",[12]回答表!G63,IF([12]回答表!AA41="○",[12]回答表!G83,""))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IF([12]回答表!X41="○",[12]回答表!V62,IF([12]回答表!AA41="○",[12]回答表!V82,""))</f>
        <v/>
      </c>
      <c r="BF39" s="217"/>
      <c r="BG39" s="217"/>
      <c r="BH39" s="218"/>
      <c r="BI39" s="82" t="str">
        <f>IF([12]回答表!X41="○",[12]回答表!V63,IF([12]回答表!AA41="○",[12]回答表!V83,""))</f>
        <v/>
      </c>
      <c r="BJ39" s="217"/>
      <c r="BK39" s="217"/>
      <c r="BL39" s="218"/>
      <c r="BM39" s="82" t="str">
        <f>IF([12]回答表!X41="○",[12]回答表!V64,IF([12]回答表!AA41="○",[12]回答表!V84,""))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IF([12]回答表!X41="○",[12]回答表!O68,IF([12]回答表!AA41="○",[12]回答表!O88,""))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IF([12]回答表!X41="○",[12]回答表!O69,IF([12]回答表!AA41="○",[12]回答表!O89,""))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IF([12]回答表!X41="○",[12]回答表!O70,IF([12]回答表!AA41="○",[12]回答表!O90,""))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IF([12]回答表!X41="○",[12]回答表!O71,IF([12]回答表!AA41="○",[12]回答表!O91,""))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IF([12]回答表!X41="○",[12]回答表!AG68,IF([12]回答表!AA41="○",[12]回答表!AG88,""))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IF([12]回答表!X41="○",[12]回答表!AG69,IF([12]回答表!AA41="○",[12]回答表!AG89,""))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IF([12]回答表!X41="○",[12]回答表!AG70,IF([12]回答表!AA41="○",[12]回答表!AG90,""))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IF([12]回答表!AD41="○","○","")</f>
        <v/>
      </c>
      <c r="O52" s="98"/>
      <c r="P52" s="98"/>
      <c r="Q52" s="99"/>
      <c r="R52" s="39"/>
      <c r="S52" s="39"/>
      <c r="T52" s="39"/>
      <c r="U52" s="106" t="str">
        <f>IF([12]回答表!AD41="○",[12]回答表!B96,"")</f>
        <v/>
      </c>
      <c r="V52" s="107"/>
      <c r="W52" s="107"/>
      <c r="X52" s="107"/>
      <c r="Y52" s="107"/>
      <c r="Z52" s="107"/>
      <c r="AA52" s="107"/>
      <c r="AB52" s="107"/>
      <c r="AC52" s="107"/>
      <c r="AD52" s="107"/>
      <c r="AE52" s="107"/>
      <c r="AF52" s="107"/>
      <c r="AG52" s="107"/>
      <c r="AH52" s="107"/>
      <c r="AI52" s="107"/>
      <c r="AJ52" s="108"/>
      <c r="AK52" s="56"/>
      <c r="AL52" s="56"/>
      <c r="AM52" s="106" t="str">
        <f>IF([12]回答表!AD41="○",[12]回答表!B101,"")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IF([12]回答表!X42="○","○","")</f>
        <v/>
      </c>
      <c r="O63" s="98"/>
      <c r="P63" s="98"/>
      <c r="Q63" s="99"/>
      <c r="R63" s="39"/>
      <c r="S63" s="39"/>
      <c r="T63" s="39"/>
      <c r="U63" s="106" t="str">
        <f>IF([12]回答表!X42="○",[12]回答表!B111,IF([12]回答表!AA42="○",[12]回答表!B124,""))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IF([12]回答表!X42="○",[12]回答表!S117,IF([12]回答表!AA42="○",[12]回答表!S130,""))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IF([12]回答表!X42="○",[12]回答表!J117,IF([12]回答表!AA42="○",[12]回答表!J130,""))</f>
        <v/>
      </c>
      <c r="AN66" s="119"/>
      <c r="AO66" s="119"/>
      <c r="AP66" s="119"/>
      <c r="AQ66" s="119"/>
      <c r="AR66" s="119"/>
      <c r="AS66" s="119"/>
      <c r="AT66" s="120"/>
      <c r="AU66" s="118" t="str">
        <f>IF([12]回答表!X42="○",[12]回答表!J118,IF([12]回答表!AA42="○",[12]回答表!J131,""))</f>
        <v/>
      </c>
      <c r="AV66" s="119"/>
      <c r="AW66" s="119"/>
      <c r="AX66" s="119"/>
      <c r="AY66" s="119"/>
      <c r="AZ66" s="119"/>
      <c r="BA66" s="119"/>
      <c r="BB66" s="120"/>
      <c r="BC66" s="40"/>
      <c r="BD66" s="35"/>
      <c r="BE66" s="82" t="str">
        <f>IF([12]回答表!X42="○",[12]回答表!V117,IF([12]回答表!AA42="○",[12]回答表!V130,""))</f>
        <v/>
      </c>
      <c r="BF66" s="83"/>
      <c r="BG66" s="83"/>
      <c r="BH66" s="83"/>
      <c r="BI66" s="82" t="str">
        <f>IF([12]回答表!X42="○",[12]回答表!V118,IF([12]回答表!AA42="○",[12]回答表!V131,""))</f>
        <v/>
      </c>
      <c r="BJ66" s="83"/>
      <c r="BK66" s="83"/>
      <c r="BL66" s="83"/>
      <c r="BM66" s="82" t="str">
        <f>IF([12]回答表!X42="○",[12]回答表!V119,IF([12]回答表!AA42="○",[12]回答表!V132,""))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IF([12]回答表!AD42="○","○","")</f>
        <v/>
      </c>
      <c r="O75" s="98"/>
      <c r="P75" s="98"/>
      <c r="Q75" s="99"/>
      <c r="R75" s="39"/>
      <c r="S75" s="39"/>
      <c r="T75" s="39"/>
      <c r="U75" s="106" t="str">
        <f>IF([12]回答表!AD42="○",[12]回答表!B137,"")</f>
        <v/>
      </c>
      <c r="V75" s="107"/>
      <c r="W75" s="107"/>
      <c r="X75" s="107"/>
      <c r="Y75" s="107"/>
      <c r="Z75" s="107"/>
      <c r="AA75" s="107"/>
      <c r="AB75" s="107"/>
      <c r="AC75" s="107"/>
      <c r="AD75" s="107"/>
      <c r="AE75" s="107"/>
      <c r="AF75" s="107"/>
      <c r="AG75" s="107"/>
      <c r="AH75" s="107"/>
      <c r="AI75" s="107"/>
      <c r="AJ75" s="108"/>
      <c r="AK75" s="56"/>
      <c r="AL75" s="56"/>
      <c r="AM75" s="106" t="str">
        <f>IF([12]回答表!AD42="○",[12]回答表!B143,"")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IF([12]回答表!F17="水道事業",IF([12]回答表!X43="○","○",""),"")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IF([12]回答表!F17="水道事業",IF([12]回答表!X43="○",[12]回答表!B154,IF([12]回答表!AA43="○",[12]回答表!B201,"")),"")</f>
        <v/>
      </c>
      <c r="AN87" s="107"/>
      <c r="AO87" s="107"/>
      <c r="AP87" s="107"/>
      <c r="AQ87" s="107"/>
      <c r="AR87" s="107"/>
      <c r="AS87" s="107"/>
      <c r="AT87" s="107"/>
      <c r="AU87" s="107"/>
      <c r="AV87" s="107"/>
      <c r="AW87" s="107"/>
      <c r="AX87" s="107"/>
      <c r="AY87" s="107"/>
      <c r="AZ87" s="107"/>
      <c r="BA87" s="107"/>
      <c r="BB87" s="108"/>
      <c r="BC87" s="40"/>
      <c r="BD87" s="35"/>
      <c r="BE87" s="115" t="str">
        <f>IF([12]回答表!F17="水道事業",IF([12]回答表!X43="○",[12]回答表!B190,IF([12]回答表!AA43="○",[12]回答表!B238,"")),"")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IF([12]回答表!F17="水道事業",IF([12]回答表!X43="○",[12]回答表!J162,IF([12]回答表!AA43="○",[12]回答表!J209,"")),"")</f>
        <v/>
      </c>
      <c r="V89" s="119"/>
      <c r="W89" s="119"/>
      <c r="X89" s="119"/>
      <c r="Y89" s="119"/>
      <c r="Z89" s="119"/>
      <c r="AA89" s="119"/>
      <c r="AB89" s="120"/>
      <c r="AC89" s="118" t="str">
        <f>IF([12]回答表!F17="水道事業",IF([12]回答表!X43="○",[12]回答表!J169,IF([12]回答表!AA43="○",[12]回答表!J216,"")),"")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IF([12]回答表!F17="水道事業",IF([12]回答表!X43="○",[12]回答表!E190,IF([12]回答表!AA43="○",[12]回答表!E238,"")),"")</f>
        <v/>
      </c>
      <c r="BF90" s="83"/>
      <c r="BG90" s="83"/>
      <c r="BH90" s="83"/>
      <c r="BI90" s="82" t="str">
        <f>IF([12]回答表!F17="水道事業",IF([12]回答表!X43="○",[12]回答表!E191,IF([12]回答表!AA43="○",[12]回答表!E239,"")),"")</f>
        <v/>
      </c>
      <c r="BJ90" s="83"/>
      <c r="BK90" s="83"/>
      <c r="BL90" s="83"/>
      <c r="BM90" s="82" t="str">
        <f>IF([12]回答表!F17="水道事業",IF([12]回答表!X43="○",[12]回答表!E192,IF([12]回答表!AA43="○",[12]回答表!E240,"")),"")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IF([12]回答表!F17="水道事業",IF([12]回答表!AA43="○","○",""),"")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IF([12]回答表!F17="水道事業",IF([12]回答表!X43="○",[12]回答表!J172,IF([12]回答表!AA43="○",[12]回答表!J219,"")),"")</f>
        <v/>
      </c>
      <c r="V94" s="119"/>
      <c r="W94" s="119"/>
      <c r="X94" s="119"/>
      <c r="Y94" s="119"/>
      <c r="Z94" s="119"/>
      <c r="AA94" s="119"/>
      <c r="AB94" s="120"/>
      <c r="AC94" s="118" t="str">
        <f>IF([12]回答表!F17="水道事業",IF([12]回答表!X43="○",[12]回答表!J176,IF([12]回答表!AA43="○",[12]回答表!J223,"")),"")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IF([12]回答表!F17="水道事業",IF([12]回答表!AD43="○","○",""),"")</f>
        <v/>
      </c>
      <c r="O99" s="98"/>
      <c r="P99" s="98"/>
      <c r="Q99" s="99"/>
      <c r="R99" s="39"/>
      <c r="S99" s="39"/>
      <c r="T99" s="39"/>
      <c r="U99" s="106" t="str">
        <f>IF([12]回答表!F17="水道事業",IF([12]回答表!AD43="○",[12]回答表!B249,""),"")</f>
        <v/>
      </c>
      <c r="V99" s="107"/>
      <c r="W99" s="107"/>
      <c r="X99" s="107"/>
      <c r="Y99" s="107"/>
      <c r="Z99" s="107"/>
      <c r="AA99" s="107"/>
      <c r="AB99" s="107"/>
      <c r="AC99" s="107"/>
      <c r="AD99" s="107"/>
      <c r="AE99" s="107"/>
      <c r="AF99" s="107"/>
      <c r="AG99" s="107"/>
      <c r="AH99" s="107"/>
      <c r="AI99" s="107"/>
      <c r="AJ99" s="108"/>
      <c r="AK99" s="56"/>
      <c r="AL99" s="56"/>
      <c r="AM99" s="106" t="str">
        <f>IF([12]回答表!F17="水道事業",IF([12]回答表!AD43="○",[12]回答表!B255,""),"")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IF([12]回答表!F17="簡易水道事業",IF([12]回答表!X43="○","○",""),"")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IF([12]回答表!F17="簡易水道事業",IF([12]回答表!X43="○",[12]回答表!B154,IF([12]回答表!AA43="○",[12]回答表!B201,"")),"")</f>
        <v/>
      </c>
      <c r="AN111" s="107"/>
      <c r="AO111" s="107"/>
      <c r="AP111" s="107"/>
      <c r="AQ111" s="107"/>
      <c r="AR111" s="107"/>
      <c r="AS111" s="107"/>
      <c r="AT111" s="107"/>
      <c r="AU111" s="107"/>
      <c r="AV111" s="107"/>
      <c r="AW111" s="107"/>
      <c r="AX111" s="107"/>
      <c r="AY111" s="107"/>
      <c r="AZ111" s="107"/>
      <c r="BA111" s="107"/>
      <c r="BB111" s="108"/>
      <c r="BC111" s="40"/>
      <c r="BD111" s="35"/>
      <c r="BE111" s="115" t="str">
        <f>IF([12]回答表!F17="簡易水道事業",IF([12]回答表!X43="○",[12]回答表!B190,IF([12]回答表!AA43="○",[12]回答表!B238,"")),"")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IF([12]回答表!F17="簡易水道事業",IF([12]回答表!X43="○",[12]回答表!Y181,IF([12]回答表!AA43="○",[12]回答表!Y229,"")),"")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IF([12]回答表!F17="簡易水道事業",IF([12]回答表!X43="○",[12]回答表!E190,IF([12]回答表!AA43="○",[12]回答表!E238,"")),"")</f>
        <v/>
      </c>
      <c r="BF114" s="83"/>
      <c r="BG114" s="83"/>
      <c r="BH114" s="83"/>
      <c r="BI114" s="82" t="str">
        <f>IF([12]回答表!F17="簡易水道事業",IF([12]回答表!X43="○",[12]回答表!E191,IF([12]回答表!AA43="○",[12]回答表!E239,"")),"")</f>
        <v/>
      </c>
      <c r="BJ114" s="83"/>
      <c r="BK114" s="83"/>
      <c r="BL114" s="83"/>
      <c r="BM114" s="82" t="str">
        <f>IF([12]回答表!F17="簡易水道事業",IF([12]回答表!X43="○",[12]回答表!E192,IF([12]回答表!AA43="○",[12]回答表!E240,"")),"")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IF([12]回答表!F17="簡易水道事業",IF([12]回答表!AA43="○","○",""),"")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IF([12]回答表!F17="簡易水道事業",IF([12]回答表!X43="○",[12]回答表!Y182,IF([12]回答表!AA43="○",[12]回答表!Y230,"")),"")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IF([12]回答表!F17="簡易水道事業",IF([12]回答表!AD43="○","○",""),"")</f>
        <v/>
      </c>
      <c r="O123" s="98"/>
      <c r="P123" s="98"/>
      <c r="Q123" s="99"/>
      <c r="R123" s="39"/>
      <c r="S123" s="39"/>
      <c r="T123" s="39"/>
      <c r="U123" s="106" t="str">
        <f>IF([12]回答表!F17="簡易水道事業",IF([12]回答表!AD43="○",[12]回答表!B249,""),"")</f>
        <v/>
      </c>
      <c r="V123" s="107"/>
      <c r="W123" s="107"/>
      <c r="X123" s="107"/>
      <c r="Y123" s="107"/>
      <c r="Z123" s="107"/>
      <c r="AA123" s="107"/>
      <c r="AB123" s="107"/>
      <c r="AC123" s="107"/>
      <c r="AD123" s="107"/>
      <c r="AE123" s="107"/>
      <c r="AF123" s="107"/>
      <c r="AG123" s="107"/>
      <c r="AH123" s="107"/>
      <c r="AI123" s="107"/>
      <c r="AJ123" s="108"/>
      <c r="AK123" s="56"/>
      <c r="AL123" s="56"/>
      <c r="AM123" s="106" t="str">
        <f>IF([12]回答表!F17="簡易水道事業",IF([12]回答表!AD43="○",[12]回答表!B255,""),"")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IF([12]回答表!F17="下水道事業",IF([12]回答表!X43="○","○",""),"")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IF([12]回答表!F17="下水道事業",IF([12]回答表!X43="○",[12]回答表!B154,IF([12]回答表!AA43="○",[12]回答表!B201,"")),"")</f>
        <v/>
      </c>
      <c r="AN135" s="107"/>
      <c r="AO135" s="107"/>
      <c r="AP135" s="107"/>
      <c r="AQ135" s="107"/>
      <c r="AR135" s="107"/>
      <c r="AS135" s="107"/>
      <c r="AT135" s="107"/>
      <c r="AU135" s="107"/>
      <c r="AV135" s="107"/>
      <c r="AW135" s="107"/>
      <c r="AX135" s="107"/>
      <c r="AY135" s="107"/>
      <c r="AZ135" s="107"/>
      <c r="BA135" s="107"/>
      <c r="BB135" s="108"/>
      <c r="BC135" s="40"/>
      <c r="BD135" s="35"/>
      <c r="BE135" s="115" t="str">
        <f>IF([12]回答表!F17="下水道事業",IF([12]回答表!X43="○",[12]回答表!B190,IF([12]回答表!AA43="○",[12]回答表!B238,"")),"")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IF([12]回答表!F17="下水道事業",IF([12]回答表!X43="○",[12]回答表!Y184,IF([12]回答表!AA43="○",[12]回答表!Y232,"")),"")</f>
        <v/>
      </c>
      <c r="V137" s="119"/>
      <c r="W137" s="119"/>
      <c r="X137" s="119"/>
      <c r="Y137" s="119"/>
      <c r="Z137" s="119"/>
      <c r="AA137" s="119"/>
      <c r="AB137" s="120"/>
      <c r="AC137" s="118" t="str">
        <f>IF([12]回答表!F17="下水道事業",IF([12]回答表!X43="○",[12]回答表!Y185,IF([12]回答表!AA43="○",[12]回答表!Y233,"")),"")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IF([12]回答表!F17="下水道事業",IF([12]回答表!X43="○",[12]回答表!E190,IF([12]回答表!AA43="○",[12]回答表!E238,"")),"")</f>
        <v/>
      </c>
      <c r="BF138" s="83"/>
      <c r="BG138" s="83"/>
      <c r="BH138" s="83"/>
      <c r="BI138" s="82" t="str">
        <f>IF([12]回答表!F17="下水道事業",IF([12]回答表!X43="○",[12]回答表!E191,IF([12]回答表!AA43="○",[12]回答表!E239,"")),"")</f>
        <v/>
      </c>
      <c r="BJ138" s="83"/>
      <c r="BK138" s="83"/>
      <c r="BL138" s="83"/>
      <c r="BM138" s="82" t="str">
        <f>IF([12]回答表!F17="下水道事業",IF([12]回答表!X43="○",[12]回答表!E192,IF([12]回答表!AA43="○",[12]回答表!E240,"")),"")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IF([12]回答表!F17="下水道事業",IF([12]回答表!AA43="○","○",""),"")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IF([12]回答表!F17="下水道事業",IF([12]回答表!X43="○",[12]回答表!Y186,IF([12]回答表!AA43="○",[12]回答表!Y234,"")),"")</f>
        <v/>
      </c>
      <c r="V142" s="119"/>
      <c r="W142" s="119"/>
      <c r="X142" s="119"/>
      <c r="Y142" s="119"/>
      <c r="Z142" s="119"/>
      <c r="AA142" s="119"/>
      <c r="AB142" s="120"/>
      <c r="AC142" s="118" t="str">
        <f>IF([12]回答表!F17="下水道事業",IF([12]回答表!X43="○",[12]回答表!Y187,IF([12]回答表!AA43="○",[12]回答表!Y235,"")),"")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IF([12]回答表!F17="下水道事業",IF([12]回答表!AD43="○","○",""),"")</f>
        <v/>
      </c>
      <c r="O147" s="98"/>
      <c r="P147" s="98"/>
      <c r="Q147" s="99"/>
      <c r="R147" s="39"/>
      <c r="S147" s="39"/>
      <c r="T147" s="39"/>
      <c r="U147" s="106" t="str">
        <f>IF([12]回答表!F17="下水道事業",IF([12]回答表!AD43="○",[12]回答表!B249,""),"")</f>
        <v/>
      </c>
      <c r="V147" s="107"/>
      <c r="W147" s="107"/>
      <c r="X147" s="107"/>
      <c r="Y147" s="107"/>
      <c r="Z147" s="107"/>
      <c r="AA147" s="107"/>
      <c r="AB147" s="107"/>
      <c r="AC147" s="107"/>
      <c r="AD147" s="107"/>
      <c r="AE147" s="107"/>
      <c r="AF147" s="107"/>
      <c r="AG147" s="107"/>
      <c r="AH147" s="107"/>
      <c r="AI147" s="107"/>
      <c r="AJ147" s="108"/>
      <c r="AK147" s="56"/>
      <c r="AL147" s="56"/>
      <c r="AM147" s="106" t="str">
        <f>IF([12]回答表!F17="下水道事業",IF([12]回答表!AD43="○",[12]回答表!B255,""),"")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IF([12]回答表!BD17="○",IF([12]回答表!X43="○","○",""),"")</f>
        <v/>
      </c>
      <c r="O159" s="98"/>
      <c r="P159" s="98"/>
      <c r="Q159" s="99"/>
      <c r="R159" s="39"/>
      <c r="S159" s="39"/>
      <c r="T159" s="39"/>
      <c r="U159" s="106" t="str">
        <f>IF([12]回答表!BD17="○",IF([12]回答表!X43="○",[12]回答表!B154,IF([12]回答表!AA43="○",[12]回答表!B201,"")),"")</f>
        <v/>
      </c>
      <c r="V159" s="107"/>
      <c r="W159" s="107"/>
      <c r="X159" s="107"/>
      <c r="Y159" s="107"/>
      <c r="Z159" s="107"/>
      <c r="AA159" s="107"/>
      <c r="AB159" s="107"/>
      <c r="AC159" s="107"/>
      <c r="AD159" s="107"/>
      <c r="AE159" s="107"/>
      <c r="AF159" s="107"/>
      <c r="AG159" s="107"/>
      <c r="AH159" s="107"/>
      <c r="AI159" s="107"/>
      <c r="AJ159" s="108"/>
      <c r="AK159" s="50"/>
      <c r="AL159" s="50"/>
      <c r="AM159" s="115" t="str">
        <f>IF([12]回答表!BD17="○",IF([12]回答表!X43="○",[12]回答表!B190,IF([12]回答表!AA43="○",[12]回答表!B238,"")),"")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IF([12]回答表!BD17="○",IF([12]回答表!X43="○",[12]回答表!E190,IF([12]回答表!AA43="○",[12]回答表!E238,"")),"")</f>
        <v/>
      </c>
      <c r="AN162" s="83"/>
      <c r="AO162" s="83"/>
      <c r="AP162" s="83"/>
      <c r="AQ162" s="82" t="str">
        <f>IF([12]回答表!BD17="○",IF([12]回答表!X43="○",[12]回答表!E191,IF([12]回答表!AA43="○",[12]回答表!E239,"")),"")</f>
        <v/>
      </c>
      <c r="AR162" s="83"/>
      <c r="AS162" s="83"/>
      <c r="AT162" s="83"/>
      <c r="AU162" s="82" t="str">
        <f>IF([12]回答表!BD17="○",IF([12]回答表!X43="○",[12]回答表!E192,IF([12]回答表!AA43="○",[12]回答表!E240,"")),"")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IF([12]回答表!BD17="○",IF([12]回答表!AA43="○","○",""),"")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IF([12]回答表!BD17="○",IF([12]回答表!AD43="○","○",""),"")</f>
        <v/>
      </c>
      <c r="O171" s="98"/>
      <c r="P171" s="98"/>
      <c r="Q171" s="99"/>
      <c r="R171" s="39"/>
      <c r="S171" s="39"/>
      <c r="T171" s="39"/>
      <c r="U171" s="106" t="str">
        <f>IF([12]回答表!BD17="○",IF([12]回答表!AD43="○",[12]回答表!B249,""),"")</f>
        <v/>
      </c>
      <c r="V171" s="107"/>
      <c r="W171" s="107"/>
      <c r="X171" s="107"/>
      <c r="Y171" s="107"/>
      <c r="Z171" s="107"/>
      <c r="AA171" s="107"/>
      <c r="AB171" s="107"/>
      <c r="AC171" s="107"/>
      <c r="AD171" s="107"/>
      <c r="AE171" s="107"/>
      <c r="AF171" s="107"/>
      <c r="AG171" s="107"/>
      <c r="AH171" s="107"/>
      <c r="AI171" s="107"/>
      <c r="AJ171" s="108"/>
      <c r="AK171" s="56"/>
      <c r="AL171" s="56"/>
      <c r="AM171" s="106" t="str">
        <f>IF([12]回答表!BD17="○",IF([12]回答表!AD43="○",[12]回答表!B255,""),"")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IF([12]回答表!X44="○","○","")</f>
        <v/>
      </c>
      <c r="O183" s="98"/>
      <c r="P183" s="98"/>
      <c r="Q183" s="99"/>
      <c r="R183" s="39"/>
      <c r="S183" s="39"/>
      <c r="T183" s="39"/>
      <c r="U183" s="106" t="str">
        <f>IF([12]回答表!X44="○",[12]回答表!B266,IF([12]回答表!AA44="○",[12]回答表!B283,""))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IF([12]回答表!X44="○",[12]回答表!U272,IF([12]回答表!AA44="○",[12]回答表!U289,""))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IF([12]回答表!X44="○",[12]回答表!G272,IF([12]回答表!AA44="○",[12]回答表!G289,""))</f>
        <v/>
      </c>
      <c r="AN186" s="119"/>
      <c r="AO186" s="119"/>
      <c r="AP186" s="119"/>
      <c r="AQ186" s="119"/>
      <c r="AR186" s="119"/>
      <c r="AS186" s="119"/>
      <c r="AT186" s="120"/>
      <c r="AU186" s="118" t="str">
        <f>IF([12]回答表!X44="○",[12]回答表!G273,IF([12]回答表!AA44="○",[12]回答表!G290,""))</f>
        <v/>
      </c>
      <c r="AV186" s="119"/>
      <c r="AW186" s="119"/>
      <c r="AX186" s="119"/>
      <c r="AY186" s="119"/>
      <c r="AZ186" s="119"/>
      <c r="BA186" s="119"/>
      <c r="BB186" s="120"/>
      <c r="BC186" s="40"/>
      <c r="BD186" s="35"/>
      <c r="BE186" s="82" t="str">
        <f>IF([12]回答表!X44="○",[12]回答表!X272,IF([12]回答表!AA44="○",[12]回答表!X289,""))</f>
        <v/>
      </c>
      <c r="BF186" s="83"/>
      <c r="BG186" s="83"/>
      <c r="BH186" s="83"/>
      <c r="BI186" s="82" t="str">
        <f>IF([12]回答表!X44="○",[12]回答表!X273,IF([12]回答表!AA44="○",[12]回答表!X290,""))</f>
        <v/>
      </c>
      <c r="BJ186" s="83"/>
      <c r="BK186" s="83"/>
      <c r="BL186" s="86"/>
      <c r="BM186" s="82" t="str">
        <f>IF([12]回答表!X44="○",[12]回答表!X274,IF([12]回答表!AA44="○",[12]回答表!X291,""))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IF([12]回答表!AD44="○","○","")</f>
        <v/>
      </c>
      <c r="O195" s="98"/>
      <c r="P195" s="98"/>
      <c r="Q195" s="99"/>
      <c r="R195" s="39"/>
      <c r="S195" s="39"/>
      <c r="T195" s="39"/>
      <c r="U195" s="106" t="str">
        <f>IF([12]回答表!AD44="○",[12]回答表!B296,"")</f>
        <v/>
      </c>
      <c r="V195" s="107"/>
      <c r="W195" s="107"/>
      <c r="X195" s="107"/>
      <c r="Y195" s="107"/>
      <c r="Z195" s="107"/>
      <c r="AA195" s="107"/>
      <c r="AB195" s="107"/>
      <c r="AC195" s="107"/>
      <c r="AD195" s="107"/>
      <c r="AE195" s="107"/>
      <c r="AF195" s="107"/>
      <c r="AG195" s="107"/>
      <c r="AH195" s="107"/>
      <c r="AI195" s="107"/>
      <c r="AJ195" s="108"/>
      <c r="AK195" s="61"/>
      <c r="AL195" s="61"/>
      <c r="AM195" s="106" t="str">
        <f>IF([12]回答表!AD44="○",[12]回答表!B302,"")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IF([12]回答表!X45="○","○","")</f>
        <v/>
      </c>
      <c r="O207" s="98"/>
      <c r="P207" s="98"/>
      <c r="Q207" s="99"/>
      <c r="R207" s="39"/>
      <c r="S207" s="39"/>
      <c r="T207" s="39"/>
      <c r="U207" s="106" t="str">
        <f>IF([12]回答表!X45="○",[12]回答表!B314,IF([12]回答表!AA45="○",[12]回答表!B337,""))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IF([12]回答表!X45="○",[12]回答表!B320,"")</f>
        <v/>
      </c>
      <c r="AO207" s="164"/>
      <c r="AP207" s="164"/>
      <c r="AQ207" s="164"/>
      <c r="AR207" s="164"/>
      <c r="AS207" s="164"/>
      <c r="AT207" s="164"/>
      <c r="AU207" s="164"/>
      <c r="AV207" s="164"/>
      <c r="AW207" s="164"/>
      <c r="AX207" s="164"/>
      <c r="AY207" s="164"/>
      <c r="AZ207" s="164"/>
      <c r="BA207" s="164"/>
      <c r="BB207" s="165"/>
      <c r="BC207" s="40"/>
      <c r="BD207" s="35"/>
      <c r="BE207" s="115" t="str">
        <f>IF([12]回答表!X45="○",[12]回答表!B326,IF([12]回答表!AA45="○",[12]回答表!B343,""))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IF([12]回答表!X45="○",[12]回答表!E326,IF([12]回答表!AA45="○",[12]回答表!E343,""))</f>
        <v/>
      </c>
      <c r="BF210" s="83"/>
      <c r="BG210" s="83"/>
      <c r="BH210" s="83"/>
      <c r="BI210" s="82" t="str">
        <f>IF([12]回答表!X45="○",[12]回答表!E327,IF([12]回答表!AA45="○",[12]回答表!E344,""))</f>
        <v/>
      </c>
      <c r="BJ210" s="83"/>
      <c r="BK210" s="83"/>
      <c r="BL210" s="86"/>
      <c r="BM210" s="82" t="str">
        <f>IF([12]回答表!X45="○",[12]回答表!E328,IF([12]回答表!AA45="○",[12]回答表!E345,""))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IF([12]回答表!AD45="○","○","")</f>
        <v/>
      </c>
      <c r="O219" s="98"/>
      <c r="P219" s="98"/>
      <c r="Q219" s="99"/>
      <c r="R219" s="39"/>
      <c r="S219" s="39"/>
      <c r="T219" s="39"/>
      <c r="U219" s="106" t="str">
        <f>IF([12]回答表!AD45="○",[12]回答表!B350,"")</f>
        <v/>
      </c>
      <c r="V219" s="107"/>
      <c r="W219" s="107"/>
      <c r="X219" s="107"/>
      <c r="Y219" s="107"/>
      <c r="Z219" s="107"/>
      <c r="AA219" s="107"/>
      <c r="AB219" s="107"/>
      <c r="AC219" s="107"/>
      <c r="AD219" s="107"/>
      <c r="AE219" s="107"/>
      <c r="AF219" s="107"/>
      <c r="AG219" s="107"/>
      <c r="AH219" s="107"/>
      <c r="AI219" s="107"/>
      <c r="AJ219" s="108"/>
      <c r="AK219" s="61"/>
      <c r="AL219" s="61"/>
      <c r="AM219" s="106" t="str">
        <f>IF([12]回答表!AD45="○",[12]回答表!B356,"")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IF([12]回答表!X46="○","○","")</f>
        <v/>
      </c>
      <c r="O231" s="98"/>
      <c r="P231" s="98"/>
      <c r="Q231" s="99"/>
      <c r="R231" s="39"/>
      <c r="S231" s="39"/>
      <c r="T231" s="39"/>
      <c r="U231" s="106" t="str">
        <f>IF([12]回答表!X46="○",[12]回答表!B368,IF([12]回答表!AA46="○",[12]回答表!B382,""))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IF([12]回答表!X46="○",[12]回答表!BC375,IF([12]回答表!AA46="○",[12]回答表!BC389,""))</f>
        <v/>
      </c>
      <c r="AR231" s="150"/>
      <c r="AS231" s="150"/>
      <c r="AT231" s="150"/>
      <c r="AU231" s="155" t="s">
        <v>63</v>
      </c>
      <c r="AV231" s="156"/>
      <c r="AW231" s="156"/>
      <c r="AX231" s="157"/>
      <c r="AY231" s="150" t="str">
        <f>IF([12]回答表!X46="○",[12]回答表!BC380,IF([12]回答表!AA46="○",[12]回答表!BC394,""))</f>
        <v/>
      </c>
      <c r="AZ231" s="150"/>
      <c r="BA231" s="150"/>
      <c r="BB231" s="150"/>
      <c r="BC231" s="40"/>
      <c r="BD231" s="35"/>
      <c r="BE231" s="115" t="str">
        <f>IF([12]回答表!X46="○",[12]回答表!S374,IF([12]回答表!AA46="○",[12]回答表!S388,""))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IF([12]回答表!X46="○",[12]回答表!BC376,IF([12]回答表!AA46="○",[12]回答表!BC390,""))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IF([12]回答表!X46="○",[12]回答表!V374,IF([12]回答表!AA46="○",[12]回答表!V388,""))</f>
        <v/>
      </c>
      <c r="BF234" s="83"/>
      <c r="BG234" s="83"/>
      <c r="BH234" s="83"/>
      <c r="BI234" s="82" t="str">
        <f>IF([12]回答表!X46="○",[12]回答表!V375,IF([12]回答表!AA46="○",[12]回答表!V389,""))</f>
        <v/>
      </c>
      <c r="BJ234" s="83"/>
      <c r="BK234" s="83"/>
      <c r="BL234" s="86"/>
      <c r="BM234" s="82" t="str">
        <f>IF([12]回答表!X46="○",[12]回答表!V376,IF([12]回答表!AA46="○",[12]回答表!V390,""))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IF([12]回答表!X46="○",[12]回答表!BC377,IF([12]回答表!AA46="○",[12]回答表!BC391,""))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IF([12]回答表!X46="○",[12]回答表!BC381,IF([12]回答表!AA46="○",[12]回答表!BC395,""))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IF([12]回答表!X46="○",[12]回答表!BC378,IF([12]回答表!AA46="○",[12]回答表!BC392,""))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IF([12]回答表!X46="○",[12]回答表!BC379,IF([12]回答表!AA46="○",[12]回答表!BC393,""))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IF([12]回答表!AD46="○","○","")</f>
        <v/>
      </c>
      <c r="O243" s="98"/>
      <c r="P243" s="98"/>
      <c r="Q243" s="99"/>
      <c r="R243" s="39"/>
      <c r="S243" s="39"/>
      <c r="T243" s="39"/>
      <c r="U243" s="106" t="str">
        <f>IF([12]回答表!AD46="○",[12]回答表!B396,"")</f>
        <v/>
      </c>
      <c r="V243" s="107"/>
      <c r="W243" s="107"/>
      <c r="X243" s="107"/>
      <c r="Y243" s="107"/>
      <c r="Z243" s="107"/>
      <c r="AA243" s="107"/>
      <c r="AB243" s="107"/>
      <c r="AC243" s="107"/>
      <c r="AD243" s="107"/>
      <c r="AE243" s="107"/>
      <c r="AF243" s="107"/>
      <c r="AG243" s="107"/>
      <c r="AH243" s="107"/>
      <c r="AI243" s="107"/>
      <c r="AJ243" s="108"/>
      <c r="AK243" s="56"/>
      <c r="AL243" s="56"/>
      <c r="AM243" s="106" t="str">
        <f>IF([12]回答表!AD46="○",[12]回答表!B402,"")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IF([12]回答表!X47="○","○","")</f>
        <v/>
      </c>
      <c r="O254" s="98"/>
      <c r="P254" s="98"/>
      <c r="Q254" s="99"/>
      <c r="R254" s="39"/>
      <c r="S254" s="39"/>
      <c r="T254" s="39"/>
      <c r="U254" s="106" t="str">
        <f>IF([12]回答表!X47="○",[12]回答表!B414,IF([12]回答表!AA47="○",[12]回答表!B431,""))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IF([12]回答表!X47="○",[12]回答表!B424,IF([12]回答表!AA47="○",[12]回答表!B441,""))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IF([12]回答表!X47="○",[12]回答表!G420,IF([12]回答表!AA47="○",[12]回答表!G437,""))</f>
        <v/>
      </c>
      <c r="AN256" s="119"/>
      <c r="AO256" s="119"/>
      <c r="AP256" s="119"/>
      <c r="AQ256" s="119"/>
      <c r="AR256" s="119"/>
      <c r="AS256" s="119"/>
      <c r="AT256" s="120"/>
      <c r="AU256" s="118" t="str">
        <f>IF([12]回答表!X47="○",[12]回答表!G421,IF([12]回答表!AA47="○",[12]回答表!G438,""))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IF([12]回答表!X47="○",[12]回答表!E424,IF([12]回答表!AA47="○",[12]回答表!E441,""))</f>
        <v/>
      </c>
      <c r="BF257" s="83"/>
      <c r="BG257" s="83"/>
      <c r="BH257" s="83"/>
      <c r="BI257" s="82" t="str">
        <f>IF([12]回答表!X47="○",[12]回答表!E425,IF([12]回答表!AA47="○",[12]回答表!E442,""))</f>
        <v/>
      </c>
      <c r="BJ257" s="83"/>
      <c r="BK257" s="83"/>
      <c r="BL257" s="86"/>
      <c r="BM257" s="82" t="str">
        <f>IF([12]回答表!X47="○",[12]回答表!E426,IF([12]回答表!AA47="○",[12]回答表!E443,""))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IF([12]回答表!AD47="○","○","")</f>
        <v/>
      </c>
      <c r="O266" s="98"/>
      <c r="P266" s="98"/>
      <c r="Q266" s="99"/>
      <c r="R266" s="39"/>
      <c r="S266" s="39"/>
      <c r="T266" s="39"/>
      <c r="U266" s="106" t="str">
        <f>IF([12]回答表!AD47="○",[12]回答表!B448,"")</f>
        <v/>
      </c>
      <c r="V266" s="107"/>
      <c r="W266" s="107"/>
      <c r="X266" s="107"/>
      <c r="Y266" s="107"/>
      <c r="Z266" s="107"/>
      <c r="AA266" s="107"/>
      <c r="AB266" s="107"/>
      <c r="AC266" s="107"/>
      <c r="AD266" s="107"/>
      <c r="AE266" s="107"/>
      <c r="AF266" s="107"/>
      <c r="AG266" s="107"/>
      <c r="AH266" s="107"/>
      <c r="AI266" s="107"/>
      <c r="AJ266" s="108"/>
      <c r="AK266" s="50"/>
      <c r="AL266" s="50"/>
      <c r="AM266" s="106" t="str">
        <f>IF([12]回答表!AD47="○",[12]回答表!B454,"")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IF([12]回答表!R48="○",[12]回答表!B467,"")</f>
        <v>　本事業は令和元年度から開始された事業であり、主目的は再生可能エネルギーの普及・啓発のため反復的な発電事業を行うことである。それゆえ公益を目的としているのものではなく、今後更なる事業展開する予定もないことから現行の経営体制・手法で問題はない。</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水道</vt:lpstr>
      <vt:lpstr>簡易水道</vt:lpstr>
      <vt:lpstr>病院</vt:lpstr>
      <vt:lpstr>下水道（公共下水道）</vt:lpstr>
      <vt:lpstr>下水道（特定環境保全公共下水道）</vt:lpstr>
      <vt:lpstr>下水道（農業集落排水施設）</vt:lpstr>
      <vt:lpstr>下水道（特定地域排水処理施設）</vt:lpstr>
      <vt:lpstr>電気（太陽光）</vt:lpstr>
      <vt:lpstr>電気（小水力）</vt:lpstr>
      <vt:lpstr>観光</vt:lpstr>
      <vt:lpstr>宅地造成</vt:lpstr>
      <vt:lpstr>介護サービス（指定介護老人福祉施設）</vt:lpstr>
      <vt:lpstr>介護サービス（介護老人保健施設）</vt:lpstr>
      <vt:lpstr>介護サービス（老人短期入所施設）</vt:lpstr>
      <vt:lpstr>介護サービス（老人デイサービスセンター）</vt:lpstr>
      <vt:lpstr>'下水道（公共下水道）'!Print_Area</vt:lpstr>
      <vt:lpstr>'下水道（特定環境保全公共下水道）'!Print_Area</vt:lpstr>
      <vt:lpstr>'下水道（特定地域排水処理施設）'!Print_Area</vt:lpstr>
      <vt:lpstr>'下水道（農業集落排水施設）'!Print_Area</vt:lpstr>
      <vt:lpstr>'介護サービス（介護老人保健施設）'!Print_Area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観光!Print_Area</vt:lpstr>
      <vt:lpstr>水道!Print_Area</vt:lpstr>
      <vt:lpstr>宅地造成!Print_Area</vt:lpstr>
      <vt:lpstr>'電気（小水力）'!Print_Area</vt:lpstr>
      <vt:lpstr>'電気（太陽光）'!Print_Area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cp:lastPrinted>2020-11-16T06:19:14Z</cp:lastPrinted>
  <dcterms:created xsi:type="dcterms:W3CDTF">2015-06-05T18:17:20Z</dcterms:created>
  <dcterms:modified xsi:type="dcterms:W3CDTF">2020-11-17T06:52:05Z</dcterms:modified>
</cp:coreProperties>
</file>