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10.18.11.9\home\02koueikigyo\02 業務\01 共通業務\03 各種調査・照会\07 経営総点検調査・抜本的改革取組状況調査\R02年度作業\01 抜本的な改革の取組状況調査\07 公開用ファイル\"/>
    </mc:Choice>
  </mc:AlternateContent>
  <xr:revisionPtr revIDLastSave="0" documentId="13_ncr:1_{4A2282EF-6633-40C7-8693-D55E383E08E6}" xr6:coauthVersionLast="45" xr6:coauthVersionMax="45" xr10:uidLastSave="{00000000-0000-0000-0000-000000000000}"/>
  <bookViews>
    <workbookView xWindow="-120" yWindow="-120" windowWidth="29040" windowHeight="15840" xr2:uid="{00000000-000D-0000-FFFF-FFFF00000000}"/>
  </bookViews>
  <sheets>
    <sheet name="水道" sheetId="16" r:id="rId1"/>
    <sheet name="簡易水道" sheetId="15" r:id="rId2"/>
    <sheet name="ガス" sheetId="3" r:id="rId3"/>
    <sheet name="下水道（公共下水道）" sheetId="8" r:id="rId4"/>
    <sheet name="下水道（特定環境保全公共下水道）" sheetId="9" r:id="rId5"/>
    <sheet name="下水道（農業集落排水施設）" sheetId="10" r:id="rId6"/>
    <sheet name="下水道（漁業集落排水施設）" sheetId="14" r:id="rId7"/>
    <sheet name="下水道（小規模集合排水施設）" sheetId="5" r:id="rId8"/>
    <sheet name="下水道（特定地域排水処理施設）" sheetId="6" r:id="rId9"/>
    <sheet name="下水道（簡易排水施設）" sheetId="4" r:id="rId10"/>
    <sheet name="下水道（個別排水処理施設）" sheetId="7" r:id="rId11"/>
    <sheet name="観光" sheetId="2" r:id="rId12"/>
    <sheet name="介護サービス（指定介護老人福祉施設）" sheetId="11" r:id="rId13"/>
    <sheet name="介護サービス（老人デイサービスセンター）" sheetId="12" r:id="rId14"/>
    <sheet name="介護サービス（老人短期入所施設）" sheetId="13"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Print_Area" localSheetId="2">ガス!$A$1:$BR$298</definedName>
    <definedName name="_xlnm.Print_Area" localSheetId="9">'下水道（簡易排水施設）'!$A$1:$BR$298</definedName>
    <definedName name="_xlnm.Print_Area" localSheetId="6">'下水道（漁業集落排水施設）'!$A$1:$BR$298</definedName>
    <definedName name="_xlnm.Print_Area" localSheetId="10">'下水道（個別排水処理施設）'!$A$1:$BR$298</definedName>
    <definedName name="_xlnm.Print_Area" localSheetId="3">'下水道（公共下水道）'!$A$1:$BR$298</definedName>
    <definedName name="_xlnm.Print_Area" localSheetId="7">'下水道（小規模集合排水施設）'!$A$1:$BR$298</definedName>
    <definedName name="_xlnm.Print_Area" localSheetId="4">'下水道（特定環境保全公共下水道）'!$A$1:$BR$298</definedName>
    <definedName name="_xlnm.Print_Area" localSheetId="8">'下水道（特定地域排水処理施設）'!$A$1:$BR$298</definedName>
    <definedName name="_xlnm.Print_Area" localSheetId="5">'下水道（農業集落排水施設）'!$A$1:$BR$298</definedName>
    <definedName name="_xlnm.Print_Area" localSheetId="12">'介護サービス（指定介護老人福祉施設）'!$A$1:$BR$298</definedName>
    <definedName name="_xlnm.Print_Area" localSheetId="13">'介護サービス（老人デイサービスセンター）'!$A$1:$BR$298</definedName>
    <definedName name="_xlnm.Print_Area" localSheetId="14">'介護サービス（老人短期入所施設）'!$A$1:$BR$298</definedName>
    <definedName name="_xlnm.Print_Area" localSheetId="1">簡易水道!$A$1:$BR$298</definedName>
    <definedName name="_xlnm.Print_Area" localSheetId="11">観光!$A$1:$BR$298</definedName>
    <definedName name="_xlnm.Print_Area" localSheetId="0">水道!$A$1:$BR$298</definedName>
    <definedName name="業種名" localSheetId="2">[1]選択肢!$K$2:$K$19</definedName>
    <definedName name="業種名" localSheetId="9">[2]選択肢!$K$2:$K$19</definedName>
    <definedName name="業種名" localSheetId="6">[3]選択肢!$K$2:$K$19</definedName>
    <definedName name="業種名" localSheetId="10">[4]選択肢!$K$2:$K$19</definedName>
    <definedName name="業種名" localSheetId="3">[5]選択肢!$K$2:$K$19</definedName>
    <definedName name="業種名" localSheetId="7">[6]選択肢!$K$2:$K$19</definedName>
    <definedName name="業種名" localSheetId="4">[7]選択肢!$K$2:$K$19</definedName>
    <definedName name="業種名" localSheetId="8">[8]選択肢!$K$2:$K$19</definedName>
    <definedName name="業種名" localSheetId="5">[9]選択肢!$K$2:$K$19</definedName>
    <definedName name="業種名" localSheetId="12">[11]選択肢!$K$2:$K$19</definedName>
    <definedName name="業種名" localSheetId="13">[10]選択肢!$K$2:$K$19</definedName>
    <definedName name="業種名" localSheetId="14">[12]選択肢!$K$2:$K$19</definedName>
    <definedName name="業種名" localSheetId="1">[13]選択肢!$K$2:$K$19</definedName>
    <definedName name="業種名" localSheetId="0">[14]選択肢!$K$2:$K$19</definedName>
    <definedName name="業種名">[15]選択肢!$K$2:$K$19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79" i="16" l="1"/>
  <c r="AM266" i="16"/>
  <c r="U266" i="16"/>
  <c r="N266" i="16"/>
  <c r="N260" i="16"/>
  <c r="BM257" i="16"/>
  <c r="BI257" i="16"/>
  <c r="BE257" i="16"/>
  <c r="AU256" i="16"/>
  <c r="AM256" i="16"/>
  <c r="BE254" i="16"/>
  <c r="U254" i="16"/>
  <c r="N254" i="16"/>
  <c r="AM243" i="16"/>
  <c r="U243" i="16"/>
  <c r="N243" i="16"/>
  <c r="AQ239" i="16"/>
  <c r="AQ237" i="16"/>
  <c r="N237" i="16"/>
  <c r="AY236" i="16"/>
  <c r="AQ235" i="16"/>
  <c r="BM234" i="16"/>
  <c r="BI234" i="16"/>
  <c r="BE234" i="16"/>
  <c r="AQ233" i="16"/>
  <c r="BE231" i="16"/>
  <c r="AY231" i="16"/>
  <c r="AQ231" i="16"/>
  <c r="U231" i="16"/>
  <c r="N231" i="16"/>
  <c r="AM219" i="16"/>
  <c r="U219" i="16"/>
  <c r="N219" i="16"/>
  <c r="N213" i="16"/>
  <c r="BM210" i="16"/>
  <c r="BI210" i="16"/>
  <c r="BE210" i="16"/>
  <c r="BE207" i="16"/>
  <c r="AN207" i="16"/>
  <c r="U207" i="16"/>
  <c r="N207" i="16"/>
  <c r="AM195" i="16"/>
  <c r="U195" i="16"/>
  <c r="N195" i="16"/>
  <c r="N189" i="16"/>
  <c r="BM186" i="16"/>
  <c r="BI186" i="16"/>
  <c r="BE186" i="16"/>
  <c r="AU186" i="16"/>
  <c r="AM186" i="16"/>
  <c r="BE183" i="16"/>
  <c r="U183" i="16"/>
  <c r="N183" i="16"/>
  <c r="AM171" i="16"/>
  <c r="U171" i="16"/>
  <c r="N171" i="16"/>
  <c r="N165" i="16"/>
  <c r="AU162" i="16"/>
  <c r="AQ162" i="16"/>
  <c r="AM162" i="16"/>
  <c r="AM159" i="16"/>
  <c r="U159" i="16"/>
  <c r="N159" i="16"/>
  <c r="AM147" i="16"/>
  <c r="U147" i="16"/>
  <c r="N147" i="16"/>
  <c r="AC142" i="16"/>
  <c r="U142" i="16"/>
  <c r="N141" i="16"/>
  <c r="BM138" i="16"/>
  <c r="BI138" i="16"/>
  <c r="BE138" i="16"/>
  <c r="AC137" i="16"/>
  <c r="U137" i="16"/>
  <c r="BE135" i="16"/>
  <c r="AM135" i="16"/>
  <c r="N135" i="16"/>
  <c r="AM123" i="16"/>
  <c r="U123" i="16"/>
  <c r="N123" i="16"/>
  <c r="U118" i="16"/>
  <c r="N117" i="16"/>
  <c r="BM114" i="16"/>
  <c r="BI114" i="16"/>
  <c r="BE114" i="16"/>
  <c r="U113" i="16"/>
  <c r="BE111" i="16"/>
  <c r="AM111" i="16"/>
  <c r="N111" i="16"/>
  <c r="AM99" i="16"/>
  <c r="U99" i="16"/>
  <c r="N99" i="16"/>
  <c r="AC94" i="16"/>
  <c r="U94" i="16"/>
  <c r="N93" i="16"/>
  <c r="BM90" i="16"/>
  <c r="BI90" i="16"/>
  <c r="BE90" i="16"/>
  <c r="AC89" i="16"/>
  <c r="U89" i="16"/>
  <c r="BE87" i="16"/>
  <c r="AM87" i="16"/>
  <c r="N87" i="16"/>
  <c r="AM75" i="16"/>
  <c r="U75" i="16"/>
  <c r="N75" i="16"/>
  <c r="N69" i="16"/>
  <c r="BM66" i="16"/>
  <c r="BI66" i="16"/>
  <c r="BE66" i="16"/>
  <c r="AU66" i="16"/>
  <c r="AM66" i="16"/>
  <c r="BE63" i="16"/>
  <c r="U63" i="16"/>
  <c r="N63" i="16"/>
  <c r="AM52" i="16"/>
  <c r="U52" i="16"/>
  <c r="N52" i="16"/>
  <c r="AM48" i="16"/>
  <c r="AM47" i="16"/>
  <c r="AM46" i="16"/>
  <c r="AM45" i="16"/>
  <c r="AM44" i="16"/>
  <c r="N44" i="16"/>
  <c r="AM43" i="16"/>
  <c r="AM42" i="16"/>
  <c r="BM39" i="16"/>
  <c r="BI39" i="16"/>
  <c r="BE39" i="16"/>
  <c r="AU38" i="16"/>
  <c r="AM38" i="16"/>
  <c r="BE36" i="16"/>
  <c r="U36" i="16"/>
  <c r="N36" i="16"/>
  <c r="BB24" i="16"/>
  <c r="AT24" i="16"/>
  <c r="AM24" i="16"/>
  <c r="AF24" i="16"/>
  <c r="Y24" i="16"/>
  <c r="R24" i="16"/>
  <c r="K24" i="16"/>
  <c r="D24" i="16"/>
  <c r="BF11" i="16"/>
  <c r="AO11" i="16"/>
  <c r="U11" i="16"/>
  <c r="C11" i="16"/>
  <c r="D279" i="15" l="1"/>
  <c r="AM266" i="15"/>
  <c r="U266" i="15"/>
  <c r="N266" i="15"/>
  <c r="N260" i="15"/>
  <c r="BM257" i="15"/>
  <c r="BI257" i="15"/>
  <c r="BE257" i="15"/>
  <c r="AU256" i="15"/>
  <c r="AM256" i="15"/>
  <c r="BE254" i="15"/>
  <c r="U254" i="15"/>
  <c r="N254" i="15"/>
  <c r="AM243" i="15"/>
  <c r="U243" i="15"/>
  <c r="N243" i="15"/>
  <c r="AQ239" i="15"/>
  <c r="AQ237" i="15"/>
  <c r="N237" i="15"/>
  <c r="AY236" i="15"/>
  <c r="AQ235" i="15"/>
  <c r="BM234" i="15"/>
  <c r="BI234" i="15"/>
  <c r="BE234" i="15"/>
  <c r="AQ233" i="15"/>
  <c r="BE231" i="15"/>
  <c r="AY231" i="15"/>
  <c r="AQ231" i="15"/>
  <c r="U231" i="15"/>
  <c r="N231" i="15"/>
  <c r="AM219" i="15"/>
  <c r="U219" i="15"/>
  <c r="N219" i="15"/>
  <c r="N213" i="15"/>
  <c r="BM210" i="15"/>
  <c r="BI210" i="15"/>
  <c r="BE210" i="15"/>
  <c r="BE207" i="15"/>
  <c r="AN207" i="15"/>
  <c r="U207" i="15"/>
  <c r="N207" i="15"/>
  <c r="AM195" i="15"/>
  <c r="U195" i="15"/>
  <c r="N195" i="15"/>
  <c r="N189" i="15"/>
  <c r="BM186" i="15"/>
  <c r="BI186" i="15"/>
  <c r="BE186" i="15"/>
  <c r="AU186" i="15"/>
  <c r="AM186" i="15"/>
  <c r="BE183" i="15"/>
  <c r="U183" i="15"/>
  <c r="N183" i="15"/>
  <c r="AM171" i="15"/>
  <c r="U171" i="15"/>
  <c r="N171" i="15"/>
  <c r="N165" i="15"/>
  <c r="AU162" i="15"/>
  <c r="AQ162" i="15"/>
  <c r="AM162" i="15"/>
  <c r="AM159" i="15"/>
  <c r="U159" i="15"/>
  <c r="N159" i="15"/>
  <c r="AM147" i="15"/>
  <c r="U147" i="15"/>
  <c r="N147" i="15"/>
  <c r="AC142" i="15"/>
  <c r="U142" i="15"/>
  <c r="N141" i="15"/>
  <c r="BM138" i="15"/>
  <c r="BI138" i="15"/>
  <c r="BE138" i="15"/>
  <c r="AC137" i="15"/>
  <c r="U137" i="15"/>
  <c r="BE135" i="15"/>
  <c r="AM135" i="15"/>
  <c r="N135" i="15"/>
  <c r="AM123" i="15"/>
  <c r="U123" i="15"/>
  <c r="N123" i="15"/>
  <c r="U118" i="15"/>
  <c r="N117" i="15"/>
  <c r="BM114" i="15"/>
  <c r="BI114" i="15"/>
  <c r="BE114" i="15"/>
  <c r="U113" i="15"/>
  <c r="BE111" i="15"/>
  <c r="AM111" i="15"/>
  <c r="N111" i="15"/>
  <c r="AM99" i="15"/>
  <c r="U99" i="15"/>
  <c r="N99" i="15"/>
  <c r="AC94" i="15"/>
  <c r="U94" i="15"/>
  <c r="N93" i="15"/>
  <c r="BM90" i="15"/>
  <c r="BI90" i="15"/>
  <c r="BE90" i="15"/>
  <c r="AC89" i="15"/>
  <c r="U89" i="15"/>
  <c r="BE87" i="15"/>
  <c r="AM87" i="15"/>
  <c r="N87" i="15"/>
  <c r="AM75" i="15"/>
  <c r="U75" i="15"/>
  <c r="N75" i="15"/>
  <c r="N69" i="15"/>
  <c r="BM66" i="15"/>
  <c r="BI66" i="15"/>
  <c r="BE66" i="15"/>
  <c r="AU66" i="15"/>
  <c r="AM66" i="15"/>
  <c r="BE63" i="15"/>
  <c r="U63" i="15"/>
  <c r="N63" i="15"/>
  <c r="AM52" i="15"/>
  <c r="U52" i="15"/>
  <c r="N52" i="15"/>
  <c r="AM48" i="15"/>
  <c r="AM47" i="15"/>
  <c r="AM46" i="15"/>
  <c r="AM45" i="15"/>
  <c r="AM44" i="15"/>
  <c r="N44" i="15"/>
  <c r="AM43" i="15"/>
  <c r="AM42" i="15"/>
  <c r="BM39" i="15"/>
  <c r="BI39" i="15"/>
  <c r="BE39" i="15"/>
  <c r="AU38" i="15"/>
  <c r="AM38" i="15"/>
  <c r="BE36" i="15"/>
  <c r="U36" i="15"/>
  <c r="N36" i="15"/>
  <c r="BB24" i="15"/>
  <c r="AT24" i="15"/>
  <c r="AM24" i="15"/>
  <c r="AF24" i="15"/>
  <c r="Y24" i="15"/>
  <c r="R24" i="15"/>
  <c r="K24" i="15"/>
  <c r="D24" i="15"/>
  <c r="BF11" i="15"/>
  <c r="AO11" i="15"/>
  <c r="U11" i="15"/>
  <c r="C11" i="15"/>
  <c r="D279" i="14" l="1"/>
  <c r="AM266" i="14"/>
  <c r="U266" i="14"/>
  <c r="N266" i="14"/>
  <c r="N260" i="14"/>
  <c r="BM257" i="14"/>
  <c r="BI257" i="14"/>
  <c r="BE257" i="14"/>
  <c r="AU256" i="14"/>
  <c r="AM256" i="14"/>
  <c r="BE254" i="14"/>
  <c r="U254" i="14"/>
  <c r="N254" i="14"/>
  <c r="AM243" i="14"/>
  <c r="U243" i="14"/>
  <c r="N243" i="14"/>
  <c r="AQ239" i="14"/>
  <c r="AQ237" i="14"/>
  <c r="N237" i="14"/>
  <c r="AY236" i="14"/>
  <c r="AQ235" i="14"/>
  <c r="BM234" i="14"/>
  <c r="BI234" i="14"/>
  <c r="BE234" i="14"/>
  <c r="AQ233" i="14"/>
  <c r="BE231" i="14"/>
  <c r="AY231" i="14"/>
  <c r="AQ231" i="14"/>
  <c r="U231" i="14"/>
  <c r="N231" i="14"/>
  <c r="AM219" i="14"/>
  <c r="U219" i="14"/>
  <c r="N219" i="14"/>
  <c r="N213" i="14"/>
  <c r="BM210" i="14"/>
  <c r="BI210" i="14"/>
  <c r="BE210" i="14"/>
  <c r="BE207" i="14"/>
  <c r="AN207" i="14"/>
  <c r="U207" i="14"/>
  <c r="N207" i="14"/>
  <c r="AM195" i="14"/>
  <c r="U195" i="14"/>
  <c r="N195" i="14"/>
  <c r="N189" i="14"/>
  <c r="BM186" i="14"/>
  <c r="BI186" i="14"/>
  <c r="BE186" i="14"/>
  <c r="AU186" i="14"/>
  <c r="AM186" i="14"/>
  <c r="BE183" i="14"/>
  <c r="U183" i="14"/>
  <c r="N183" i="14"/>
  <c r="AM171" i="14"/>
  <c r="U171" i="14"/>
  <c r="N171" i="14"/>
  <c r="N165" i="14"/>
  <c r="AU162" i="14"/>
  <c r="AQ162" i="14"/>
  <c r="AM162" i="14"/>
  <c r="AM159" i="14"/>
  <c r="U159" i="14"/>
  <c r="N159" i="14"/>
  <c r="AM147" i="14"/>
  <c r="U147" i="14"/>
  <c r="N147" i="14"/>
  <c r="AC142" i="14"/>
  <c r="U142" i="14"/>
  <c r="N141" i="14"/>
  <c r="BM138" i="14"/>
  <c r="BI138" i="14"/>
  <c r="BE138" i="14"/>
  <c r="AC137" i="14"/>
  <c r="U137" i="14"/>
  <c r="BE135" i="14"/>
  <c r="AM135" i="14"/>
  <c r="N135" i="14"/>
  <c r="AM123" i="14"/>
  <c r="U123" i="14"/>
  <c r="N123" i="14"/>
  <c r="U118" i="14"/>
  <c r="N117" i="14"/>
  <c r="BM114" i="14"/>
  <c r="BI114" i="14"/>
  <c r="BE114" i="14"/>
  <c r="U113" i="14"/>
  <c r="BE111" i="14"/>
  <c r="AM111" i="14"/>
  <c r="N111" i="14"/>
  <c r="AM99" i="14"/>
  <c r="U99" i="14"/>
  <c r="N99" i="14"/>
  <c r="AC94" i="14"/>
  <c r="U94" i="14"/>
  <c r="N93" i="14"/>
  <c r="BM90" i="14"/>
  <c r="BI90" i="14"/>
  <c r="BE90" i="14"/>
  <c r="AC89" i="14"/>
  <c r="U89" i="14"/>
  <c r="BE87" i="14"/>
  <c r="AM87" i="14"/>
  <c r="N87" i="14"/>
  <c r="AM75" i="14"/>
  <c r="U75" i="14"/>
  <c r="N75" i="14"/>
  <c r="N69" i="14"/>
  <c r="BM66" i="14"/>
  <c r="BI66" i="14"/>
  <c r="BE66" i="14"/>
  <c r="AU66" i="14"/>
  <c r="AM66" i="14"/>
  <c r="BE63" i="14"/>
  <c r="U63" i="14"/>
  <c r="N63" i="14"/>
  <c r="AM52" i="14"/>
  <c r="U52" i="14"/>
  <c r="N52" i="14"/>
  <c r="AM48" i="14"/>
  <c r="AM47" i="14"/>
  <c r="AM46" i="14"/>
  <c r="AM45" i="14"/>
  <c r="AM44" i="14"/>
  <c r="N44" i="14"/>
  <c r="AM43" i="14"/>
  <c r="AM42" i="14"/>
  <c r="BM39" i="14"/>
  <c r="BI39" i="14"/>
  <c r="BE39" i="14"/>
  <c r="AU38" i="14"/>
  <c r="AM38" i="14"/>
  <c r="BE36" i="14"/>
  <c r="U36" i="14"/>
  <c r="N36" i="14"/>
  <c r="BB24" i="14"/>
  <c r="AT24" i="14"/>
  <c r="AM24" i="14"/>
  <c r="AF24" i="14"/>
  <c r="Y24" i="14"/>
  <c r="R24" i="14"/>
  <c r="K24" i="14"/>
  <c r="D24" i="14"/>
  <c r="BF11" i="14"/>
  <c r="AO11" i="14"/>
  <c r="U11" i="14"/>
  <c r="C11" i="14"/>
  <c r="D279" i="13" l="1"/>
  <c r="AM266" i="13"/>
  <c r="U266" i="13"/>
  <c r="N266" i="13"/>
  <c r="N260" i="13"/>
  <c r="BM257" i="13"/>
  <c r="BI257" i="13"/>
  <c r="BE257" i="13"/>
  <c r="AU256" i="13"/>
  <c r="AM256" i="13"/>
  <c r="BE254" i="13"/>
  <c r="U254" i="13"/>
  <c r="N254" i="13"/>
  <c r="AM243" i="13"/>
  <c r="U243" i="13"/>
  <c r="N243" i="13"/>
  <c r="AQ239" i="13"/>
  <c r="AQ237" i="13"/>
  <c r="N237" i="13"/>
  <c r="AY236" i="13"/>
  <c r="AQ235" i="13"/>
  <c r="BM234" i="13"/>
  <c r="BI234" i="13"/>
  <c r="BE234" i="13"/>
  <c r="AQ233" i="13"/>
  <c r="BE231" i="13"/>
  <c r="AY231" i="13"/>
  <c r="AQ231" i="13"/>
  <c r="U231" i="13"/>
  <c r="N231" i="13"/>
  <c r="AM219" i="13"/>
  <c r="U219" i="13"/>
  <c r="N219" i="13"/>
  <c r="N213" i="13"/>
  <c r="BM210" i="13"/>
  <c r="BI210" i="13"/>
  <c r="BE210" i="13"/>
  <c r="BE207" i="13"/>
  <c r="AN207" i="13"/>
  <c r="U207" i="13"/>
  <c r="N207" i="13"/>
  <c r="AM195" i="13"/>
  <c r="U195" i="13"/>
  <c r="N195" i="13"/>
  <c r="N189" i="13"/>
  <c r="BM186" i="13"/>
  <c r="BI186" i="13"/>
  <c r="BE186" i="13"/>
  <c r="AU186" i="13"/>
  <c r="AM186" i="13"/>
  <c r="BE183" i="13"/>
  <c r="U183" i="13"/>
  <c r="N183" i="13"/>
  <c r="AM171" i="13"/>
  <c r="U171" i="13"/>
  <c r="N171" i="13"/>
  <c r="N165" i="13"/>
  <c r="AU162" i="13"/>
  <c r="AQ162" i="13"/>
  <c r="AM162" i="13"/>
  <c r="AM159" i="13"/>
  <c r="U159" i="13"/>
  <c r="N159" i="13"/>
  <c r="AM147" i="13"/>
  <c r="U147" i="13"/>
  <c r="N147" i="13"/>
  <c r="AC142" i="13"/>
  <c r="U142" i="13"/>
  <c r="N141" i="13"/>
  <c r="BM138" i="13"/>
  <c r="BI138" i="13"/>
  <c r="BE138" i="13"/>
  <c r="AC137" i="13"/>
  <c r="U137" i="13"/>
  <c r="BE135" i="13"/>
  <c r="AM135" i="13"/>
  <c r="N135" i="13"/>
  <c r="AM123" i="13"/>
  <c r="U123" i="13"/>
  <c r="N123" i="13"/>
  <c r="U118" i="13"/>
  <c r="N117" i="13"/>
  <c r="BM114" i="13"/>
  <c r="BI114" i="13"/>
  <c r="BE114" i="13"/>
  <c r="U113" i="13"/>
  <c r="BE111" i="13"/>
  <c r="AM111" i="13"/>
  <c r="N111" i="13"/>
  <c r="AM99" i="13"/>
  <c r="U99" i="13"/>
  <c r="N99" i="13"/>
  <c r="AC94" i="13"/>
  <c r="U94" i="13"/>
  <c r="N93" i="13"/>
  <c r="BM90" i="13"/>
  <c r="BI90" i="13"/>
  <c r="BE90" i="13"/>
  <c r="AC89" i="13"/>
  <c r="U89" i="13"/>
  <c r="BE87" i="13"/>
  <c r="AM87" i="13"/>
  <c r="N87" i="13"/>
  <c r="AM75" i="13"/>
  <c r="U75" i="13"/>
  <c r="N75" i="13"/>
  <c r="N69" i="13"/>
  <c r="BM66" i="13"/>
  <c r="BI66" i="13"/>
  <c r="BE66" i="13"/>
  <c r="AU66" i="13"/>
  <c r="AM66" i="13"/>
  <c r="BE63" i="13"/>
  <c r="U63" i="13"/>
  <c r="N63" i="13"/>
  <c r="AM52" i="13"/>
  <c r="U52" i="13"/>
  <c r="N52" i="13"/>
  <c r="AM48" i="13"/>
  <c r="AM47" i="13"/>
  <c r="AM46" i="13"/>
  <c r="AM45" i="13"/>
  <c r="AM44" i="13"/>
  <c r="N44" i="13"/>
  <c r="AM43" i="13"/>
  <c r="AM42" i="13"/>
  <c r="BM39" i="13"/>
  <c r="BI39" i="13"/>
  <c r="BE39" i="13"/>
  <c r="AU38" i="13"/>
  <c r="AM38" i="13"/>
  <c r="BE36" i="13"/>
  <c r="U36" i="13"/>
  <c r="N36" i="13"/>
  <c r="BB24" i="13"/>
  <c r="AT24" i="13"/>
  <c r="AM24" i="13"/>
  <c r="AF24" i="13"/>
  <c r="Y24" i="13"/>
  <c r="R24" i="13"/>
  <c r="K24" i="13"/>
  <c r="D24" i="13"/>
  <c r="BF11" i="13"/>
  <c r="AO11" i="13"/>
  <c r="U11" i="13"/>
  <c r="C11" i="13"/>
  <c r="D279" i="12" l="1"/>
  <c r="AM266" i="12"/>
  <c r="U266" i="12"/>
  <c r="N266" i="12"/>
  <c r="N260" i="12"/>
  <c r="BM257" i="12"/>
  <c r="BI257" i="12"/>
  <c r="BE257" i="12"/>
  <c r="AU256" i="12"/>
  <c r="AM256" i="12"/>
  <c r="BE254" i="12"/>
  <c r="U254" i="12"/>
  <c r="N254" i="12"/>
  <c r="AM243" i="12"/>
  <c r="U243" i="12"/>
  <c r="N243" i="12"/>
  <c r="AQ239" i="12"/>
  <c r="AQ237" i="12"/>
  <c r="N237" i="12"/>
  <c r="AY236" i="12"/>
  <c r="AQ235" i="12"/>
  <c r="BM234" i="12"/>
  <c r="BI234" i="12"/>
  <c r="BE234" i="12"/>
  <c r="AQ233" i="12"/>
  <c r="BE231" i="12"/>
  <c r="AY231" i="12"/>
  <c r="AQ231" i="12"/>
  <c r="U231" i="12"/>
  <c r="N231" i="12"/>
  <c r="AM219" i="12"/>
  <c r="U219" i="12"/>
  <c r="N219" i="12"/>
  <c r="N213" i="12"/>
  <c r="BM210" i="12"/>
  <c r="BI210" i="12"/>
  <c r="BE210" i="12"/>
  <c r="BE207" i="12"/>
  <c r="AN207" i="12"/>
  <c r="U207" i="12"/>
  <c r="N207" i="12"/>
  <c r="AM195" i="12"/>
  <c r="U195" i="12"/>
  <c r="N195" i="12"/>
  <c r="N189" i="12"/>
  <c r="BM186" i="12"/>
  <c r="BI186" i="12"/>
  <c r="BE186" i="12"/>
  <c r="AU186" i="12"/>
  <c r="AM186" i="12"/>
  <c r="BE183" i="12"/>
  <c r="U183" i="12"/>
  <c r="N183" i="12"/>
  <c r="AM171" i="12"/>
  <c r="U171" i="12"/>
  <c r="N171" i="12"/>
  <c r="N165" i="12"/>
  <c r="AU162" i="12"/>
  <c r="AQ162" i="12"/>
  <c r="AM162" i="12"/>
  <c r="AM159" i="12"/>
  <c r="U159" i="12"/>
  <c r="N159" i="12"/>
  <c r="AM147" i="12"/>
  <c r="U147" i="12"/>
  <c r="N147" i="12"/>
  <c r="AC142" i="12"/>
  <c r="U142" i="12"/>
  <c r="N141" i="12"/>
  <c r="BM138" i="12"/>
  <c r="BI138" i="12"/>
  <c r="BE138" i="12"/>
  <c r="AC137" i="12"/>
  <c r="U137" i="12"/>
  <c r="BE135" i="12"/>
  <c r="AM135" i="12"/>
  <c r="N135" i="12"/>
  <c r="AM123" i="12"/>
  <c r="U123" i="12"/>
  <c r="N123" i="12"/>
  <c r="U118" i="12"/>
  <c r="N117" i="12"/>
  <c r="BM114" i="12"/>
  <c r="BI114" i="12"/>
  <c r="BE114" i="12"/>
  <c r="U113" i="12"/>
  <c r="BE111" i="12"/>
  <c r="AM111" i="12"/>
  <c r="N111" i="12"/>
  <c r="AM99" i="12"/>
  <c r="U99" i="12"/>
  <c r="N99" i="12"/>
  <c r="AC94" i="12"/>
  <c r="U94" i="12"/>
  <c r="N93" i="12"/>
  <c r="BM90" i="12"/>
  <c r="BI90" i="12"/>
  <c r="BE90" i="12"/>
  <c r="AC89" i="12"/>
  <c r="U89" i="12"/>
  <c r="BE87" i="12"/>
  <c r="AM87" i="12"/>
  <c r="N87" i="12"/>
  <c r="AM75" i="12"/>
  <c r="U75" i="12"/>
  <c r="N75" i="12"/>
  <c r="N69" i="12"/>
  <c r="BM66" i="12"/>
  <c r="BI66" i="12"/>
  <c r="BE66" i="12"/>
  <c r="AU66" i="12"/>
  <c r="AM66" i="12"/>
  <c r="BE63" i="12"/>
  <c r="U63" i="12"/>
  <c r="N63" i="12"/>
  <c r="AM52" i="12"/>
  <c r="U52" i="12"/>
  <c r="N52" i="12"/>
  <c r="AM48" i="12"/>
  <c r="AM47" i="12"/>
  <c r="AM46" i="12"/>
  <c r="AM45" i="12"/>
  <c r="AM44" i="12"/>
  <c r="N44" i="12"/>
  <c r="AM43" i="12"/>
  <c r="AM42" i="12"/>
  <c r="BM39" i="12"/>
  <c r="BI39" i="12"/>
  <c r="BE39" i="12"/>
  <c r="AU38" i="12"/>
  <c r="AM38" i="12"/>
  <c r="BE36" i="12"/>
  <c r="U36" i="12"/>
  <c r="N36" i="12"/>
  <c r="BB24" i="12"/>
  <c r="AT24" i="12"/>
  <c r="AM24" i="12"/>
  <c r="AF24" i="12"/>
  <c r="Y24" i="12"/>
  <c r="R24" i="12"/>
  <c r="K24" i="12"/>
  <c r="D24" i="12"/>
  <c r="BF11" i="12"/>
  <c r="AO11" i="12"/>
  <c r="U11" i="12"/>
  <c r="C11" i="12"/>
  <c r="C11" i="11" l="1"/>
  <c r="U11" i="11"/>
  <c r="AO11" i="11"/>
  <c r="BF11" i="11"/>
  <c r="D24" i="11"/>
  <c r="K24" i="11"/>
  <c r="R24" i="11"/>
  <c r="Y24" i="11"/>
  <c r="AF24" i="11"/>
  <c r="AM24" i="11"/>
  <c r="AT24" i="11"/>
  <c r="BB24" i="11"/>
  <c r="N36" i="11"/>
  <c r="U36" i="11"/>
  <c r="BE36" i="11"/>
  <c r="AM38" i="11"/>
  <c r="AU38" i="11"/>
  <c r="BE39" i="11"/>
  <c r="BI39" i="11"/>
  <c r="BM39" i="11"/>
  <c r="AM42" i="11"/>
  <c r="AM43" i="11"/>
  <c r="N44" i="11"/>
  <c r="AM44" i="11"/>
  <c r="AM45" i="11"/>
  <c r="AM46" i="11"/>
  <c r="AM47" i="11"/>
  <c r="AM48" i="11"/>
  <c r="N52" i="11"/>
  <c r="U52" i="11"/>
  <c r="AM52" i="11"/>
  <c r="N63" i="11"/>
  <c r="U63" i="11"/>
  <c r="BE63" i="11"/>
  <c r="AM66" i="11"/>
  <c r="AU66" i="11"/>
  <c r="BE66" i="11"/>
  <c r="BI66" i="11"/>
  <c r="BM66" i="11"/>
  <c r="N69" i="11"/>
  <c r="N75" i="11"/>
  <c r="U75" i="11"/>
  <c r="AM75" i="11"/>
  <c r="N87" i="11"/>
  <c r="AM87" i="11"/>
  <c r="BE87" i="11"/>
  <c r="U89" i="11"/>
  <c r="AC89" i="11"/>
  <c r="BE90" i="11"/>
  <c r="BI90" i="11"/>
  <c r="BM90" i="11"/>
  <c r="N93" i="11"/>
  <c r="U94" i="11"/>
  <c r="AC94" i="11"/>
  <c r="N99" i="11"/>
  <c r="U99" i="11"/>
  <c r="AM99" i="11"/>
  <c r="N111" i="11"/>
  <c r="AM111" i="11"/>
  <c r="BE111" i="11"/>
  <c r="U113" i="11"/>
  <c r="BE114" i="11"/>
  <c r="BI114" i="11"/>
  <c r="BM114" i="11"/>
  <c r="N117" i="11"/>
  <c r="U118" i="11"/>
  <c r="N123" i="11"/>
  <c r="U123" i="11"/>
  <c r="AM123" i="11"/>
  <c r="N135" i="11"/>
  <c r="AM135" i="11"/>
  <c r="BE135" i="11"/>
  <c r="U137" i="11"/>
  <c r="AC137" i="11"/>
  <c r="BE138" i="11"/>
  <c r="BI138" i="11"/>
  <c r="BM138" i="11"/>
  <c r="N141" i="11"/>
  <c r="U142" i="11"/>
  <c r="AC142" i="11"/>
  <c r="N147" i="11"/>
  <c r="U147" i="11"/>
  <c r="AM147" i="11"/>
  <c r="N159" i="11"/>
  <c r="U159" i="11"/>
  <c r="AM159" i="11"/>
  <c r="AM162" i="11"/>
  <c r="AQ162" i="11"/>
  <c r="AU162" i="11"/>
  <c r="N165" i="11"/>
  <c r="N171" i="11"/>
  <c r="U171" i="11"/>
  <c r="AM171" i="11"/>
  <c r="N183" i="11"/>
  <c r="U183" i="11"/>
  <c r="BE183" i="11"/>
  <c r="AM186" i="11"/>
  <c r="AU186" i="11"/>
  <c r="BE186" i="11"/>
  <c r="BI186" i="11"/>
  <c r="BM186" i="11"/>
  <c r="N189" i="11"/>
  <c r="N195" i="11"/>
  <c r="U195" i="11"/>
  <c r="AM195" i="11"/>
  <c r="N207" i="11"/>
  <c r="U207" i="11"/>
  <c r="AN207" i="11"/>
  <c r="BE207" i="11"/>
  <c r="BE210" i="11"/>
  <c r="BI210" i="11"/>
  <c r="BM210" i="11"/>
  <c r="N213" i="11"/>
  <c r="N219" i="11"/>
  <c r="U219" i="11"/>
  <c r="AM219" i="11"/>
  <c r="N231" i="11"/>
  <c r="U231" i="11"/>
  <c r="AQ231" i="11"/>
  <c r="AY231" i="11"/>
  <c r="BE231" i="11"/>
  <c r="AQ233" i="11"/>
  <c r="BE234" i="11"/>
  <c r="BI234" i="11"/>
  <c r="BM234" i="11"/>
  <c r="AQ235" i="11"/>
  <c r="AY236" i="11"/>
  <c r="N237" i="11"/>
  <c r="AQ237" i="11"/>
  <c r="AQ239" i="11"/>
  <c r="N243" i="11"/>
  <c r="U243" i="11"/>
  <c r="AM243" i="11"/>
  <c r="N254" i="11"/>
  <c r="U254" i="11"/>
  <c r="BE254" i="11"/>
  <c r="AM256" i="11"/>
  <c r="AU256" i="11"/>
  <c r="BE257" i="11"/>
  <c r="BI257" i="11"/>
  <c r="BM257" i="11"/>
  <c r="N260" i="11"/>
  <c r="N266" i="11"/>
  <c r="U266" i="11"/>
  <c r="AM266" i="11"/>
  <c r="D279" i="11"/>
  <c r="C11" i="10" l="1"/>
  <c r="U11" i="10"/>
  <c r="AO11" i="10"/>
  <c r="BF11" i="10"/>
  <c r="D24" i="10"/>
  <c r="K24" i="10"/>
  <c r="R24" i="10"/>
  <c r="Y24" i="10"/>
  <c r="AF24" i="10"/>
  <c r="AM24" i="10"/>
  <c r="AT24" i="10"/>
  <c r="BB24" i="10"/>
  <c r="N36" i="10"/>
  <c r="U36" i="10"/>
  <c r="BE36" i="10"/>
  <c r="AM38" i="10"/>
  <c r="AU38" i="10"/>
  <c r="BE39" i="10"/>
  <c r="BI39" i="10"/>
  <c r="BM39" i="10"/>
  <c r="AM42" i="10"/>
  <c r="AM43" i="10"/>
  <c r="N44" i="10"/>
  <c r="AM44" i="10"/>
  <c r="AM45" i="10"/>
  <c r="AM46" i="10"/>
  <c r="AM47" i="10"/>
  <c r="AM48" i="10"/>
  <c r="N52" i="10"/>
  <c r="U52" i="10"/>
  <c r="AM52" i="10"/>
  <c r="N63" i="10"/>
  <c r="U63" i="10"/>
  <c r="BE63" i="10"/>
  <c r="AM66" i="10"/>
  <c r="AU66" i="10"/>
  <c r="BE66" i="10"/>
  <c r="BI66" i="10"/>
  <c r="BM66" i="10"/>
  <c r="N69" i="10"/>
  <c r="N75" i="10"/>
  <c r="U75" i="10"/>
  <c r="AM75" i="10"/>
  <c r="N87" i="10"/>
  <c r="AM87" i="10"/>
  <c r="BE87" i="10"/>
  <c r="U89" i="10"/>
  <c r="AC89" i="10"/>
  <c r="BE90" i="10"/>
  <c r="BI90" i="10"/>
  <c r="BM90" i="10"/>
  <c r="N93" i="10"/>
  <c r="U94" i="10"/>
  <c r="AC94" i="10"/>
  <c r="N99" i="10"/>
  <c r="U99" i="10"/>
  <c r="AM99" i="10"/>
  <c r="N111" i="10"/>
  <c r="AM111" i="10"/>
  <c r="BE111" i="10"/>
  <c r="U113" i="10"/>
  <c r="BE114" i="10"/>
  <c r="BI114" i="10"/>
  <c r="BM114" i="10"/>
  <c r="N117" i="10"/>
  <c r="U118" i="10"/>
  <c r="N123" i="10"/>
  <c r="U123" i="10"/>
  <c r="AM123" i="10"/>
  <c r="N135" i="10"/>
  <c r="AM135" i="10"/>
  <c r="BE135" i="10"/>
  <c r="U137" i="10"/>
  <c r="AC137" i="10"/>
  <c r="BE138" i="10"/>
  <c r="BI138" i="10"/>
  <c r="BM138" i="10"/>
  <c r="N141" i="10"/>
  <c r="U142" i="10"/>
  <c r="AC142" i="10"/>
  <c r="N147" i="10"/>
  <c r="U147" i="10"/>
  <c r="AM147" i="10"/>
  <c r="N159" i="10"/>
  <c r="U159" i="10"/>
  <c r="AM159" i="10"/>
  <c r="AM162" i="10"/>
  <c r="AQ162" i="10"/>
  <c r="AU162" i="10"/>
  <c r="N165" i="10"/>
  <c r="N171" i="10"/>
  <c r="U171" i="10"/>
  <c r="AM171" i="10"/>
  <c r="N183" i="10"/>
  <c r="U183" i="10"/>
  <c r="BE183" i="10"/>
  <c r="AM186" i="10"/>
  <c r="AU186" i="10"/>
  <c r="BE186" i="10"/>
  <c r="BI186" i="10"/>
  <c r="BM186" i="10"/>
  <c r="N189" i="10"/>
  <c r="N195" i="10"/>
  <c r="U195" i="10"/>
  <c r="AM195" i="10"/>
  <c r="N207" i="10"/>
  <c r="U207" i="10"/>
  <c r="AN207" i="10"/>
  <c r="BE207" i="10"/>
  <c r="BE210" i="10"/>
  <c r="BI210" i="10"/>
  <c r="BM210" i="10"/>
  <c r="N213" i="10"/>
  <c r="N219" i="10"/>
  <c r="U219" i="10"/>
  <c r="AM219" i="10"/>
  <c r="N231" i="10"/>
  <c r="U231" i="10"/>
  <c r="AQ231" i="10"/>
  <c r="AY231" i="10"/>
  <c r="BE231" i="10"/>
  <c r="AQ233" i="10"/>
  <c r="BE234" i="10"/>
  <c r="BI234" i="10"/>
  <c r="BM234" i="10"/>
  <c r="AQ235" i="10"/>
  <c r="AY236" i="10"/>
  <c r="N237" i="10"/>
  <c r="AQ237" i="10"/>
  <c r="AQ239" i="10"/>
  <c r="N243" i="10"/>
  <c r="U243" i="10"/>
  <c r="AM243" i="10"/>
  <c r="N254" i="10"/>
  <c r="U254" i="10"/>
  <c r="BE254" i="10"/>
  <c r="AM256" i="10"/>
  <c r="AU256" i="10"/>
  <c r="BE257" i="10"/>
  <c r="BI257" i="10"/>
  <c r="BM257" i="10"/>
  <c r="N260" i="10"/>
  <c r="N266" i="10"/>
  <c r="U266" i="10"/>
  <c r="AM266" i="10"/>
  <c r="D279" i="10"/>
  <c r="D279" i="9" l="1"/>
  <c r="AM266" i="9"/>
  <c r="U266" i="9"/>
  <c r="N266" i="9"/>
  <c r="N260" i="9"/>
  <c r="BM257" i="9"/>
  <c r="BI257" i="9"/>
  <c r="BE257" i="9"/>
  <c r="AU256" i="9"/>
  <c r="AM256" i="9"/>
  <c r="BE254" i="9"/>
  <c r="U254" i="9"/>
  <c r="N254" i="9"/>
  <c r="AM243" i="9"/>
  <c r="U243" i="9"/>
  <c r="N243" i="9"/>
  <c r="AQ239" i="9"/>
  <c r="AQ237" i="9"/>
  <c r="N237" i="9"/>
  <c r="AY236" i="9"/>
  <c r="AQ235" i="9"/>
  <c r="BM234" i="9"/>
  <c r="BI234" i="9"/>
  <c r="BE234" i="9"/>
  <c r="AQ233" i="9"/>
  <c r="BE231" i="9"/>
  <c r="AY231" i="9"/>
  <c r="AQ231" i="9"/>
  <c r="U231" i="9"/>
  <c r="N231" i="9"/>
  <c r="AM219" i="9"/>
  <c r="U219" i="9"/>
  <c r="N219" i="9"/>
  <c r="N213" i="9"/>
  <c r="BM210" i="9"/>
  <c r="BI210" i="9"/>
  <c r="BE210" i="9"/>
  <c r="BE207" i="9"/>
  <c r="AN207" i="9"/>
  <c r="U207" i="9"/>
  <c r="N207" i="9"/>
  <c r="AM195" i="9"/>
  <c r="U195" i="9"/>
  <c r="N195" i="9"/>
  <c r="N189" i="9"/>
  <c r="BM186" i="9"/>
  <c r="BI186" i="9"/>
  <c r="BE186" i="9"/>
  <c r="AU186" i="9"/>
  <c r="AM186" i="9"/>
  <c r="BE183" i="9"/>
  <c r="U183" i="9"/>
  <c r="N183" i="9"/>
  <c r="AM171" i="9"/>
  <c r="U171" i="9"/>
  <c r="N171" i="9"/>
  <c r="N165" i="9"/>
  <c r="AU162" i="9"/>
  <c r="AQ162" i="9"/>
  <c r="AM162" i="9"/>
  <c r="AM159" i="9"/>
  <c r="U159" i="9"/>
  <c r="N159" i="9"/>
  <c r="AM147" i="9"/>
  <c r="U147" i="9"/>
  <c r="N147" i="9"/>
  <c r="AC142" i="9"/>
  <c r="U142" i="9"/>
  <c r="N141" i="9"/>
  <c r="BM138" i="9"/>
  <c r="BI138" i="9"/>
  <c r="BE138" i="9"/>
  <c r="AC137" i="9"/>
  <c r="U137" i="9"/>
  <c r="BE135" i="9"/>
  <c r="AM135" i="9"/>
  <c r="N135" i="9"/>
  <c r="AM123" i="9"/>
  <c r="U123" i="9"/>
  <c r="N123" i="9"/>
  <c r="U118" i="9"/>
  <c r="N117" i="9"/>
  <c r="BM114" i="9"/>
  <c r="BI114" i="9"/>
  <c r="BE114" i="9"/>
  <c r="U113" i="9"/>
  <c r="BE111" i="9"/>
  <c r="AM111" i="9"/>
  <c r="N111" i="9"/>
  <c r="AM99" i="9"/>
  <c r="U99" i="9"/>
  <c r="N99" i="9"/>
  <c r="AC94" i="9"/>
  <c r="U94" i="9"/>
  <c r="N93" i="9"/>
  <c r="BM90" i="9"/>
  <c r="BI90" i="9"/>
  <c r="BE90" i="9"/>
  <c r="AC89" i="9"/>
  <c r="U89" i="9"/>
  <c r="BE87" i="9"/>
  <c r="AM87" i="9"/>
  <c r="N87" i="9"/>
  <c r="AM75" i="9"/>
  <c r="U75" i="9"/>
  <c r="N75" i="9"/>
  <c r="N69" i="9"/>
  <c r="BM66" i="9"/>
  <c r="BI66" i="9"/>
  <c r="BE66" i="9"/>
  <c r="AU66" i="9"/>
  <c r="AM66" i="9"/>
  <c r="BE63" i="9"/>
  <c r="U63" i="9"/>
  <c r="N63" i="9"/>
  <c r="AM52" i="9"/>
  <c r="U52" i="9"/>
  <c r="N52" i="9"/>
  <c r="AM48" i="9"/>
  <c r="AM47" i="9"/>
  <c r="AM46" i="9"/>
  <c r="AM45" i="9"/>
  <c r="AM44" i="9"/>
  <c r="N44" i="9"/>
  <c r="AM43" i="9"/>
  <c r="AM42" i="9"/>
  <c r="BM39" i="9"/>
  <c r="BI39" i="9"/>
  <c r="BE39" i="9"/>
  <c r="AU38" i="9"/>
  <c r="AM38" i="9"/>
  <c r="BE36" i="9"/>
  <c r="U36" i="9"/>
  <c r="N36" i="9"/>
  <c r="BB24" i="9"/>
  <c r="AT24" i="9"/>
  <c r="AM24" i="9"/>
  <c r="AF24" i="9"/>
  <c r="Y24" i="9"/>
  <c r="R24" i="9"/>
  <c r="K24" i="9"/>
  <c r="D24" i="9"/>
  <c r="BF11" i="9"/>
  <c r="AO11" i="9"/>
  <c r="U11" i="9"/>
  <c r="C11" i="9"/>
  <c r="D279" i="8" l="1"/>
  <c r="AM266" i="8"/>
  <c r="U266" i="8"/>
  <c r="N266" i="8"/>
  <c r="N260" i="8"/>
  <c r="BM257" i="8"/>
  <c r="BI257" i="8"/>
  <c r="BE257" i="8"/>
  <c r="AU256" i="8"/>
  <c r="AM256" i="8"/>
  <c r="BE254" i="8"/>
  <c r="U254" i="8"/>
  <c r="N254" i="8"/>
  <c r="AM243" i="8"/>
  <c r="U243" i="8"/>
  <c r="N243" i="8"/>
  <c r="AQ239" i="8"/>
  <c r="AQ237" i="8"/>
  <c r="N237" i="8"/>
  <c r="AY236" i="8"/>
  <c r="AQ235" i="8"/>
  <c r="BM234" i="8"/>
  <c r="BI234" i="8"/>
  <c r="BE234" i="8"/>
  <c r="AQ233" i="8"/>
  <c r="BE231" i="8"/>
  <c r="AY231" i="8"/>
  <c r="AQ231" i="8"/>
  <c r="U231" i="8"/>
  <c r="N231" i="8"/>
  <c r="AM219" i="8"/>
  <c r="U219" i="8"/>
  <c r="N219" i="8"/>
  <c r="N213" i="8"/>
  <c r="BM210" i="8"/>
  <c r="BI210" i="8"/>
  <c r="BE210" i="8"/>
  <c r="BE207" i="8"/>
  <c r="AN207" i="8"/>
  <c r="U207" i="8"/>
  <c r="N207" i="8"/>
  <c r="AM195" i="8"/>
  <c r="U195" i="8"/>
  <c r="N195" i="8"/>
  <c r="N189" i="8"/>
  <c r="BM186" i="8"/>
  <c r="BI186" i="8"/>
  <c r="BE186" i="8"/>
  <c r="AU186" i="8"/>
  <c r="AM186" i="8"/>
  <c r="BE183" i="8"/>
  <c r="U183" i="8"/>
  <c r="N183" i="8"/>
  <c r="AM171" i="8"/>
  <c r="U171" i="8"/>
  <c r="N171" i="8"/>
  <c r="N165" i="8"/>
  <c r="AU162" i="8"/>
  <c r="AQ162" i="8"/>
  <c r="AM162" i="8"/>
  <c r="AM159" i="8"/>
  <c r="U159" i="8"/>
  <c r="N159" i="8"/>
  <c r="AM147" i="8"/>
  <c r="U147" i="8"/>
  <c r="N147" i="8"/>
  <c r="AC142" i="8"/>
  <c r="U142" i="8"/>
  <c r="N141" i="8"/>
  <c r="BM138" i="8"/>
  <c r="BI138" i="8"/>
  <c r="BE138" i="8"/>
  <c r="AC137" i="8"/>
  <c r="U137" i="8"/>
  <c r="BE135" i="8"/>
  <c r="AM135" i="8"/>
  <c r="N135" i="8"/>
  <c r="AM123" i="8"/>
  <c r="U123" i="8"/>
  <c r="N123" i="8"/>
  <c r="U118" i="8"/>
  <c r="N117" i="8"/>
  <c r="BM114" i="8"/>
  <c r="BI114" i="8"/>
  <c r="BE114" i="8"/>
  <c r="U113" i="8"/>
  <c r="BE111" i="8"/>
  <c r="AM111" i="8"/>
  <c r="N111" i="8"/>
  <c r="AM99" i="8"/>
  <c r="U99" i="8"/>
  <c r="N99" i="8"/>
  <c r="AC94" i="8"/>
  <c r="U94" i="8"/>
  <c r="N93" i="8"/>
  <c r="BM90" i="8"/>
  <c r="BI90" i="8"/>
  <c r="BE90" i="8"/>
  <c r="AC89" i="8"/>
  <c r="U89" i="8"/>
  <c r="BE87" i="8"/>
  <c r="AM87" i="8"/>
  <c r="N87" i="8"/>
  <c r="AM75" i="8"/>
  <c r="U75" i="8"/>
  <c r="N75" i="8"/>
  <c r="N69" i="8"/>
  <c r="BM66" i="8"/>
  <c r="BI66" i="8"/>
  <c r="BE66" i="8"/>
  <c r="AU66" i="8"/>
  <c r="AM66" i="8"/>
  <c r="BE63" i="8"/>
  <c r="U63" i="8"/>
  <c r="N63" i="8"/>
  <c r="AM52" i="8"/>
  <c r="U52" i="8"/>
  <c r="N52" i="8"/>
  <c r="AM48" i="8"/>
  <c r="AM47" i="8"/>
  <c r="AM46" i="8"/>
  <c r="AM45" i="8"/>
  <c r="AM44" i="8"/>
  <c r="N44" i="8"/>
  <c r="AM43" i="8"/>
  <c r="AM42" i="8"/>
  <c r="BM39" i="8"/>
  <c r="BI39" i="8"/>
  <c r="BE39" i="8"/>
  <c r="AU38" i="8"/>
  <c r="AM38" i="8"/>
  <c r="BE36" i="8"/>
  <c r="U36" i="8"/>
  <c r="N36" i="8"/>
  <c r="BB24" i="8"/>
  <c r="AT24" i="8"/>
  <c r="AM24" i="8"/>
  <c r="AF24" i="8"/>
  <c r="Y24" i="8"/>
  <c r="R24" i="8"/>
  <c r="K24" i="8"/>
  <c r="D24" i="8"/>
  <c r="BF11" i="8"/>
  <c r="AO11" i="8"/>
  <c r="U11" i="8"/>
  <c r="C11" i="8"/>
  <c r="D279" i="7" l="1"/>
  <c r="AM266" i="7"/>
  <c r="U266" i="7"/>
  <c r="N266" i="7"/>
  <c r="N260" i="7"/>
  <c r="BM257" i="7"/>
  <c r="BI257" i="7"/>
  <c r="BE257" i="7"/>
  <c r="AU256" i="7"/>
  <c r="AM256" i="7"/>
  <c r="BE254" i="7"/>
  <c r="U254" i="7"/>
  <c r="N254" i="7"/>
  <c r="AM243" i="7"/>
  <c r="U243" i="7"/>
  <c r="N243" i="7"/>
  <c r="AQ239" i="7"/>
  <c r="AQ237" i="7"/>
  <c r="N237" i="7"/>
  <c r="AY236" i="7"/>
  <c r="AQ235" i="7"/>
  <c r="BM234" i="7"/>
  <c r="BI234" i="7"/>
  <c r="BE234" i="7"/>
  <c r="AQ233" i="7"/>
  <c r="BE231" i="7"/>
  <c r="AY231" i="7"/>
  <c r="AQ231" i="7"/>
  <c r="U231" i="7"/>
  <c r="N231" i="7"/>
  <c r="AM219" i="7"/>
  <c r="U219" i="7"/>
  <c r="N219" i="7"/>
  <c r="N213" i="7"/>
  <c r="BM210" i="7"/>
  <c r="BI210" i="7"/>
  <c r="BE210" i="7"/>
  <c r="BE207" i="7"/>
  <c r="AN207" i="7"/>
  <c r="U207" i="7"/>
  <c r="N207" i="7"/>
  <c r="AM195" i="7"/>
  <c r="U195" i="7"/>
  <c r="N195" i="7"/>
  <c r="N189" i="7"/>
  <c r="BM186" i="7"/>
  <c r="BI186" i="7"/>
  <c r="BE186" i="7"/>
  <c r="AU186" i="7"/>
  <c r="AM186" i="7"/>
  <c r="BE183" i="7"/>
  <c r="U183" i="7"/>
  <c r="N183" i="7"/>
  <c r="AM171" i="7"/>
  <c r="U171" i="7"/>
  <c r="N171" i="7"/>
  <c r="N165" i="7"/>
  <c r="AU162" i="7"/>
  <c r="AQ162" i="7"/>
  <c r="AM162" i="7"/>
  <c r="AM159" i="7"/>
  <c r="U159" i="7"/>
  <c r="N159" i="7"/>
  <c r="AM147" i="7"/>
  <c r="U147" i="7"/>
  <c r="N147" i="7"/>
  <c r="AC142" i="7"/>
  <c r="U142" i="7"/>
  <c r="N141" i="7"/>
  <c r="BM138" i="7"/>
  <c r="BI138" i="7"/>
  <c r="BE138" i="7"/>
  <c r="AC137" i="7"/>
  <c r="U137" i="7"/>
  <c r="BE135" i="7"/>
  <c r="AM135" i="7"/>
  <c r="N135" i="7"/>
  <c r="AM123" i="7"/>
  <c r="U123" i="7"/>
  <c r="N123" i="7"/>
  <c r="U118" i="7"/>
  <c r="N117" i="7"/>
  <c r="BM114" i="7"/>
  <c r="BI114" i="7"/>
  <c r="BE114" i="7"/>
  <c r="U113" i="7"/>
  <c r="BE111" i="7"/>
  <c r="AM111" i="7"/>
  <c r="N111" i="7"/>
  <c r="AM99" i="7"/>
  <c r="U99" i="7"/>
  <c r="N99" i="7"/>
  <c r="AC94" i="7"/>
  <c r="U94" i="7"/>
  <c r="N93" i="7"/>
  <c r="BM90" i="7"/>
  <c r="BI90" i="7"/>
  <c r="BE90" i="7"/>
  <c r="AC89" i="7"/>
  <c r="U89" i="7"/>
  <c r="BE87" i="7"/>
  <c r="AM87" i="7"/>
  <c r="N87" i="7"/>
  <c r="AM75" i="7"/>
  <c r="U75" i="7"/>
  <c r="N75" i="7"/>
  <c r="N69" i="7"/>
  <c r="BM66" i="7"/>
  <c r="BI66" i="7"/>
  <c r="BE66" i="7"/>
  <c r="AU66" i="7"/>
  <c r="AM66" i="7"/>
  <c r="BE63" i="7"/>
  <c r="U63" i="7"/>
  <c r="N63" i="7"/>
  <c r="AM52" i="7"/>
  <c r="U52" i="7"/>
  <c r="N52" i="7"/>
  <c r="AM48" i="7"/>
  <c r="AM47" i="7"/>
  <c r="AM46" i="7"/>
  <c r="AM45" i="7"/>
  <c r="AM44" i="7"/>
  <c r="N44" i="7"/>
  <c r="AM43" i="7"/>
  <c r="AM42" i="7"/>
  <c r="BM39" i="7"/>
  <c r="BI39" i="7"/>
  <c r="BE39" i="7"/>
  <c r="AU38" i="7"/>
  <c r="AM38" i="7"/>
  <c r="BE36" i="7"/>
  <c r="U36" i="7"/>
  <c r="N36" i="7"/>
  <c r="BB24" i="7"/>
  <c r="AT24" i="7"/>
  <c r="AM24" i="7"/>
  <c r="AF24" i="7"/>
  <c r="Y24" i="7"/>
  <c r="R24" i="7"/>
  <c r="K24" i="7"/>
  <c r="D24" i="7"/>
  <c r="BF11" i="7"/>
  <c r="AO11" i="7"/>
  <c r="U11" i="7"/>
  <c r="C11" i="7"/>
  <c r="D279" i="6" l="1"/>
  <c r="AM266" i="6"/>
  <c r="U266" i="6"/>
  <c r="N266" i="6"/>
  <c r="N260" i="6"/>
  <c r="BM257" i="6"/>
  <c r="BI257" i="6"/>
  <c r="BE257" i="6"/>
  <c r="AU256" i="6"/>
  <c r="AM256" i="6"/>
  <c r="BE254" i="6"/>
  <c r="U254" i="6"/>
  <c r="N254" i="6"/>
  <c r="AM243" i="6"/>
  <c r="U243" i="6"/>
  <c r="N243" i="6"/>
  <c r="AQ239" i="6"/>
  <c r="AQ237" i="6"/>
  <c r="N237" i="6"/>
  <c r="AY236" i="6"/>
  <c r="AQ235" i="6"/>
  <c r="BM234" i="6"/>
  <c r="BI234" i="6"/>
  <c r="BE234" i="6"/>
  <c r="AQ233" i="6"/>
  <c r="BE231" i="6"/>
  <c r="AY231" i="6"/>
  <c r="AQ231" i="6"/>
  <c r="U231" i="6"/>
  <c r="N231" i="6"/>
  <c r="AM219" i="6"/>
  <c r="U219" i="6"/>
  <c r="N219" i="6"/>
  <c r="N213" i="6"/>
  <c r="BM210" i="6"/>
  <c r="BI210" i="6"/>
  <c r="BE210" i="6"/>
  <c r="BE207" i="6"/>
  <c r="AN207" i="6"/>
  <c r="U207" i="6"/>
  <c r="N207" i="6"/>
  <c r="AM195" i="6"/>
  <c r="U195" i="6"/>
  <c r="N195" i="6"/>
  <c r="N189" i="6"/>
  <c r="BM186" i="6"/>
  <c r="BI186" i="6"/>
  <c r="BE186" i="6"/>
  <c r="AU186" i="6"/>
  <c r="AM186" i="6"/>
  <c r="BE183" i="6"/>
  <c r="U183" i="6"/>
  <c r="N183" i="6"/>
  <c r="AM171" i="6"/>
  <c r="U171" i="6"/>
  <c r="N171" i="6"/>
  <c r="N165" i="6"/>
  <c r="AU162" i="6"/>
  <c r="AQ162" i="6"/>
  <c r="AM162" i="6"/>
  <c r="AM159" i="6"/>
  <c r="U159" i="6"/>
  <c r="N159" i="6"/>
  <c r="AM147" i="6"/>
  <c r="U147" i="6"/>
  <c r="N147" i="6"/>
  <c r="AC142" i="6"/>
  <c r="U142" i="6"/>
  <c r="N141" i="6"/>
  <c r="BM138" i="6"/>
  <c r="BI138" i="6"/>
  <c r="BE138" i="6"/>
  <c r="AC137" i="6"/>
  <c r="U137" i="6"/>
  <c r="BE135" i="6"/>
  <c r="AM135" i="6"/>
  <c r="N135" i="6"/>
  <c r="AM123" i="6"/>
  <c r="U123" i="6"/>
  <c r="N123" i="6"/>
  <c r="U118" i="6"/>
  <c r="N117" i="6"/>
  <c r="BM114" i="6"/>
  <c r="BI114" i="6"/>
  <c r="BE114" i="6"/>
  <c r="U113" i="6"/>
  <c r="BE111" i="6"/>
  <c r="AM111" i="6"/>
  <c r="N111" i="6"/>
  <c r="AM99" i="6"/>
  <c r="U99" i="6"/>
  <c r="N99" i="6"/>
  <c r="AC94" i="6"/>
  <c r="U94" i="6"/>
  <c r="N93" i="6"/>
  <c r="BM90" i="6"/>
  <c r="BI90" i="6"/>
  <c r="BE90" i="6"/>
  <c r="AC89" i="6"/>
  <c r="U89" i="6"/>
  <c r="BE87" i="6"/>
  <c r="AM87" i="6"/>
  <c r="N87" i="6"/>
  <c r="AM75" i="6"/>
  <c r="U75" i="6"/>
  <c r="N75" i="6"/>
  <c r="N69" i="6"/>
  <c r="BM66" i="6"/>
  <c r="BI66" i="6"/>
  <c r="BE66" i="6"/>
  <c r="AU66" i="6"/>
  <c r="AM66" i="6"/>
  <c r="BE63" i="6"/>
  <c r="U63" i="6"/>
  <c r="N63" i="6"/>
  <c r="AM52" i="6"/>
  <c r="U52" i="6"/>
  <c r="N52" i="6"/>
  <c r="AM48" i="6"/>
  <c r="AM47" i="6"/>
  <c r="AM46" i="6"/>
  <c r="AM45" i="6"/>
  <c r="AM44" i="6"/>
  <c r="N44" i="6"/>
  <c r="AM43" i="6"/>
  <c r="AM42" i="6"/>
  <c r="BM39" i="6"/>
  <c r="BI39" i="6"/>
  <c r="BE39" i="6"/>
  <c r="AU38" i="6"/>
  <c r="AM38" i="6"/>
  <c r="BE36" i="6"/>
  <c r="U36" i="6"/>
  <c r="N36" i="6"/>
  <c r="BB24" i="6"/>
  <c r="AT24" i="6"/>
  <c r="AM24" i="6"/>
  <c r="AF24" i="6"/>
  <c r="Y24" i="6"/>
  <c r="R24" i="6"/>
  <c r="K24" i="6"/>
  <c r="D24" i="6"/>
  <c r="BF11" i="6"/>
  <c r="AO11" i="6"/>
  <c r="U11" i="6"/>
  <c r="C11" i="6"/>
  <c r="D279" i="5" l="1"/>
  <c r="AM266" i="5"/>
  <c r="U266" i="5"/>
  <c r="N266" i="5"/>
  <c r="N260" i="5"/>
  <c r="BM257" i="5"/>
  <c r="BI257" i="5"/>
  <c r="BE257" i="5"/>
  <c r="AU256" i="5"/>
  <c r="AM256" i="5"/>
  <c r="BE254" i="5"/>
  <c r="U254" i="5"/>
  <c r="N254" i="5"/>
  <c r="AM243" i="5"/>
  <c r="U243" i="5"/>
  <c r="N243" i="5"/>
  <c r="AQ239" i="5"/>
  <c r="AQ237" i="5"/>
  <c r="N237" i="5"/>
  <c r="AY236" i="5"/>
  <c r="AQ235" i="5"/>
  <c r="BM234" i="5"/>
  <c r="BI234" i="5"/>
  <c r="BE234" i="5"/>
  <c r="AQ233" i="5"/>
  <c r="BE231" i="5"/>
  <c r="AY231" i="5"/>
  <c r="AQ231" i="5"/>
  <c r="U231" i="5"/>
  <c r="N231" i="5"/>
  <c r="AM219" i="5"/>
  <c r="U219" i="5"/>
  <c r="N219" i="5"/>
  <c r="N213" i="5"/>
  <c r="BM210" i="5"/>
  <c r="BI210" i="5"/>
  <c r="BE210" i="5"/>
  <c r="BE207" i="5"/>
  <c r="AN207" i="5"/>
  <c r="U207" i="5"/>
  <c r="N207" i="5"/>
  <c r="AM195" i="5"/>
  <c r="U195" i="5"/>
  <c r="N195" i="5"/>
  <c r="N189" i="5"/>
  <c r="BM186" i="5"/>
  <c r="BI186" i="5"/>
  <c r="BE186" i="5"/>
  <c r="AU186" i="5"/>
  <c r="AM186" i="5"/>
  <c r="BE183" i="5"/>
  <c r="U183" i="5"/>
  <c r="N183" i="5"/>
  <c r="AM171" i="5"/>
  <c r="U171" i="5"/>
  <c r="N171" i="5"/>
  <c r="N165" i="5"/>
  <c r="AU162" i="5"/>
  <c r="AQ162" i="5"/>
  <c r="AM162" i="5"/>
  <c r="AM159" i="5"/>
  <c r="U159" i="5"/>
  <c r="N159" i="5"/>
  <c r="AM147" i="5"/>
  <c r="U147" i="5"/>
  <c r="N147" i="5"/>
  <c r="AC142" i="5"/>
  <c r="U142" i="5"/>
  <c r="N141" i="5"/>
  <c r="BM138" i="5"/>
  <c r="BI138" i="5"/>
  <c r="BE138" i="5"/>
  <c r="AC137" i="5"/>
  <c r="U137" i="5"/>
  <c r="BE135" i="5"/>
  <c r="AM135" i="5"/>
  <c r="N135" i="5"/>
  <c r="AM123" i="5"/>
  <c r="U123" i="5"/>
  <c r="N123" i="5"/>
  <c r="U118" i="5"/>
  <c r="N117" i="5"/>
  <c r="BM114" i="5"/>
  <c r="BI114" i="5"/>
  <c r="BE114" i="5"/>
  <c r="U113" i="5"/>
  <c r="BE111" i="5"/>
  <c r="AM111" i="5"/>
  <c r="N111" i="5"/>
  <c r="AM99" i="5"/>
  <c r="U99" i="5"/>
  <c r="N99" i="5"/>
  <c r="AC94" i="5"/>
  <c r="U94" i="5"/>
  <c r="N93" i="5"/>
  <c r="BM90" i="5"/>
  <c r="BI90" i="5"/>
  <c r="BE90" i="5"/>
  <c r="AC89" i="5"/>
  <c r="U89" i="5"/>
  <c r="BE87" i="5"/>
  <c r="AM87" i="5"/>
  <c r="N87" i="5"/>
  <c r="AM75" i="5"/>
  <c r="U75" i="5"/>
  <c r="N75" i="5"/>
  <c r="N69" i="5"/>
  <c r="BM66" i="5"/>
  <c r="BI66" i="5"/>
  <c r="BE66" i="5"/>
  <c r="AU66" i="5"/>
  <c r="AM66" i="5"/>
  <c r="BE63" i="5"/>
  <c r="U63" i="5"/>
  <c r="N63" i="5"/>
  <c r="AM52" i="5"/>
  <c r="U52" i="5"/>
  <c r="N52" i="5"/>
  <c r="AM48" i="5"/>
  <c r="AM47" i="5"/>
  <c r="AM46" i="5"/>
  <c r="AM45" i="5"/>
  <c r="AM44" i="5"/>
  <c r="N44" i="5"/>
  <c r="AM43" i="5"/>
  <c r="AM42" i="5"/>
  <c r="BM39" i="5"/>
  <c r="BI39" i="5"/>
  <c r="BE39" i="5"/>
  <c r="AU38" i="5"/>
  <c r="AM38" i="5"/>
  <c r="BE36" i="5"/>
  <c r="U36" i="5"/>
  <c r="N36" i="5"/>
  <c r="BB24" i="5"/>
  <c r="AT24" i="5"/>
  <c r="AM24" i="5"/>
  <c r="AF24" i="5"/>
  <c r="Y24" i="5"/>
  <c r="R24" i="5"/>
  <c r="K24" i="5"/>
  <c r="D24" i="5"/>
  <c r="BF11" i="5"/>
  <c r="AO11" i="5"/>
  <c r="U11" i="5"/>
  <c r="C11" i="5"/>
  <c r="D279" i="4" l="1"/>
  <c r="AM266" i="4"/>
  <c r="U266" i="4"/>
  <c r="N266" i="4"/>
  <c r="N260" i="4"/>
  <c r="BM257" i="4"/>
  <c r="BI257" i="4"/>
  <c r="BE257" i="4"/>
  <c r="AU256" i="4"/>
  <c r="AM256" i="4"/>
  <c r="BE254" i="4"/>
  <c r="U254" i="4"/>
  <c r="N254" i="4"/>
  <c r="AM243" i="4"/>
  <c r="U243" i="4"/>
  <c r="N243" i="4"/>
  <c r="AQ239" i="4"/>
  <c r="AQ237" i="4"/>
  <c r="N237" i="4"/>
  <c r="AY236" i="4"/>
  <c r="AQ235" i="4"/>
  <c r="BM234" i="4"/>
  <c r="BI234" i="4"/>
  <c r="BE234" i="4"/>
  <c r="AQ233" i="4"/>
  <c r="BE231" i="4"/>
  <c r="AY231" i="4"/>
  <c r="AQ231" i="4"/>
  <c r="U231" i="4"/>
  <c r="N231" i="4"/>
  <c r="AM219" i="4"/>
  <c r="U219" i="4"/>
  <c r="N219" i="4"/>
  <c r="N213" i="4"/>
  <c r="BM210" i="4"/>
  <c r="BI210" i="4"/>
  <c r="BE210" i="4"/>
  <c r="BE207" i="4"/>
  <c r="AN207" i="4"/>
  <c r="U207" i="4"/>
  <c r="N207" i="4"/>
  <c r="AM195" i="4"/>
  <c r="U195" i="4"/>
  <c r="N195" i="4"/>
  <c r="N189" i="4"/>
  <c r="BM186" i="4"/>
  <c r="BI186" i="4"/>
  <c r="BE186" i="4"/>
  <c r="AU186" i="4"/>
  <c r="AM186" i="4"/>
  <c r="BE183" i="4"/>
  <c r="U183" i="4"/>
  <c r="N183" i="4"/>
  <c r="AM171" i="4"/>
  <c r="U171" i="4"/>
  <c r="N171" i="4"/>
  <c r="N165" i="4"/>
  <c r="AU162" i="4"/>
  <c r="AQ162" i="4"/>
  <c r="AM162" i="4"/>
  <c r="AM159" i="4"/>
  <c r="U159" i="4"/>
  <c r="N159" i="4"/>
  <c r="AM147" i="4"/>
  <c r="U147" i="4"/>
  <c r="N147" i="4"/>
  <c r="AC142" i="4"/>
  <c r="U142" i="4"/>
  <c r="N141" i="4"/>
  <c r="BM138" i="4"/>
  <c r="BI138" i="4"/>
  <c r="BE138" i="4"/>
  <c r="AC137" i="4"/>
  <c r="U137" i="4"/>
  <c r="BE135" i="4"/>
  <c r="AM135" i="4"/>
  <c r="N135" i="4"/>
  <c r="AM123" i="4"/>
  <c r="U123" i="4"/>
  <c r="N123" i="4"/>
  <c r="U118" i="4"/>
  <c r="N117" i="4"/>
  <c r="BM114" i="4"/>
  <c r="BI114" i="4"/>
  <c r="BE114" i="4"/>
  <c r="U113" i="4"/>
  <c r="BE111" i="4"/>
  <c r="AM111" i="4"/>
  <c r="N111" i="4"/>
  <c r="AM99" i="4"/>
  <c r="U99" i="4"/>
  <c r="N99" i="4"/>
  <c r="AC94" i="4"/>
  <c r="U94" i="4"/>
  <c r="N93" i="4"/>
  <c r="BM90" i="4"/>
  <c r="BI90" i="4"/>
  <c r="BE90" i="4"/>
  <c r="AC89" i="4"/>
  <c r="U89" i="4"/>
  <c r="BE87" i="4"/>
  <c r="AM87" i="4"/>
  <c r="N87" i="4"/>
  <c r="AM75" i="4"/>
  <c r="U75" i="4"/>
  <c r="N75" i="4"/>
  <c r="N69" i="4"/>
  <c r="BM66" i="4"/>
  <c r="BI66" i="4"/>
  <c r="BE66" i="4"/>
  <c r="AU66" i="4"/>
  <c r="AM66" i="4"/>
  <c r="BE63" i="4"/>
  <c r="U63" i="4"/>
  <c r="N63" i="4"/>
  <c r="AM52" i="4"/>
  <c r="U52" i="4"/>
  <c r="N52" i="4"/>
  <c r="AM48" i="4"/>
  <c r="AM47" i="4"/>
  <c r="AM46" i="4"/>
  <c r="AM45" i="4"/>
  <c r="AM44" i="4"/>
  <c r="N44" i="4"/>
  <c r="AM43" i="4"/>
  <c r="AM42" i="4"/>
  <c r="BM39" i="4"/>
  <c r="BI39" i="4"/>
  <c r="BE39" i="4"/>
  <c r="AU38" i="4"/>
  <c r="AM38" i="4"/>
  <c r="BE36" i="4"/>
  <c r="U36" i="4"/>
  <c r="N36" i="4"/>
  <c r="BB24" i="4"/>
  <c r="AT24" i="4"/>
  <c r="AM24" i="4"/>
  <c r="AF24" i="4"/>
  <c r="Y24" i="4"/>
  <c r="R24" i="4"/>
  <c r="K24" i="4"/>
  <c r="D24" i="4"/>
  <c r="BF11" i="4"/>
  <c r="AO11" i="4"/>
  <c r="U11" i="4"/>
  <c r="C11" i="4"/>
  <c r="C11" i="3" l="1"/>
  <c r="U11" i="3"/>
  <c r="AO11" i="3"/>
  <c r="BF11" i="3"/>
  <c r="D24" i="3"/>
  <c r="K24" i="3"/>
  <c r="R24" i="3"/>
  <c r="Y24" i="3"/>
  <c r="AF24" i="3"/>
  <c r="AM24" i="3"/>
  <c r="AT24" i="3"/>
  <c r="BB24" i="3"/>
  <c r="N36" i="3"/>
  <c r="U36" i="3"/>
  <c r="BE36" i="3"/>
  <c r="AM38" i="3"/>
  <c r="AU38" i="3"/>
  <c r="BE39" i="3"/>
  <c r="BI39" i="3"/>
  <c r="BM39" i="3"/>
  <c r="AM42" i="3"/>
  <c r="AM43" i="3"/>
  <c r="N44" i="3"/>
  <c r="AM44" i="3"/>
  <c r="AM45" i="3"/>
  <c r="AM46" i="3"/>
  <c r="AM47" i="3"/>
  <c r="AM48" i="3"/>
  <c r="N52" i="3"/>
  <c r="U52" i="3"/>
  <c r="AM52" i="3"/>
  <c r="N63" i="3"/>
  <c r="U63" i="3"/>
  <c r="BE63" i="3"/>
  <c r="AM66" i="3"/>
  <c r="AU66" i="3"/>
  <c r="BE66" i="3"/>
  <c r="BI66" i="3"/>
  <c r="BM66" i="3"/>
  <c r="N69" i="3"/>
  <c r="N75" i="3"/>
  <c r="U75" i="3"/>
  <c r="AM75" i="3"/>
  <c r="N87" i="3"/>
  <c r="AM87" i="3"/>
  <c r="BE87" i="3"/>
  <c r="U89" i="3"/>
  <c r="AC89" i="3"/>
  <c r="BE90" i="3"/>
  <c r="BI90" i="3"/>
  <c r="BM90" i="3"/>
  <c r="N93" i="3"/>
  <c r="U94" i="3"/>
  <c r="AC94" i="3"/>
  <c r="N99" i="3"/>
  <c r="U99" i="3"/>
  <c r="AM99" i="3"/>
  <c r="N111" i="3"/>
  <c r="AM111" i="3"/>
  <c r="BE111" i="3"/>
  <c r="U113" i="3"/>
  <c r="BE114" i="3"/>
  <c r="BI114" i="3"/>
  <c r="BM114" i="3"/>
  <c r="N117" i="3"/>
  <c r="U118" i="3"/>
  <c r="N123" i="3"/>
  <c r="U123" i="3"/>
  <c r="AM123" i="3"/>
  <c r="N135" i="3"/>
  <c r="AM135" i="3"/>
  <c r="BE135" i="3"/>
  <c r="U137" i="3"/>
  <c r="AC137" i="3"/>
  <c r="BE138" i="3"/>
  <c r="BI138" i="3"/>
  <c r="BM138" i="3"/>
  <c r="N141" i="3"/>
  <c r="U142" i="3"/>
  <c r="AC142" i="3"/>
  <c r="N147" i="3"/>
  <c r="U147" i="3"/>
  <c r="AM147" i="3"/>
  <c r="N159" i="3"/>
  <c r="U159" i="3"/>
  <c r="AM159" i="3"/>
  <c r="AM162" i="3"/>
  <c r="AQ162" i="3"/>
  <c r="AU162" i="3"/>
  <c r="N165" i="3"/>
  <c r="N171" i="3"/>
  <c r="U171" i="3"/>
  <c r="AM171" i="3"/>
  <c r="N183" i="3"/>
  <c r="U183" i="3"/>
  <c r="BE183" i="3"/>
  <c r="AM186" i="3"/>
  <c r="AU186" i="3"/>
  <c r="BE186" i="3"/>
  <c r="BI186" i="3"/>
  <c r="BM186" i="3"/>
  <c r="N189" i="3"/>
  <c r="N195" i="3"/>
  <c r="U195" i="3"/>
  <c r="AM195" i="3"/>
  <c r="N207" i="3"/>
  <c r="U207" i="3"/>
  <c r="AN207" i="3"/>
  <c r="BE207" i="3"/>
  <c r="BE210" i="3"/>
  <c r="BI210" i="3"/>
  <c r="BM210" i="3"/>
  <c r="N213" i="3"/>
  <c r="N219" i="3"/>
  <c r="U219" i="3"/>
  <c r="AM219" i="3"/>
  <c r="N231" i="3"/>
  <c r="U231" i="3"/>
  <c r="AQ231" i="3"/>
  <c r="AY231" i="3"/>
  <c r="BE231" i="3"/>
  <c r="AQ233" i="3"/>
  <c r="BE234" i="3"/>
  <c r="BI234" i="3"/>
  <c r="BM234" i="3"/>
  <c r="AQ235" i="3"/>
  <c r="AY236" i="3"/>
  <c r="N237" i="3"/>
  <c r="AQ237" i="3"/>
  <c r="AQ239" i="3"/>
  <c r="N243" i="3"/>
  <c r="U243" i="3"/>
  <c r="AM243" i="3"/>
  <c r="N254" i="3"/>
  <c r="U254" i="3"/>
  <c r="BE254" i="3"/>
  <c r="AM256" i="3"/>
  <c r="AU256" i="3"/>
  <c r="BE257" i="3"/>
  <c r="BI257" i="3"/>
  <c r="BM257" i="3"/>
  <c r="N260" i="3"/>
  <c r="N266" i="3"/>
  <c r="U266" i="3"/>
  <c r="AM266" i="3"/>
  <c r="D279" i="3"/>
  <c r="D279" i="2" l="1"/>
  <c r="AM266" i="2"/>
  <c r="U266" i="2"/>
  <c r="N266" i="2"/>
  <c r="N260" i="2"/>
  <c r="BM257" i="2"/>
  <c r="BI257" i="2"/>
  <c r="BE257" i="2"/>
  <c r="AU256" i="2"/>
  <c r="AM256" i="2"/>
  <c r="BE254" i="2"/>
  <c r="U254" i="2"/>
  <c r="N254" i="2"/>
  <c r="AM243" i="2"/>
  <c r="U243" i="2"/>
  <c r="N243" i="2"/>
  <c r="AQ239" i="2"/>
  <c r="AQ237" i="2"/>
  <c r="N237" i="2"/>
  <c r="AY236" i="2"/>
  <c r="AQ235" i="2"/>
  <c r="BM234" i="2"/>
  <c r="BI234" i="2"/>
  <c r="BE234" i="2"/>
  <c r="AQ233" i="2"/>
  <c r="BE231" i="2"/>
  <c r="AY231" i="2"/>
  <c r="AQ231" i="2"/>
  <c r="U231" i="2"/>
  <c r="N231" i="2"/>
  <c r="AM219" i="2"/>
  <c r="U219" i="2"/>
  <c r="N219" i="2"/>
  <c r="N213" i="2"/>
  <c r="BM210" i="2"/>
  <c r="BI210" i="2"/>
  <c r="BE210" i="2"/>
  <c r="BE207" i="2"/>
  <c r="AN207" i="2"/>
  <c r="U207" i="2"/>
  <c r="N207" i="2"/>
  <c r="AM195" i="2"/>
  <c r="U195" i="2"/>
  <c r="N195" i="2"/>
  <c r="N189" i="2"/>
  <c r="BM186" i="2"/>
  <c r="BI186" i="2"/>
  <c r="BE186" i="2"/>
  <c r="AU186" i="2"/>
  <c r="AM186" i="2"/>
  <c r="BE183" i="2"/>
  <c r="U183" i="2"/>
  <c r="N183" i="2"/>
  <c r="AM171" i="2"/>
  <c r="U171" i="2"/>
  <c r="N171" i="2"/>
  <c r="N165" i="2"/>
  <c r="AU162" i="2"/>
  <c r="AQ162" i="2"/>
  <c r="AM162" i="2"/>
  <c r="AM159" i="2"/>
  <c r="U159" i="2"/>
  <c r="N159" i="2"/>
  <c r="AM147" i="2"/>
  <c r="U147" i="2"/>
  <c r="N147" i="2"/>
  <c r="AC142" i="2"/>
  <c r="U142" i="2"/>
  <c r="N141" i="2"/>
  <c r="BM138" i="2"/>
  <c r="BI138" i="2"/>
  <c r="BE138" i="2"/>
  <c r="AC137" i="2"/>
  <c r="U137" i="2"/>
  <c r="BE135" i="2"/>
  <c r="AM135" i="2"/>
  <c r="N135" i="2"/>
  <c r="AM123" i="2"/>
  <c r="U123" i="2"/>
  <c r="N123" i="2"/>
  <c r="U118" i="2"/>
  <c r="N117" i="2"/>
  <c r="BM114" i="2"/>
  <c r="BI114" i="2"/>
  <c r="BE114" i="2"/>
  <c r="U113" i="2"/>
  <c r="BE111" i="2"/>
  <c r="AM111" i="2"/>
  <c r="N111" i="2"/>
  <c r="AM99" i="2"/>
  <c r="U99" i="2"/>
  <c r="N99" i="2"/>
  <c r="AC94" i="2"/>
  <c r="U94" i="2"/>
  <c r="N93" i="2"/>
  <c r="BM90" i="2"/>
  <c r="BI90" i="2"/>
  <c r="BE90" i="2"/>
  <c r="AC89" i="2"/>
  <c r="U89" i="2"/>
  <c r="BE87" i="2"/>
  <c r="AM87" i="2"/>
  <c r="N87" i="2"/>
  <c r="AM75" i="2"/>
  <c r="U75" i="2"/>
  <c r="N75" i="2"/>
  <c r="N69" i="2"/>
  <c r="BM66" i="2"/>
  <c r="BI66" i="2"/>
  <c r="BE66" i="2"/>
  <c r="AU66" i="2"/>
  <c r="AM66" i="2"/>
  <c r="BE63" i="2"/>
  <c r="U63" i="2"/>
  <c r="N63" i="2"/>
  <c r="AM52" i="2"/>
  <c r="U52" i="2"/>
  <c r="N52" i="2"/>
  <c r="AM48" i="2"/>
  <c r="AM47" i="2"/>
  <c r="AM46" i="2"/>
  <c r="AM45" i="2"/>
  <c r="AM44" i="2"/>
  <c r="N44" i="2"/>
  <c r="AM43" i="2"/>
  <c r="AM42" i="2"/>
  <c r="BM39" i="2"/>
  <c r="BI39" i="2"/>
  <c r="BE39" i="2"/>
  <c r="AU38" i="2"/>
  <c r="AM38" i="2"/>
  <c r="BE36" i="2"/>
  <c r="U36" i="2"/>
  <c r="N36" i="2"/>
  <c r="BB24" i="2"/>
  <c r="AT24" i="2"/>
  <c r="AM24" i="2"/>
  <c r="AF24" i="2"/>
  <c r="Y24" i="2"/>
  <c r="R24" i="2"/>
  <c r="K24" i="2"/>
  <c r="D24" i="2"/>
  <c r="BF11" i="2"/>
  <c r="AO11" i="2"/>
  <c r="U11" i="2"/>
  <c r="C11" i="2"/>
</calcChain>
</file>

<file path=xl/sharedStrings.xml><?xml version="1.0" encoding="utf-8"?>
<sst xmlns="http://schemas.openxmlformats.org/spreadsheetml/2006/main" count="2640" uniqueCount="74">
  <si>
    <t>団体名</t>
    <rPh sb="0" eb="3">
      <t>ダンタイメイ</t>
    </rPh>
    <phoneticPr fontId="9"/>
  </si>
  <si>
    <t>業種名</t>
    <rPh sb="0" eb="2">
      <t>ギョウシュ</t>
    </rPh>
    <rPh sb="2" eb="3">
      <t>メイ</t>
    </rPh>
    <phoneticPr fontId="9"/>
  </si>
  <si>
    <t>事業名</t>
    <rPh sb="0" eb="2">
      <t>ジギョウ</t>
    </rPh>
    <rPh sb="2" eb="3">
      <t>メイ</t>
    </rPh>
    <phoneticPr fontId="9"/>
  </si>
  <si>
    <t>施設名</t>
    <rPh sb="0" eb="2">
      <t>シセツ</t>
    </rPh>
    <rPh sb="2" eb="3">
      <t>メイ</t>
    </rPh>
    <phoneticPr fontId="9"/>
  </si>
  <si>
    <t>抜本的な改革の取組</t>
    <phoneticPr fontId="9"/>
  </si>
  <si>
    <t>事業廃止</t>
    <rPh sb="0" eb="2">
      <t>ジギョウ</t>
    </rPh>
    <rPh sb="2" eb="4">
      <t>ハイシ</t>
    </rPh>
    <phoneticPr fontId="9"/>
  </si>
  <si>
    <t>民営化・
民間譲渡</t>
    <rPh sb="0" eb="3">
      <t>ミンエイカ</t>
    </rPh>
    <rPh sb="5" eb="7">
      <t>ミンカン</t>
    </rPh>
    <rPh sb="7" eb="9">
      <t>ジョウト</t>
    </rPh>
    <phoneticPr fontId="9"/>
  </si>
  <si>
    <t>広域化等</t>
    <rPh sb="0" eb="3">
      <t>コウイキカ</t>
    </rPh>
    <rPh sb="3" eb="4">
      <t>トウ</t>
    </rPh>
    <phoneticPr fontId="9"/>
  </si>
  <si>
    <t>民間活用</t>
    <rPh sb="0" eb="2">
      <t>ミンカン</t>
    </rPh>
    <rPh sb="2" eb="4">
      <t>カツヨウ</t>
    </rPh>
    <phoneticPr fontId="9"/>
  </si>
  <si>
    <t>現行の経営
体制を継続</t>
    <rPh sb="0" eb="2">
      <t>ゲンコウ</t>
    </rPh>
    <rPh sb="3" eb="5">
      <t>ケイエイ</t>
    </rPh>
    <rPh sb="6" eb="8">
      <t>タイセイ</t>
    </rPh>
    <rPh sb="9" eb="11">
      <t>ケイゾク</t>
    </rPh>
    <phoneticPr fontId="9"/>
  </si>
  <si>
    <t>指定管理者
制度</t>
    <rPh sb="0" eb="2">
      <t>シテイ</t>
    </rPh>
    <rPh sb="2" eb="5">
      <t>カンリシャ</t>
    </rPh>
    <rPh sb="6" eb="8">
      <t>セイド</t>
    </rPh>
    <phoneticPr fontId="9"/>
  </si>
  <si>
    <t>包括的
民間委託</t>
    <rPh sb="0" eb="3">
      <t>ホウカツテキ</t>
    </rPh>
    <rPh sb="4" eb="6">
      <t>ミンカン</t>
    </rPh>
    <rPh sb="6" eb="8">
      <t>イタク</t>
    </rPh>
    <phoneticPr fontId="9"/>
  </si>
  <si>
    <t>PPP/PFI方式
の活用</t>
    <rPh sb="7" eb="9">
      <t>ホウシキ</t>
    </rPh>
    <rPh sb="11" eb="13">
      <t>カツヨウ</t>
    </rPh>
    <phoneticPr fontId="9"/>
  </si>
  <si>
    <t>地方独立行政法人への移行</t>
    <rPh sb="0" eb="2">
      <t>チホウ</t>
    </rPh>
    <rPh sb="2" eb="4">
      <t>ドクリツ</t>
    </rPh>
    <rPh sb="4" eb="6">
      <t>ギョウセイ</t>
    </rPh>
    <rPh sb="6" eb="8">
      <t>ホウジン</t>
    </rPh>
    <rPh sb="10" eb="12">
      <t>イコウ</t>
    </rPh>
    <phoneticPr fontId="9"/>
  </si>
  <si>
    <t>取組事項</t>
    <rPh sb="0" eb="2">
      <t>トリクミ</t>
    </rPh>
    <rPh sb="2" eb="4">
      <t>ジコウ</t>
    </rPh>
    <phoneticPr fontId="9"/>
  </si>
  <si>
    <t>（取組の概要及び効果）</t>
    <rPh sb="1" eb="2">
      <t>ト</t>
    </rPh>
    <rPh sb="2" eb="3">
      <t>ク</t>
    </rPh>
    <rPh sb="4" eb="6">
      <t>ガイヨウ</t>
    </rPh>
    <rPh sb="6" eb="7">
      <t>オヨ</t>
    </rPh>
    <rPh sb="8" eb="10">
      <t>コウカ</t>
    </rPh>
    <phoneticPr fontId="9"/>
  </si>
  <si>
    <t>（全部と一部の別）</t>
    <rPh sb="1" eb="3">
      <t>ゼンブ</t>
    </rPh>
    <rPh sb="4" eb="6">
      <t>イチブ</t>
    </rPh>
    <rPh sb="7" eb="8">
      <t>ベツ</t>
    </rPh>
    <phoneticPr fontId="9"/>
  </si>
  <si>
    <t>（実施（予定）時期）</t>
    <rPh sb="1" eb="3">
      <t>ジッシ</t>
    </rPh>
    <rPh sb="4" eb="6">
      <t>ヨテイ</t>
    </rPh>
    <rPh sb="7" eb="9">
      <t>ジキ</t>
    </rPh>
    <phoneticPr fontId="9"/>
  </si>
  <si>
    <t>実施済</t>
    <rPh sb="0" eb="2">
      <t>ジッシ</t>
    </rPh>
    <rPh sb="2" eb="3">
      <t>ズ</t>
    </rPh>
    <phoneticPr fontId="9"/>
  </si>
  <si>
    <t>全部廃止</t>
    <rPh sb="0" eb="2">
      <t>ゼンブ</t>
    </rPh>
    <rPh sb="2" eb="4">
      <t>ハイシ</t>
    </rPh>
    <phoneticPr fontId="9"/>
  </si>
  <si>
    <t>一部廃止</t>
    <rPh sb="0" eb="2">
      <t>イチブ</t>
    </rPh>
    <rPh sb="2" eb="4">
      <t>ハイシ</t>
    </rPh>
    <phoneticPr fontId="9"/>
  </si>
  <si>
    <t>①償還終了による廃止</t>
    <rPh sb="1" eb="3">
      <t>ショウカン</t>
    </rPh>
    <rPh sb="3" eb="5">
      <t>シュウリョウ</t>
    </rPh>
    <rPh sb="8" eb="10">
      <t>ハイシ</t>
    </rPh>
    <phoneticPr fontId="9"/>
  </si>
  <si>
    <t>②一般会計化</t>
    <rPh sb="1" eb="3">
      <t>イッパン</t>
    </rPh>
    <rPh sb="3" eb="6">
      <t>カイケイカ</t>
    </rPh>
    <phoneticPr fontId="9"/>
  </si>
  <si>
    <t>年</t>
    <rPh sb="0" eb="1">
      <t>ネン</t>
    </rPh>
    <phoneticPr fontId="9"/>
  </si>
  <si>
    <t>月</t>
    <rPh sb="0" eb="1">
      <t>ガツ</t>
    </rPh>
    <phoneticPr fontId="9"/>
  </si>
  <si>
    <t>日</t>
    <rPh sb="0" eb="1">
      <t>ニチ</t>
    </rPh>
    <phoneticPr fontId="9"/>
  </si>
  <si>
    <t>実施予定</t>
    <rPh sb="0" eb="2">
      <t>ジッシ</t>
    </rPh>
    <rPh sb="2" eb="4">
      <t>ヨテイ</t>
    </rPh>
    <phoneticPr fontId="9"/>
  </si>
  <si>
    <t>③診療所への移行</t>
    <rPh sb="1" eb="4">
      <t>シンリョウジョ</t>
    </rPh>
    <rPh sb="6" eb="8">
      <t>イコウ</t>
    </rPh>
    <phoneticPr fontId="9"/>
  </si>
  <si>
    <t>④飲料用水供給施設化</t>
    <rPh sb="1" eb="3">
      <t>インリョウ</t>
    </rPh>
    <rPh sb="3" eb="5">
      <t>ヨウスイ</t>
    </rPh>
    <rPh sb="5" eb="7">
      <t>キョウキュウ</t>
    </rPh>
    <rPh sb="7" eb="10">
      <t>シセツカ</t>
    </rPh>
    <phoneticPr fontId="9"/>
  </si>
  <si>
    <t>⑤民営化・民間譲渡による廃止</t>
    <rPh sb="1" eb="4">
      <t>ミンエイカ</t>
    </rPh>
    <rPh sb="5" eb="7">
      <t>ミンカン</t>
    </rPh>
    <rPh sb="7" eb="9">
      <t>ジョウト</t>
    </rPh>
    <rPh sb="12" eb="14">
      <t>ハイシ</t>
    </rPh>
    <phoneticPr fontId="9"/>
  </si>
  <si>
    <t>⑥広域化による廃止</t>
    <rPh sb="1" eb="4">
      <t>コウイキカ</t>
    </rPh>
    <rPh sb="7" eb="9">
      <t>ハイシ</t>
    </rPh>
    <phoneticPr fontId="9"/>
  </si>
  <si>
    <t>⑦その他</t>
    <rPh sb="3" eb="4">
      <t>タ</t>
    </rPh>
    <phoneticPr fontId="9"/>
  </si>
  <si>
    <t>（取組の概要）</t>
    <rPh sb="1" eb="2">
      <t>ト</t>
    </rPh>
    <rPh sb="2" eb="3">
      <t>ク</t>
    </rPh>
    <rPh sb="4" eb="6">
      <t>ガイヨウ</t>
    </rPh>
    <phoneticPr fontId="9"/>
  </si>
  <si>
    <t>（検討状況・課題）</t>
    <rPh sb="1" eb="3">
      <t>ケントウ</t>
    </rPh>
    <rPh sb="3" eb="5">
      <t>ジョウキョウ</t>
    </rPh>
    <rPh sb="6" eb="8">
      <t>カダイ</t>
    </rPh>
    <phoneticPr fontId="9"/>
  </si>
  <si>
    <t>検討中</t>
    <rPh sb="0" eb="3">
      <t>ケントウチュウ</t>
    </rPh>
    <phoneticPr fontId="9"/>
  </si>
  <si>
    <t>民営化・民間譲渡</t>
    <rPh sb="0" eb="3">
      <t>ミンエイカ</t>
    </rPh>
    <rPh sb="4" eb="6">
      <t>ミンカン</t>
    </rPh>
    <rPh sb="6" eb="8">
      <t>ジョウト</t>
    </rPh>
    <phoneticPr fontId="9"/>
  </si>
  <si>
    <t>（取組の概要及び効果）</t>
    <rPh sb="1" eb="2">
      <t>ト</t>
    </rPh>
    <rPh sb="2" eb="3">
      <t>ク</t>
    </rPh>
    <rPh sb="4" eb="6">
      <t>ガイヨウ</t>
    </rPh>
    <phoneticPr fontId="9"/>
  </si>
  <si>
    <t>全部民営化・
全部民間譲渡</t>
    <rPh sb="0" eb="2">
      <t>ゼンブ</t>
    </rPh>
    <rPh sb="2" eb="5">
      <t>ミンエイカ</t>
    </rPh>
    <rPh sb="7" eb="9">
      <t>ゼンブ</t>
    </rPh>
    <rPh sb="9" eb="11">
      <t>ミンカン</t>
    </rPh>
    <rPh sb="11" eb="13">
      <t>ジョウト</t>
    </rPh>
    <phoneticPr fontId="9"/>
  </si>
  <si>
    <t>一部民営化・
一部民間譲渡</t>
    <rPh sb="0" eb="2">
      <t>イチブ</t>
    </rPh>
    <rPh sb="2" eb="5">
      <t>ミンエイカ</t>
    </rPh>
    <rPh sb="7" eb="8">
      <t>イチ</t>
    </rPh>
    <rPh sb="8" eb="9">
      <t>ブ</t>
    </rPh>
    <rPh sb="9" eb="11">
      <t>ミンカン</t>
    </rPh>
    <rPh sb="11" eb="13">
      <t>ジョウト</t>
    </rPh>
    <phoneticPr fontId="9"/>
  </si>
  <si>
    <t>（水道事業）広域化等</t>
    <rPh sb="1" eb="3">
      <t>スイドウ</t>
    </rPh>
    <rPh sb="3" eb="5">
      <t>ジギョウ</t>
    </rPh>
    <phoneticPr fontId="9"/>
  </si>
  <si>
    <t>（実施類型）</t>
    <rPh sb="1" eb="3">
      <t>ジッシ</t>
    </rPh>
    <rPh sb="3" eb="5">
      <t>ルイケイ</t>
    </rPh>
    <phoneticPr fontId="9"/>
  </si>
  <si>
    <t>経営統合</t>
    <rPh sb="0" eb="2">
      <t>ケイエイ</t>
    </rPh>
    <rPh sb="2" eb="4">
      <t>トウゴウ</t>
    </rPh>
    <phoneticPr fontId="9"/>
  </si>
  <si>
    <t>施設の
共同設置・利用</t>
    <rPh sb="0" eb="2">
      <t>シセツ</t>
    </rPh>
    <rPh sb="4" eb="6">
      <t>キョウドウ</t>
    </rPh>
    <rPh sb="6" eb="8">
      <t>セッチ</t>
    </rPh>
    <rPh sb="9" eb="11">
      <t>リヨウ</t>
    </rPh>
    <phoneticPr fontId="9"/>
  </si>
  <si>
    <t>施設管理の
共同化</t>
    <rPh sb="0" eb="2">
      <t>シセツ</t>
    </rPh>
    <rPh sb="2" eb="4">
      <t>カンリ</t>
    </rPh>
    <rPh sb="6" eb="9">
      <t>キョウドウカ</t>
    </rPh>
    <phoneticPr fontId="9"/>
  </si>
  <si>
    <t>管理の一体化</t>
    <rPh sb="0" eb="2">
      <t>カンリ</t>
    </rPh>
    <rPh sb="3" eb="6">
      <t>イッタイカ</t>
    </rPh>
    <phoneticPr fontId="9"/>
  </si>
  <si>
    <t>（簡易水道事業）広域化等</t>
    <rPh sb="1" eb="3">
      <t>カンイ</t>
    </rPh>
    <rPh sb="3" eb="5">
      <t>スイドウ</t>
    </rPh>
    <rPh sb="5" eb="7">
      <t>ジギョウ</t>
    </rPh>
    <phoneticPr fontId="9"/>
  </si>
  <si>
    <t>簡易水道事業統合</t>
    <rPh sb="0" eb="2">
      <t>カンイ</t>
    </rPh>
    <rPh sb="2" eb="4">
      <t>スイドウ</t>
    </rPh>
    <rPh sb="4" eb="6">
      <t>ジギョウ</t>
    </rPh>
    <rPh sb="6" eb="8">
      <t>トウゴウ</t>
    </rPh>
    <phoneticPr fontId="9"/>
  </si>
  <si>
    <t>簡易水道事業統合以外</t>
    <rPh sb="0" eb="2">
      <t>カンイ</t>
    </rPh>
    <rPh sb="2" eb="4">
      <t>スイドウ</t>
    </rPh>
    <rPh sb="4" eb="6">
      <t>ジギョウ</t>
    </rPh>
    <rPh sb="6" eb="8">
      <t>トウゴウ</t>
    </rPh>
    <rPh sb="8" eb="10">
      <t>イガイ</t>
    </rPh>
    <phoneticPr fontId="9"/>
  </si>
  <si>
    <t>（下水道事業）広域化等</t>
    <rPh sb="1" eb="2">
      <t>シタ</t>
    </rPh>
    <rPh sb="2" eb="4">
      <t>スイドウ</t>
    </rPh>
    <rPh sb="4" eb="6">
      <t>ジギョウ</t>
    </rPh>
    <phoneticPr fontId="9"/>
  </si>
  <si>
    <t>汚水処理施設の
統廃合</t>
    <rPh sb="0" eb="2">
      <t>オスイ</t>
    </rPh>
    <rPh sb="2" eb="4">
      <t>ショリ</t>
    </rPh>
    <rPh sb="4" eb="6">
      <t>シセツ</t>
    </rPh>
    <rPh sb="8" eb="11">
      <t>トウハイゴウ</t>
    </rPh>
    <phoneticPr fontId="9"/>
  </si>
  <si>
    <t>汚泥処理の
共同化</t>
    <rPh sb="0" eb="2">
      <t>オデイ</t>
    </rPh>
    <rPh sb="2" eb="4">
      <t>ショリ</t>
    </rPh>
    <rPh sb="6" eb="9">
      <t>キョウドウカ</t>
    </rPh>
    <phoneticPr fontId="9"/>
  </si>
  <si>
    <t>維持管理・事務
の共同化</t>
    <rPh sb="0" eb="2">
      <t>イジ</t>
    </rPh>
    <rPh sb="2" eb="4">
      <t>カンリ</t>
    </rPh>
    <rPh sb="5" eb="7">
      <t>ジム</t>
    </rPh>
    <rPh sb="9" eb="12">
      <t>キョウドウカ</t>
    </rPh>
    <phoneticPr fontId="9"/>
  </si>
  <si>
    <r>
      <rPr>
        <b/>
        <sz val="12"/>
        <color theme="1"/>
        <rFont val="游ゴシック"/>
        <family val="3"/>
        <charset val="128"/>
        <scheme val="minor"/>
      </rPr>
      <t>最適な汚水処理
施設の選択</t>
    </r>
    <r>
      <rPr>
        <sz val="10"/>
        <color theme="1"/>
        <rFont val="游ゴシック"/>
        <family val="3"/>
        <charset val="128"/>
        <scheme val="minor"/>
      </rPr>
      <t>（最適化）</t>
    </r>
    <rPh sb="0" eb="2">
      <t>サイテキ</t>
    </rPh>
    <rPh sb="3" eb="5">
      <t>オスイ</t>
    </rPh>
    <rPh sb="5" eb="7">
      <t>ショリ</t>
    </rPh>
    <rPh sb="8" eb="10">
      <t>シセツ</t>
    </rPh>
    <rPh sb="11" eb="13">
      <t>センタク</t>
    </rPh>
    <rPh sb="14" eb="17">
      <t>サイテキカ</t>
    </rPh>
    <phoneticPr fontId="9"/>
  </si>
  <si>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9"/>
  </si>
  <si>
    <t>民間活用（指定管理者制度）</t>
    <rPh sb="0" eb="2">
      <t>ミンカン</t>
    </rPh>
    <rPh sb="2" eb="4">
      <t>カツヨウ</t>
    </rPh>
    <rPh sb="5" eb="7">
      <t>シテイ</t>
    </rPh>
    <rPh sb="7" eb="10">
      <t>カンリシャ</t>
    </rPh>
    <rPh sb="10" eb="12">
      <t>セイド</t>
    </rPh>
    <phoneticPr fontId="9"/>
  </si>
  <si>
    <t>（方式）</t>
    <rPh sb="1" eb="3">
      <t>ホウシキ</t>
    </rPh>
    <phoneticPr fontId="9"/>
  </si>
  <si>
    <t>代行制</t>
    <rPh sb="0" eb="3">
      <t>ダイコウセイ</t>
    </rPh>
    <phoneticPr fontId="9"/>
  </si>
  <si>
    <t>利用料金制</t>
    <rPh sb="0" eb="2">
      <t>リヨウ</t>
    </rPh>
    <rPh sb="2" eb="5">
      <t>リョウキンセイ</t>
    </rPh>
    <phoneticPr fontId="9"/>
  </si>
  <si>
    <t>民間活用（包括的民間委託）</t>
    <rPh sb="0" eb="2">
      <t>ミンカン</t>
    </rPh>
    <rPh sb="2" eb="4">
      <t>カツヨウ</t>
    </rPh>
    <rPh sb="5" eb="8">
      <t>ホウカツテキ</t>
    </rPh>
    <rPh sb="8" eb="10">
      <t>ミンカン</t>
    </rPh>
    <rPh sb="10" eb="12">
      <t>イタク</t>
    </rPh>
    <phoneticPr fontId="9"/>
  </si>
  <si>
    <t>（（実施済のみ）性能発注内容）</t>
    <rPh sb="2" eb="4">
      <t>ジッシ</t>
    </rPh>
    <rPh sb="4" eb="5">
      <t>ズ</t>
    </rPh>
    <rPh sb="8" eb="10">
      <t>セイノウ</t>
    </rPh>
    <rPh sb="10" eb="12">
      <t>ハッチュウ</t>
    </rPh>
    <rPh sb="12" eb="14">
      <t>ナイヨウ</t>
    </rPh>
    <phoneticPr fontId="9"/>
  </si>
  <si>
    <t>民間活用（ＰＰＰ/ＰＦＩ方式の活用）</t>
    <rPh sb="0" eb="2">
      <t>ミンカン</t>
    </rPh>
    <rPh sb="2" eb="4">
      <t>カツヨウ</t>
    </rPh>
    <rPh sb="12" eb="14">
      <t>ホウシキ</t>
    </rPh>
    <rPh sb="15" eb="17">
      <t>カツヨウ</t>
    </rPh>
    <phoneticPr fontId="9"/>
  </si>
  <si>
    <t>（導入・契約（予定）時期）</t>
    <rPh sb="1" eb="3">
      <t>ドウニュウ</t>
    </rPh>
    <rPh sb="4" eb="6">
      <t>ケイヤク</t>
    </rPh>
    <rPh sb="7" eb="9">
      <t>ヨテイ</t>
    </rPh>
    <rPh sb="10" eb="12">
      <t>ジキ</t>
    </rPh>
    <phoneticPr fontId="9"/>
  </si>
  <si>
    <t>BTO方式</t>
    <rPh sb="3" eb="5">
      <t>ホウシキ</t>
    </rPh>
    <phoneticPr fontId="9"/>
  </si>
  <si>
    <t>公共施設等運営権方式（コンセッション方式）</t>
    <rPh sb="0" eb="2">
      <t>コウキョウ</t>
    </rPh>
    <rPh sb="2" eb="4">
      <t>シセツ</t>
    </rPh>
    <rPh sb="4" eb="5">
      <t>トウ</t>
    </rPh>
    <rPh sb="5" eb="8">
      <t>ウンエイケン</t>
    </rPh>
    <rPh sb="8" eb="10">
      <t>ホウシキ</t>
    </rPh>
    <rPh sb="18" eb="20">
      <t>ホウシキ</t>
    </rPh>
    <phoneticPr fontId="9"/>
  </si>
  <si>
    <t>BOT方式</t>
    <rPh sb="3" eb="5">
      <t>ホウシキ</t>
    </rPh>
    <phoneticPr fontId="9"/>
  </si>
  <si>
    <t>BOO方式</t>
    <rPh sb="3" eb="5">
      <t>ホウシキ</t>
    </rPh>
    <phoneticPr fontId="9"/>
  </si>
  <si>
    <t>その他</t>
    <rPh sb="2" eb="3">
      <t>タ</t>
    </rPh>
    <phoneticPr fontId="9"/>
  </si>
  <si>
    <t>DB方式</t>
    <rPh sb="2" eb="4">
      <t>ホウシキ</t>
    </rPh>
    <phoneticPr fontId="9"/>
  </si>
  <si>
    <t>DBO方式</t>
    <rPh sb="3" eb="5">
      <t>ホウシキ</t>
    </rPh>
    <phoneticPr fontId="9"/>
  </si>
  <si>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9"/>
  </si>
  <si>
    <t>（公務員型と非公務員型の別）</t>
    <rPh sb="1" eb="5">
      <t>コウムインガタ</t>
    </rPh>
    <rPh sb="6" eb="7">
      <t>ヒ</t>
    </rPh>
    <rPh sb="7" eb="11">
      <t>コウムインガタ</t>
    </rPh>
    <rPh sb="12" eb="13">
      <t>ベツ</t>
    </rPh>
    <phoneticPr fontId="9"/>
  </si>
  <si>
    <t>公務員型</t>
    <rPh sb="0" eb="3">
      <t>コウムイン</t>
    </rPh>
    <rPh sb="3" eb="4">
      <t>ガタ</t>
    </rPh>
    <phoneticPr fontId="9"/>
  </si>
  <si>
    <t>非公務員型</t>
    <rPh sb="0" eb="1">
      <t>ヒ</t>
    </rPh>
    <rPh sb="1" eb="4">
      <t>コウムイン</t>
    </rPh>
    <rPh sb="4" eb="5">
      <t>ガタ</t>
    </rPh>
    <phoneticPr fontId="9"/>
  </si>
  <si>
    <t>抜本的な改革に取り組まず、現行の経営体制・手法を継続する理由及び現在の経営状況・経営戦略等における中長期的な将来見通しを踏まえた、今後の経営改革の方向性</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</si>
</sst>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4"/>
      <color theme="1"/>
      <name val="游ゴシック"/>
      <family val="3"/>
      <charset val="128"/>
      <scheme val="minor"/>
    </font>
    <font>
      <b/>
      <sz val="10"/>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20"/>
      <name val="游ゴシック"/>
      <family val="2"/>
      <charset val="128"/>
      <scheme val="minor"/>
    </font>
    <font>
      <sz val="14"/>
      <color theme="1"/>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lignment vertical="center"/>
    </xf>
  </cellStyleXfs>
  <cellXfs count="287">
    <xf numFmtId="0" fontId="0" fillId="0" borderId="0" xfId="0"/>
    <xf numFmtId="0" fontId="1" fillId="0" borderId="0" xfId="1">
      <alignment vertical="center"/>
    </xf>
    <xf numFmtId="0" fontId="3" fillId="0" borderId="0" xfId="1" applyFont="1" applyAlignment="1">
      <alignment horizontal="center" vertical="center"/>
    </xf>
    <xf numFmtId="0" fontId="4" fillId="0" borderId="0" xfId="1" applyFont="1" applyAlignment="1">
      <alignment horizontal="center" vertical="center"/>
    </xf>
    <xf numFmtId="0" fontId="5" fillId="0" borderId="0" xfId="1" applyFont="1">
      <alignment vertical="center"/>
    </xf>
    <xf numFmtId="0" fontId="6" fillId="0" borderId="0" xfId="1" applyFont="1" applyAlignment="1">
      <alignment horizontal="center" vertical="center"/>
    </xf>
    <xf numFmtId="0" fontId="7" fillId="0" borderId="0" xfId="1" applyFont="1">
      <alignment vertical="center"/>
    </xf>
    <xf numFmtId="0" fontId="7" fillId="0" borderId="0" xfId="1" applyFont="1" applyAlignment="1">
      <alignment horizontal="center" vertical="center"/>
    </xf>
    <xf numFmtId="0" fontId="8" fillId="0" borderId="0" xfId="1" applyFont="1" applyAlignment="1">
      <alignment vertical="center" shrinkToFit="1"/>
    </xf>
    <xf numFmtId="0" fontId="13" fillId="0" borderId="0" xfId="1" applyFont="1">
      <alignment vertical="center"/>
    </xf>
    <xf numFmtId="0" fontId="14" fillId="2" borderId="2" xfId="1" applyFont="1" applyFill="1" applyBorder="1" applyAlignment="1"/>
    <xf numFmtId="0" fontId="14" fillId="2" borderId="3" xfId="1" applyFont="1" applyFill="1" applyBorder="1" applyAlignment="1"/>
    <xf numFmtId="0" fontId="14" fillId="2" borderId="4" xfId="1" applyFont="1" applyFill="1" applyBorder="1" applyAlignment="1"/>
    <xf numFmtId="0" fontId="14" fillId="0" borderId="0" xfId="1" applyFont="1" applyAlignment="1"/>
    <xf numFmtId="0" fontId="14" fillId="2" borderId="5" xfId="1" applyFont="1" applyFill="1" applyBorder="1" applyAlignment="1"/>
    <xf numFmtId="0" fontId="14" fillId="2" borderId="0" xfId="1" applyFont="1" applyFill="1" applyAlignment="1"/>
    <xf numFmtId="0" fontId="14" fillId="2" borderId="6" xfId="1" applyFont="1" applyFill="1" applyBorder="1" applyAlignment="1"/>
    <xf numFmtId="0" fontId="15" fillId="2" borderId="0" xfId="1" applyFont="1" applyFill="1">
      <alignment vertical="center"/>
    </xf>
    <xf numFmtId="0" fontId="17" fillId="0" borderId="0" xfId="1" applyFont="1" applyAlignment="1"/>
    <xf numFmtId="0" fontId="18" fillId="2" borderId="0" xfId="1" applyFont="1" applyFill="1">
      <alignment vertical="center"/>
    </xf>
    <xf numFmtId="0" fontId="19" fillId="2" borderId="0" xfId="1" applyFont="1" applyFill="1">
      <alignment vertical="center"/>
    </xf>
    <xf numFmtId="0" fontId="17" fillId="2" borderId="7" xfId="1" applyFont="1" applyFill="1" applyBorder="1" applyAlignment="1"/>
    <xf numFmtId="0" fontId="17" fillId="2" borderId="8" xfId="1" applyFont="1" applyFill="1" applyBorder="1" applyAlignment="1"/>
    <xf numFmtId="0" fontId="14" fillId="2" borderId="8" xfId="1" applyFont="1" applyFill="1" applyBorder="1" applyAlignment="1"/>
    <xf numFmtId="0" fontId="14" fillId="2" borderId="9" xfId="1" applyFont="1" applyFill="1" applyBorder="1" applyAlignment="1"/>
    <xf numFmtId="0" fontId="18" fillId="0" borderId="0" xfId="1" applyFont="1">
      <alignment vertical="center"/>
    </xf>
    <xf numFmtId="0" fontId="17" fillId="0" borderId="0" xfId="1" applyFont="1">
      <alignment vertical="center"/>
    </xf>
    <xf numFmtId="0" fontId="18" fillId="2" borderId="2" xfId="1" applyFont="1" applyFill="1" applyBorder="1">
      <alignment vertical="center"/>
    </xf>
    <xf numFmtId="0" fontId="18" fillId="2" borderId="3" xfId="1" applyFont="1" applyFill="1" applyBorder="1">
      <alignment vertical="center"/>
    </xf>
    <xf numFmtId="0" fontId="17" fillId="2" borderId="3" xfId="1" applyFont="1" applyFill="1" applyBorder="1" applyAlignment="1">
      <alignment wrapText="1"/>
    </xf>
    <xf numFmtId="0" fontId="17" fillId="2" borderId="3" xfId="1" applyFont="1" applyFill="1" applyBorder="1" applyAlignment="1">
      <alignment shrinkToFit="1"/>
    </xf>
    <xf numFmtId="0" fontId="18" fillId="2" borderId="4" xfId="1" applyFont="1" applyFill="1" applyBorder="1">
      <alignment vertical="center"/>
    </xf>
    <xf numFmtId="0" fontId="20" fillId="0" borderId="0" xfId="1" applyFont="1">
      <alignment vertical="center"/>
    </xf>
    <xf numFmtId="0" fontId="18" fillId="2" borderId="5" xfId="1" applyFont="1" applyFill="1" applyBorder="1">
      <alignment vertical="center"/>
    </xf>
    <xf numFmtId="0" fontId="17" fillId="2" borderId="0" xfId="1" applyFont="1" applyFill="1" applyAlignment="1">
      <alignment wrapText="1"/>
    </xf>
    <xf numFmtId="0" fontId="17" fillId="2" borderId="0" xfId="1" applyFont="1" applyFill="1" applyAlignment="1"/>
    <xf numFmtId="0" fontId="21" fillId="2" borderId="0" xfId="1" applyFont="1" applyFill="1" applyAlignment="1"/>
    <xf numFmtId="0" fontId="4" fillId="2" borderId="0" xfId="1" applyFont="1" applyFill="1" applyAlignment="1">
      <alignment horizontal="left" vertical="center" wrapText="1"/>
    </xf>
    <xf numFmtId="0" fontId="18" fillId="2" borderId="6" xfId="1" applyFont="1" applyFill="1" applyBorder="1">
      <alignment vertical="center"/>
    </xf>
    <xf numFmtId="0" fontId="21" fillId="2" borderId="0" xfId="1" applyFont="1" applyFill="1">
      <alignment vertical="center"/>
    </xf>
    <xf numFmtId="0" fontId="17" fillId="2" borderId="0" xfId="1" applyFont="1" applyFill="1" applyAlignment="1">
      <alignment shrinkToFit="1"/>
    </xf>
    <xf numFmtId="0" fontId="4" fillId="2" borderId="0" xfId="1" applyFont="1" applyFill="1" applyAlignment="1">
      <alignment vertical="center" wrapText="1"/>
    </xf>
    <xf numFmtId="0" fontId="17" fillId="2" borderId="0" xfId="1" applyFont="1" applyFill="1" applyAlignment="1">
      <alignment horizontal="left" wrapText="1"/>
    </xf>
    <xf numFmtId="0" fontId="22" fillId="2" borderId="0" xfId="1" applyFont="1" applyFill="1">
      <alignment vertical="center"/>
    </xf>
    <xf numFmtId="0" fontId="21" fillId="2" borderId="0" xfId="1" applyFont="1" applyFill="1" applyAlignment="1">
      <alignment shrinkToFit="1"/>
    </xf>
    <xf numFmtId="0" fontId="21" fillId="2" borderId="0" xfId="1" applyFont="1" applyFill="1" applyAlignment="1">
      <alignment horizontal="left" vertical="center" wrapText="1"/>
    </xf>
    <xf numFmtId="0" fontId="21" fillId="2" borderId="0" xfId="1" applyFont="1" applyFill="1" applyAlignment="1">
      <alignment vertical="center" wrapText="1"/>
    </xf>
    <xf numFmtId="0" fontId="21" fillId="2" borderId="8" xfId="1" applyFont="1" applyFill="1" applyBorder="1" applyAlignment="1">
      <alignment wrapText="1"/>
    </xf>
    <xf numFmtId="0" fontId="21" fillId="2" borderId="0" xfId="1" applyFont="1" applyFill="1" applyAlignment="1">
      <alignment wrapText="1"/>
    </xf>
    <xf numFmtId="0" fontId="22" fillId="2" borderId="0" xfId="1" applyFont="1" applyFill="1" applyAlignment="1">
      <alignment horizontal="left" vertical="center"/>
    </xf>
    <xf numFmtId="0" fontId="24" fillId="2" borderId="0" xfId="1" applyFont="1" applyFill="1" applyAlignment="1">
      <alignment vertical="center" wrapText="1"/>
    </xf>
    <xf numFmtId="0" fontId="15" fillId="2" borderId="0" xfId="1" applyFont="1" applyFill="1" applyAlignment="1">
      <alignment horizontal="center" vertical="center"/>
    </xf>
    <xf numFmtId="0" fontId="19" fillId="2" borderId="0" xfId="1" applyFont="1" applyFill="1" applyAlignment="1">
      <alignment horizontal="center" vertical="center"/>
    </xf>
    <xf numFmtId="0" fontId="21" fillId="2" borderId="0" xfId="1" applyFont="1" applyFill="1" applyAlignment="1">
      <alignment horizontal="center" vertical="center"/>
    </xf>
    <xf numFmtId="0" fontId="27" fillId="2" borderId="0" xfId="1" applyFont="1" applyFill="1">
      <alignment vertical="center"/>
    </xf>
    <xf numFmtId="0" fontId="1" fillId="2" borderId="3" xfId="1" applyFill="1" applyBorder="1">
      <alignment vertical="center"/>
    </xf>
    <xf numFmtId="0" fontId="24" fillId="2" borderId="0" xfId="1" applyFont="1" applyFill="1">
      <alignment vertical="center"/>
    </xf>
    <xf numFmtId="0" fontId="18" fillId="2" borderId="7" xfId="1" applyFont="1" applyFill="1" applyBorder="1">
      <alignment vertical="center"/>
    </xf>
    <xf numFmtId="0" fontId="18" fillId="2" borderId="8" xfId="1" applyFont="1" applyFill="1" applyBorder="1">
      <alignment vertical="center"/>
    </xf>
    <xf numFmtId="0" fontId="18" fillId="2" borderId="9" xfId="1" applyFont="1" applyFill="1" applyBorder="1">
      <alignment vertical="center"/>
    </xf>
    <xf numFmtId="0" fontId="21" fillId="2" borderId="8" xfId="1" applyFont="1" applyFill="1" applyBorder="1" applyAlignment="1"/>
    <xf numFmtId="0" fontId="17" fillId="2" borderId="0" xfId="1" applyFont="1" applyFill="1" applyAlignment="1">
      <alignment horizontal="left" vertical="center" wrapText="1"/>
    </xf>
    <xf numFmtId="0" fontId="25" fillId="2" borderId="0" xfId="1" applyFont="1" applyFill="1" applyAlignment="1">
      <alignment horizontal="left" vertical="center"/>
    </xf>
    <xf numFmtId="0" fontId="13" fillId="2" borderId="0" xfId="1" applyFont="1" applyFill="1">
      <alignment vertical="center"/>
    </xf>
    <xf numFmtId="0" fontId="1" fillId="2" borderId="2" xfId="1" applyFill="1" applyBorder="1">
      <alignment vertical="center"/>
    </xf>
    <xf numFmtId="0" fontId="13" fillId="2" borderId="3" xfId="1" applyFont="1" applyFill="1" applyBorder="1">
      <alignment vertical="center"/>
    </xf>
    <xf numFmtId="0" fontId="1" fillId="2" borderId="4" xfId="1" applyFill="1" applyBorder="1">
      <alignment vertical="center"/>
    </xf>
    <xf numFmtId="0" fontId="1" fillId="2" borderId="5" xfId="1" applyFill="1" applyBorder="1">
      <alignment vertical="center"/>
    </xf>
    <xf numFmtId="0" fontId="1" fillId="2" borderId="6" xfId="1" applyFill="1" applyBorder="1">
      <alignment vertical="center"/>
    </xf>
    <xf numFmtId="0" fontId="1" fillId="2" borderId="7" xfId="1" applyFill="1" applyBorder="1">
      <alignment vertical="center"/>
    </xf>
    <xf numFmtId="0" fontId="1" fillId="2" borderId="8" xfId="1" applyFill="1" applyBorder="1">
      <alignment vertical="center"/>
    </xf>
    <xf numFmtId="0" fontId="1" fillId="2" borderId="9" xfId="1" applyFill="1" applyBorder="1">
      <alignment vertical="center"/>
    </xf>
    <xf numFmtId="0" fontId="31" fillId="0" borderId="0" xfId="1" applyFont="1" applyAlignment="1">
      <alignment horizontal="left" vertical="center" wrapText="1"/>
    </xf>
    <xf numFmtId="0" fontId="7" fillId="4" borderId="2" xfId="1" applyFont="1" applyFill="1" applyBorder="1" applyAlignment="1">
      <alignment horizontal="left" vertical="top" wrapText="1"/>
    </xf>
    <xf numFmtId="0" fontId="7" fillId="4" borderId="3" xfId="1" applyFont="1" applyFill="1" applyBorder="1" applyAlignment="1">
      <alignment horizontal="left" vertical="top" wrapText="1"/>
    </xf>
    <xf numFmtId="0" fontId="7" fillId="4" borderId="4" xfId="1" applyFont="1" applyFill="1" applyBorder="1" applyAlignment="1">
      <alignment horizontal="left" vertical="top" wrapText="1"/>
    </xf>
    <xf numFmtId="0" fontId="7" fillId="4" borderId="5" xfId="1" applyFont="1" applyFill="1" applyBorder="1" applyAlignment="1">
      <alignment horizontal="left" vertical="top" wrapText="1"/>
    </xf>
    <xf numFmtId="0" fontId="7" fillId="4" borderId="0" xfId="1" applyFont="1" applyFill="1" applyAlignment="1">
      <alignment horizontal="left" vertical="top" wrapText="1"/>
    </xf>
    <xf numFmtId="0" fontId="7" fillId="4" borderId="6" xfId="1" applyFont="1" applyFill="1" applyBorder="1" applyAlignment="1">
      <alignment horizontal="left" vertical="top" wrapText="1"/>
    </xf>
    <xf numFmtId="0" fontId="7" fillId="4" borderId="7" xfId="1" applyFont="1" applyFill="1" applyBorder="1" applyAlignment="1">
      <alignment horizontal="left" vertical="top" wrapText="1"/>
    </xf>
    <xf numFmtId="0" fontId="7" fillId="4" borderId="8" xfId="1" applyFont="1" applyFill="1" applyBorder="1" applyAlignment="1">
      <alignment horizontal="left" vertical="top" wrapText="1"/>
    </xf>
    <xf numFmtId="0" fontId="7" fillId="4" borderId="9" xfId="1" applyFont="1" applyFill="1" applyBorder="1" applyAlignment="1">
      <alignment horizontal="left" vertical="top" wrapText="1"/>
    </xf>
    <xf numFmtId="0" fontId="19" fillId="0" borderId="5" xfId="1" applyFont="1" applyBorder="1" applyAlignment="1">
      <alignment horizontal="center" vertical="center" shrinkToFit="1"/>
    </xf>
    <xf numFmtId="0" fontId="19" fillId="0" borderId="0" xfId="1" applyFont="1" applyAlignment="1">
      <alignment horizontal="center" vertical="center" shrinkToFit="1"/>
    </xf>
    <xf numFmtId="0" fontId="19" fillId="0" borderId="7" xfId="1" applyFont="1" applyBorder="1" applyAlignment="1">
      <alignment horizontal="center" vertical="center" shrinkToFit="1"/>
    </xf>
    <xf numFmtId="0" fontId="19" fillId="0" borderId="8" xfId="1" applyFont="1" applyBorder="1" applyAlignment="1">
      <alignment horizontal="center" vertical="center" shrinkToFit="1"/>
    </xf>
    <xf numFmtId="0" fontId="19" fillId="0" borderId="6" xfId="1" applyFont="1" applyBorder="1" applyAlignment="1">
      <alignment horizontal="center" vertical="center" shrinkToFit="1"/>
    </xf>
    <xf numFmtId="0" fontId="19" fillId="0" borderId="9" xfId="1" applyFont="1" applyBorder="1" applyAlignment="1">
      <alignment horizontal="center" vertical="center" shrinkToFit="1"/>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5" fillId="0" borderId="4" xfId="1" applyFont="1" applyBorder="1" applyAlignment="1">
      <alignment horizontal="center" vertical="center"/>
    </xf>
    <xf numFmtId="0" fontId="15" fillId="0" borderId="5" xfId="1" applyFont="1" applyBorder="1" applyAlignment="1">
      <alignment horizontal="center" vertical="center"/>
    </xf>
    <xf numFmtId="0" fontId="15" fillId="0" borderId="0" xfId="1" applyFont="1" applyAlignment="1">
      <alignment horizontal="center" vertical="center"/>
    </xf>
    <xf numFmtId="0" fontId="15" fillId="0" borderId="6" xfId="1" applyFont="1" applyBorder="1" applyAlignment="1">
      <alignment horizontal="center" vertical="center"/>
    </xf>
    <xf numFmtId="0" fontId="15" fillId="0" borderId="7" xfId="1" applyFont="1" applyBorder="1" applyAlignment="1">
      <alignment horizontal="center" vertical="center"/>
    </xf>
    <xf numFmtId="0" fontId="15" fillId="0" borderId="8" xfId="1" applyFont="1" applyBorder="1" applyAlignment="1">
      <alignment horizontal="center" vertical="center"/>
    </xf>
    <xf numFmtId="0" fontId="15" fillId="0" borderId="9" xfId="1" applyFont="1" applyBorder="1" applyAlignment="1">
      <alignment horizontal="center" vertical="center"/>
    </xf>
    <xf numFmtId="0" fontId="19" fillId="0" borderId="2" xfId="1" applyFont="1" applyBorder="1" applyAlignment="1">
      <alignment horizontal="center" vertical="center"/>
    </xf>
    <xf numFmtId="0" fontId="19" fillId="0" borderId="3" xfId="1" applyFont="1" applyBorder="1" applyAlignment="1">
      <alignment horizontal="center" vertical="center"/>
    </xf>
    <xf numFmtId="0" fontId="19" fillId="0" borderId="4" xfId="1" applyFont="1" applyBorder="1" applyAlignment="1">
      <alignment horizontal="center" vertical="center"/>
    </xf>
    <xf numFmtId="0" fontId="19" fillId="0" borderId="5"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7" xfId="1" applyFont="1" applyBorder="1" applyAlignment="1">
      <alignment horizontal="center" vertical="center"/>
    </xf>
    <xf numFmtId="0" fontId="19" fillId="0" borderId="8" xfId="1" applyFont="1" applyBorder="1" applyAlignment="1">
      <alignment horizontal="center" vertical="center"/>
    </xf>
    <xf numFmtId="0" fontId="19" fillId="0" borderId="9" xfId="1" applyFont="1" applyBorder="1" applyAlignment="1">
      <alignment horizontal="center" vertical="center"/>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3" fillId="0" borderId="4" xfId="1" applyFont="1" applyBorder="1" applyAlignment="1">
      <alignment horizontal="left" vertical="center" wrapText="1"/>
    </xf>
    <xf numFmtId="0" fontId="23" fillId="0" borderId="5" xfId="1" applyFont="1" applyBorder="1" applyAlignment="1">
      <alignment horizontal="left" vertical="center" wrapText="1"/>
    </xf>
    <xf numFmtId="0" fontId="23" fillId="0" borderId="0" xfId="1" applyFont="1" applyAlignment="1">
      <alignment horizontal="left" vertical="center" wrapText="1"/>
    </xf>
    <xf numFmtId="0" fontId="23" fillId="0" borderId="6" xfId="1" applyFont="1" applyBorder="1" applyAlignment="1">
      <alignment horizontal="left" vertical="center" wrapText="1"/>
    </xf>
    <xf numFmtId="0" fontId="23" fillId="0" borderId="7" xfId="1" applyFont="1" applyBorder="1" applyAlignment="1">
      <alignment horizontal="left" vertical="center" wrapText="1"/>
    </xf>
    <xf numFmtId="0" fontId="23" fillId="0" borderId="8" xfId="1" applyFont="1" applyBorder="1" applyAlignment="1">
      <alignment horizontal="left" vertical="center" wrapText="1"/>
    </xf>
    <xf numFmtId="0" fontId="23" fillId="0" borderId="9" xfId="1" applyFont="1" applyBorder="1" applyAlignment="1">
      <alignment horizontal="left" vertical="center" wrapText="1"/>
    </xf>
    <xf numFmtId="0" fontId="19" fillId="0" borderId="2" xfId="1" applyFont="1" applyBorder="1" applyAlignment="1">
      <alignment horizontal="center" vertical="center" shrinkToFit="1"/>
    </xf>
    <xf numFmtId="0" fontId="19" fillId="0" borderId="3" xfId="1" applyFont="1" applyBorder="1" applyAlignment="1">
      <alignment horizontal="center" vertical="center" shrinkToFit="1"/>
    </xf>
    <xf numFmtId="0" fontId="19" fillId="0" borderId="4" xfId="1" applyFont="1" applyBorder="1" applyAlignment="1">
      <alignment horizontal="center" vertical="center" shrinkToFi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0" xfId="1" applyFont="1" applyAlignment="1">
      <alignment horizontal="center" vertical="center" wrapText="1"/>
    </xf>
    <xf numFmtId="0" fontId="19" fillId="0" borderId="6"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9" xfId="1" applyFont="1" applyBorder="1" applyAlignment="1">
      <alignment horizontal="center" vertical="center" wrapText="1"/>
    </xf>
    <xf numFmtId="0" fontId="17" fillId="2" borderId="10" xfId="1" applyFont="1" applyFill="1" applyBorder="1" applyAlignment="1">
      <alignment horizontal="left" wrapText="1"/>
    </xf>
    <xf numFmtId="0" fontId="15" fillId="3" borderId="2" xfId="1" applyFont="1" applyFill="1" applyBorder="1" applyAlignment="1">
      <alignment horizontal="center" vertical="center"/>
    </xf>
    <xf numFmtId="0" fontId="15" fillId="3" borderId="3" xfId="1" applyFont="1" applyFill="1" applyBorder="1" applyAlignment="1">
      <alignment horizontal="center" vertical="center"/>
    </xf>
    <xf numFmtId="0" fontId="15" fillId="3" borderId="4" xfId="1" applyFont="1" applyFill="1" applyBorder="1" applyAlignment="1">
      <alignment horizontal="center" vertical="center"/>
    </xf>
    <xf numFmtId="0" fontId="15" fillId="3" borderId="7" xfId="1" applyFont="1" applyFill="1" applyBorder="1" applyAlignment="1">
      <alignment horizontal="center" vertical="center"/>
    </xf>
    <xf numFmtId="0" fontId="15" fillId="3" borderId="8" xfId="1" applyFont="1" applyFill="1" applyBorder="1" applyAlignment="1">
      <alignment horizontal="center" vertical="center"/>
    </xf>
    <xf numFmtId="0" fontId="15" fillId="3" borderId="9" xfId="1" applyFont="1" applyFill="1" applyBorder="1" applyAlignment="1">
      <alignment horizontal="center" vertical="center"/>
    </xf>
    <xf numFmtId="0" fontId="25" fillId="0" borderId="2" xfId="1" applyFont="1" applyBorder="1" applyAlignment="1">
      <alignment horizontal="center" vertical="center" shrinkToFit="1"/>
    </xf>
    <xf numFmtId="0" fontId="25" fillId="0" borderId="3" xfId="1" applyFont="1" applyBorder="1" applyAlignment="1">
      <alignment horizontal="center" vertical="center" shrinkToFit="1"/>
    </xf>
    <xf numFmtId="0" fontId="25" fillId="0" borderId="4" xfId="1" applyFont="1" applyBorder="1" applyAlignment="1">
      <alignment horizontal="center" vertical="center" shrinkToFit="1"/>
    </xf>
    <xf numFmtId="0" fontId="25" fillId="0" borderId="7" xfId="1" applyFont="1" applyBorder="1" applyAlignment="1">
      <alignment horizontal="center" vertical="center" shrinkToFit="1"/>
    </xf>
    <xf numFmtId="0" fontId="25" fillId="0" borderId="8" xfId="1" applyFont="1" applyBorder="1" applyAlignment="1">
      <alignment horizontal="center" vertical="center" shrinkToFit="1"/>
    </xf>
    <xf numFmtId="0" fontId="25" fillId="0" borderId="9" xfId="1" applyFont="1" applyBorder="1" applyAlignment="1">
      <alignment horizontal="center" vertical="center" shrinkToFit="1"/>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0" fontId="15" fillId="0" borderId="5" xfId="1" applyFont="1" applyBorder="1" applyAlignment="1">
      <alignment horizontal="center" vertical="center" wrapText="1"/>
    </xf>
    <xf numFmtId="0" fontId="15" fillId="0" borderId="0" xfId="1" applyFont="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9" xfId="1" applyFont="1" applyBorder="1" applyAlignment="1">
      <alignment horizontal="center" vertical="center" wrapText="1"/>
    </xf>
    <xf numFmtId="0" fontId="30" fillId="0" borderId="1" xfId="1" applyFont="1" applyBorder="1" applyAlignment="1">
      <alignment horizontal="center" vertical="center" wrapText="1"/>
    </xf>
    <xf numFmtId="0" fontId="18" fillId="0" borderId="1" xfId="1" applyFont="1" applyBorder="1" applyAlignment="1">
      <alignment horizontal="center" vertical="center" wrapText="1"/>
    </xf>
    <xf numFmtId="0" fontId="29" fillId="0" borderId="1" xfId="1" applyFont="1" applyBorder="1" applyAlignment="1">
      <alignment horizontal="center" vertical="center" wrapText="1"/>
    </xf>
    <xf numFmtId="0" fontId="18" fillId="0" borderId="1" xfId="1" quotePrefix="1" applyFont="1" applyBorder="1" applyAlignment="1">
      <alignment horizontal="center" vertical="center" wrapText="1"/>
    </xf>
    <xf numFmtId="0" fontId="17" fillId="2" borderId="3" xfId="1" applyFont="1" applyFill="1" applyBorder="1" applyAlignment="1">
      <alignment horizontal="left" wrapText="1"/>
    </xf>
    <xf numFmtId="0" fontId="17" fillId="2" borderId="8" xfId="1" applyFont="1" applyFill="1" applyBorder="1" applyAlignment="1">
      <alignment horizontal="left" wrapText="1"/>
    </xf>
    <xf numFmtId="0" fontId="28" fillId="0" borderId="2" xfId="1" applyFont="1" applyBorder="1" applyAlignment="1">
      <alignment horizontal="left" vertical="center" wrapText="1"/>
    </xf>
    <xf numFmtId="0" fontId="28" fillId="0" borderId="3" xfId="1" applyFont="1" applyBorder="1" applyAlignment="1">
      <alignment horizontal="left" vertical="center" wrapText="1"/>
    </xf>
    <xf numFmtId="0" fontId="28" fillId="0" borderId="4" xfId="1" applyFont="1" applyBorder="1" applyAlignment="1">
      <alignment horizontal="left" vertical="center" wrapText="1"/>
    </xf>
    <xf numFmtId="0" fontId="28" fillId="0" borderId="5" xfId="1" applyFont="1" applyBorder="1" applyAlignment="1">
      <alignment horizontal="left" vertical="center" wrapText="1"/>
    </xf>
    <xf numFmtId="0" fontId="28" fillId="0" borderId="0" xfId="1" applyFont="1" applyAlignment="1">
      <alignment horizontal="left" vertical="center" wrapText="1"/>
    </xf>
    <xf numFmtId="0" fontId="28" fillId="0" borderId="6" xfId="1" applyFont="1" applyBorder="1" applyAlignment="1">
      <alignment horizontal="left" vertical="center" wrapText="1"/>
    </xf>
    <xf numFmtId="0" fontId="28" fillId="0" borderId="7" xfId="1" applyFont="1" applyBorder="1" applyAlignment="1">
      <alignment horizontal="left" vertical="center" wrapText="1"/>
    </xf>
    <xf numFmtId="0" fontId="28" fillId="0" borderId="8" xfId="1" applyFont="1" applyBorder="1" applyAlignment="1">
      <alignment horizontal="left" vertical="center" wrapText="1"/>
    </xf>
    <xf numFmtId="0" fontId="28" fillId="0" borderId="9" xfId="1" applyFont="1" applyBorder="1" applyAlignment="1">
      <alignment horizontal="left" vertical="center" wrapText="1"/>
    </xf>
    <xf numFmtId="0" fontId="23" fillId="0" borderId="3" xfId="1" applyFont="1" applyBorder="1" applyAlignment="1">
      <alignment horizontal="left" vertical="center"/>
    </xf>
    <xf numFmtId="0" fontId="23" fillId="0" borderId="4" xfId="1" applyFont="1" applyBorder="1" applyAlignment="1">
      <alignment horizontal="left" vertical="center"/>
    </xf>
    <xf numFmtId="0" fontId="23" fillId="0" borderId="5" xfId="1" applyFont="1" applyBorder="1" applyAlignment="1">
      <alignment horizontal="left" vertical="center"/>
    </xf>
    <xf numFmtId="0" fontId="23" fillId="0" borderId="0" xfId="1" applyFont="1" applyAlignment="1">
      <alignment horizontal="left" vertical="center"/>
    </xf>
    <xf numFmtId="0" fontId="23" fillId="0" borderId="6" xfId="1" applyFont="1" applyBorder="1" applyAlignment="1">
      <alignment horizontal="left" vertical="center"/>
    </xf>
    <xf numFmtId="0" fontId="23" fillId="0" borderId="7" xfId="1" applyFont="1" applyBorder="1" applyAlignment="1">
      <alignment horizontal="left" vertical="center"/>
    </xf>
    <xf numFmtId="0" fontId="23" fillId="0" borderId="8" xfId="1" applyFont="1" applyBorder="1" applyAlignment="1">
      <alignment horizontal="left" vertical="center"/>
    </xf>
    <xf numFmtId="0" fontId="23" fillId="0" borderId="9" xfId="1" applyFont="1" applyBorder="1" applyAlignment="1">
      <alignment horizontal="left" vertical="center"/>
    </xf>
    <xf numFmtId="0" fontId="15" fillId="0" borderId="1" xfId="1" applyFont="1" applyBorder="1" applyAlignment="1">
      <alignment horizontal="center" vertical="center"/>
    </xf>
    <xf numFmtId="0" fontId="15" fillId="0" borderId="11" xfId="1" applyFont="1" applyBorder="1" applyAlignment="1">
      <alignment horizontal="center" vertical="center"/>
    </xf>
    <xf numFmtId="0" fontId="25" fillId="0" borderId="5" xfId="1" applyFont="1" applyBorder="1" applyAlignment="1">
      <alignment horizontal="center" vertical="center" shrinkToFit="1"/>
    </xf>
    <xf numFmtId="0" fontId="25" fillId="0" borderId="0" xfId="1" applyFont="1" applyAlignment="1">
      <alignment horizontal="center" vertical="center" shrinkToFit="1"/>
    </xf>
    <xf numFmtId="0" fontId="25" fillId="0" borderId="6" xfId="1" applyFont="1" applyBorder="1" applyAlignment="1">
      <alignment horizontal="center" vertical="center" shrinkToFit="1"/>
    </xf>
    <xf numFmtId="0" fontId="15" fillId="0" borderId="1" xfId="1" applyFont="1" applyBorder="1" applyAlignment="1">
      <alignment horizontal="center" vertical="center" wrapText="1"/>
    </xf>
    <xf numFmtId="0" fontId="17" fillId="2" borderId="0" xfId="1" applyFont="1" applyFill="1" applyAlignment="1">
      <alignment horizontal="left" wrapText="1"/>
    </xf>
    <xf numFmtId="0" fontId="25" fillId="0" borderId="2"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0" xfId="1" applyFont="1" applyAlignment="1">
      <alignment horizontal="center" vertical="center" wrapText="1"/>
    </xf>
    <xf numFmtId="0" fontId="28" fillId="0" borderId="2" xfId="1" applyFont="1" applyBorder="1" applyAlignment="1">
      <alignment horizontal="center" vertical="center" wrapText="1"/>
    </xf>
    <xf numFmtId="0" fontId="28" fillId="0" borderId="3" xfId="1" applyFont="1" applyBorder="1" applyAlignment="1">
      <alignment horizontal="center" vertical="center" wrapText="1"/>
    </xf>
    <xf numFmtId="0" fontId="28" fillId="0" borderId="4" xfId="1" applyFont="1" applyBorder="1" applyAlignment="1">
      <alignment horizontal="center" vertical="center" wrapText="1"/>
    </xf>
    <xf numFmtId="0" fontId="28" fillId="0" borderId="5" xfId="1" applyFont="1" applyBorder="1" applyAlignment="1">
      <alignment horizontal="center" vertical="center" wrapText="1"/>
    </xf>
    <xf numFmtId="0" fontId="28" fillId="0" borderId="0" xfId="1" applyFont="1" applyAlignment="1">
      <alignment horizontal="center" vertical="center" wrapText="1"/>
    </xf>
    <xf numFmtId="0" fontId="28" fillId="0" borderId="6"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8" xfId="1" applyFont="1" applyBorder="1" applyAlignment="1">
      <alignment horizontal="center" vertical="center" wrapText="1"/>
    </xf>
    <xf numFmtId="0" fontId="25" fillId="0" borderId="9" xfId="1" applyFont="1" applyBorder="1" applyAlignment="1">
      <alignment horizontal="center" vertical="center" wrapText="1"/>
    </xf>
    <xf numFmtId="0" fontId="25" fillId="0" borderId="1" xfId="1" applyFont="1" applyBorder="1" applyAlignment="1">
      <alignment horizontal="center" vertical="center" wrapText="1" shrinkToFit="1"/>
    </xf>
    <xf numFmtId="0" fontId="26" fillId="0" borderId="10" xfId="1" applyFont="1" applyBorder="1">
      <alignment vertical="center"/>
    </xf>
    <xf numFmtId="0" fontId="26" fillId="0" borderId="12" xfId="1" applyFont="1" applyBorder="1">
      <alignment vertical="center"/>
    </xf>
    <xf numFmtId="0" fontId="14" fillId="0" borderId="11" xfId="1" applyFont="1" applyBorder="1" applyAlignment="1">
      <alignment horizontal="center" vertical="center"/>
    </xf>
    <xf numFmtId="0" fontId="14" fillId="0" borderId="12" xfId="1" applyFont="1" applyBorder="1" applyAlignment="1">
      <alignment horizontal="center" vertical="center"/>
    </xf>
    <xf numFmtId="0" fontId="1" fillId="0" borderId="0" xfId="1" applyAlignment="1">
      <alignment horizontal="center" vertical="center" shrinkToFit="1"/>
    </xf>
    <xf numFmtId="0" fontId="1" fillId="0" borderId="6" xfId="1" applyBorder="1" applyAlignment="1">
      <alignment horizontal="center" vertical="center" shrinkToFit="1"/>
    </xf>
    <xf numFmtId="0" fontId="1" fillId="0" borderId="5" xfId="1" applyBorder="1" applyAlignment="1">
      <alignment horizontal="center" vertical="center" shrinkToFit="1"/>
    </xf>
    <xf numFmtId="0" fontId="1" fillId="0" borderId="7" xfId="1" applyBorder="1" applyAlignment="1">
      <alignment horizontal="center" vertical="center" shrinkToFit="1"/>
    </xf>
    <xf numFmtId="0" fontId="1" fillId="0" borderId="8" xfId="1" applyBorder="1" applyAlignment="1">
      <alignment horizontal="center" vertical="center" shrinkToFit="1"/>
    </xf>
    <xf numFmtId="0" fontId="1" fillId="0" borderId="9" xfId="1" applyBorder="1" applyAlignment="1">
      <alignment horizontal="center" vertical="center" shrinkToFit="1"/>
    </xf>
    <xf numFmtId="0" fontId="1" fillId="0" borderId="3" xfId="1" applyBorder="1">
      <alignment vertical="center"/>
    </xf>
    <xf numFmtId="0" fontId="1" fillId="0" borderId="4" xfId="1" applyBorder="1">
      <alignment vertical="center"/>
    </xf>
    <xf numFmtId="0" fontId="1" fillId="0" borderId="0" xfId="1">
      <alignment vertical="center"/>
    </xf>
    <xf numFmtId="0" fontId="1" fillId="0" borderId="6" xfId="1" applyBorder="1">
      <alignment vertical="center"/>
    </xf>
    <xf numFmtId="0" fontId="1" fillId="0" borderId="8" xfId="1" applyBorder="1">
      <alignment vertical="center"/>
    </xf>
    <xf numFmtId="0" fontId="1" fillId="0" borderId="9" xfId="1" applyBorder="1">
      <alignment vertical="center"/>
    </xf>
    <xf numFmtId="0" fontId="25" fillId="0" borderId="1" xfId="1" applyFont="1" applyBorder="1" applyAlignment="1">
      <alignment horizontal="center" vertical="center" shrinkToFi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13" fillId="0" borderId="2"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0" xfId="1" applyFont="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0" xfId="1" applyFont="1" applyAlignment="1">
      <alignment horizontal="center" vertical="center"/>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9" xfId="1" applyFont="1" applyBorder="1" applyAlignment="1">
      <alignment horizontal="center" vertical="center"/>
    </xf>
    <xf numFmtId="0" fontId="16" fillId="0" borderId="2" xfId="1" applyFont="1" applyBorder="1" applyAlignment="1">
      <alignment horizontal="center" vertical="center" wrapText="1"/>
    </xf>
    <xf numFmtId="0" fontId="16" fillId="0" borderId="3"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0" xfId="1" applyFont="1" applyAlignment="1">
      <alignment horizontal="center" vertical="center" wrapText="1"/>
    </xf>
    <xf numFmtId="0" fontId="16" fillId="0" borderId="7" xfId="1" applyFont="1" applyBorder="1" applyAlignment="1">
      <alignment horizontal="center" vertical="center" wrapText="1"/>
    </xf>
    <xf numFmtId="0" fontId="16" fillId="0" borderId="8"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9" xfId="1" applyFont="1" applyBorder="1" applyAlignment="1">
      <alignment horizontal="center" vertical="center" wrapText="1"/>
    </xf>
    <xf numFmtId="0" fontId="8" fillId="0" borderId="1" xfId="1" applyFont="1" applyBorder="1" applyAlignment="1">
      <alignment horizontal="center" vertical="center" shrinkToFit="1"/>
    </xf>
    <xf numFmtId="0" fontId="1" fillId="0" borderId="1" xfId="1" applyBorder="1" applyAlignment="1">
      <alignment horizontal="center" vertical="center" shrinkToFit="1"/>
    </xf>
    <xf numFmtId="0" fontId="10" fillId="0" borderId="2" xfId="1" applyFont="1" applyBorder="1" applyAlignment="1">
      <alignment horizontal="center" vertical="center" shrinkToFit="1"/>
    </xf>
    <xf numFmtId="0" fontId="1" fillId="0" borderId="3" xfId="1" applyBorder="1" applyAlignment="1">
      <alignment horizontal="center" vertical="center" shrinkToFit="1"/>
    </xf>
    <xf numFmtId="0" fontId="1" fillId="0" borderId="4" xfId="1" applyBorder="1" applyAlignment="1">
      <alignment horizontal="center" vertical="center" shrinkToFit="1"/>
    </xf>
    <xf numFmtId="0" fontId="8" fillId="0" borderId="2" xfId="1" applyFont="1" applyBorder="1" applyAlignment="1">
      <alignment horizontal="center" vertical="center" shrinkToFit="1"/>
    </xf>
    <xf numFmtId="0" fontId="1" fillId="0" borderId="1" xfId="1" applyBorder="1" applyAlignment="1">
      <alignment vertical="center" shrinkToFit="1"/>
    </xf>
    <xf numFmtId="0" fontId="7" fillId="0" borderId="1" xfId="1" applyFont="1" applyBorder="1" applyAlignment="1">
      <alignment horizontal="center" vertical="center" shrinkToFit="1"/>
    </xf>
    <xf numFmtId="0" fontId="11" fillId="0" borderId="2" xfId="1" applyFont="1" applyBorder="1" applyAlignment="1">
      <alignment horizontal="center" vertical="center" shrinkToFit="1"/>
    </xf>
    <xf numFmtId="0" fontId="12" fillId="0" borderId="3"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0" xfId="1" applyFont="1" applyAlignment="1">
      <alignment horizontal="center" vertical="center" shrinkToFit="1"/>
    </xf>
    <xf numFmtId="0" fontId="12" fillId="0" borderId="7" xfId="1" applyFont="1" applyBorder="1" applyAlignment="1">
      <alignment horizontal="center" vertical="center" shrinkToFit="1"/>
    </xf>
    <xf numFmtId="0" fontId="12" fillId="0" borderId="8" xfId="1" applyFont="1" applyBorder="1" applyAlignment="1">
      <alignment horizontal="center" vertical="center" shrinkToFit="1"/>
    </xf>
    <xf numFmtId="0" fontId="7" fillId="0" borderId="2" xfId="1" applyFont="1" applyBorder="1" applyAlignment="1">
      <alignment horizontal="center" vertical="center" shrinkToFit="1"/>
    </xf>
    <xf numFmtId="0" fontId="32" fillId="0" borderId="2" xfId="1" applyFont="1" applyBorder="1" applyAlignment="1">
      <alignment horizontal="left" vertical="center" wrapText="1"/>
    </xf>
    <xf numFmtId="0" fontId="32" fillId="0" borderId="3" xfId="1" applyFont="1" applyBorder="1" applyAlignment="1">
      <alignment horizontal="left" vertical="center" wrapText="1"/>
    </xf>
    <xf numFmtId="0" fontId="32" fillId="0" borderId="4" xfId="1" applyFont="1" applyBorder="1" applyAlignment="1">
      <alignment horizontal="left" vertical="center" wrapText="1"/>
    </xf>
    <xf numFmtId="0" fontId="32" fillId="0" borderId="5" xfId="1" applyFont="1" applyBorder="1" applyAlignment="1">
      <alignment horizontal="left" vertical="center" wrapText="1"/>
    </xf>
    <xf numFmtId="0" fontId="32" fillId="0" borderId="0" xfId="1" applyFont="1" applyAlignment="1">
      <alignment horizontal="left" vertical="center" wrapText="1"/>
    </xf>
    <xf numFmtId="0" fontId="32" fillId="0" borderId="6" xfId="1" applyFont="1" applyBorder="1" applyAlignment="1">
      <alignment horizontal="left" vertical="center" wrapText="1"/>
    </xf>
    <xf numFmtId="0" fontId="32" fillId="0" borderId="7" xfId="1" applyFont="1" applyBorder="1" applyAlignment="1">
      <alignment horizontal="left" vertical="center" wrapText="1"/>
    </xf>
    <xf numFmtId="0" fontId="32" fillId="0" borderId="8" xfId="1" applyFont="1" applyBorder="1" applyAlignment="1">
      <alignment horizontal="left" vertical="center" wrapText="1"/>
    </xf>
    <xf numFmtId="0" fontId="32" fillId="0" borderId="9" xfId="1" applyFont="1" applyBorder="1" applyAlignment="1">
      <alignment horizontal="left" vertical="center" wrapText="1"/>
    </xf>
    <xf numFmtId="0" fontId="14" fillId="0" borderId="2" xfId="1" applyFont="1" applyBorder="1" applyAlignment="1">
      <alignment horizontal="left" vertical="center" wrapText="1"/>
    </xf>
    <xf numFmtId="0" fontId="14" fillId="0" borderId="3" xfId="1" applyFont="1" applyBorder="1" applyAlignment="1">
      <alignment horizontal="left" vertical="center" wrapText="1"/>
    </xf>
    <xf numFmtId="0" fontId="14" fillId="0" borderId="4" xfId="1" applyFont="1" applyBorder="1" applyAlignment="1">
      <alignment horizontal="left" vertical="center" wrapText="1"/>
    </xf>
    <xf numFmtId="0" fontId="14" fillId="0" borderId="5" xfId="1" applyFont="1" applyBorder="1" applyAlignment="1">
      <alignment horizontal="left" vertical="center" wrapText="1"/>
    </xf>
    <xf numFmtId="0" fontId="14" fillId="0" borderId="0" xfId="1" applyFont="1" applyAlignment="1">
      <alignment horizontal="left" vertical="center" wrapText="1"/>
    </xf>
    <xf numFmtId="0" fontId="14" fillId="0" borderId="6" xfId="1" applyFont="1" applyBorder="1" applyAlignment="1">
      <alignment horizontal="left" vertical="center" wrapText="1"/>
    </xf>
    <xf numFmtId="0" fontId="14" fillId="0" borderId="7" xfId="1" applyFont="1" applyBorder="1" applyAlignment="1">
      <alignment horizontal="left" vertical="center" wrapText="1"/>
    </xf>
    <xf numFmtId="0" fontId="14" fillId="0" borderId="8" xfId="1" applyFont="1" applyBorder="1" applyAlignment="1">
      <alignment horizontal="left" vertical="center" wrapText="1"/>
    </xf>
    <xf numFmtId="0" fontId="14" fillId="0" borderId="9" xfId="1" applyFont="1" applyBorder="1" applyAlignment="1">
      <alignment horizontal="left" vertical="center"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14" fillId="0" borderId="4" xfId="1" applyFont="1" applyBorder="1" applyAlignment="1">
      <alignment horizontal="left" vertical="top" wrapText="1"/>
    </xf>
    <xf numFmtId="0" fontId="14" fillId="0" borderId="5" xfId="1" applyFont="1" applyBorder="1" applyAlignment="1">
      <alignment horizontal="left" vertical="top" wrapText="1"/>
    </xf>
    <xf numFmtId="0" fontId="14" fillId="0" borderId="0" xfId="1" applyFont="1" applyAlignment="1">
      <alignment horizontal="left" vertical="top" wrapText="1"/>
    </xf>
    <xf numFmtId="0" fontId="14" fillId="0" borderId="6" xfId="1" applyFont="1" applyBorder="1" applyAlignment="1">
      <alignment horizontal="left" vertical="top" wrapText="1"/>
    </xf>
    <xf numFmtId="0" fontId="14" fillId="0" borderId="7" xfId="1" applyFont="1" applyBorder="1" applyAlignment="1">
      <alignment horizontal="left" vertical="top" wrapText="1"/>
    </xf>
    <xf numFmtId="0" fontId="14" fillId="0" borderId="8" xfId="1" applyFont="1" applyBorder="1" applyAlignment="1">
      <alignment horizontal="left" vertical="top" wrapText="1"/>
    </xf>
    <xf numFmtId="0" fontId="14" fillId="0" borderId="9" xfId="1" applyFont="1" applyBorder="1" applyAlignment="1">
      <alignment horizontal="left" vertical="top" wrapText="1"/>
    </xf>
  </cellXfs>
  <cellStyles count="2">
    <cellStyle name="標準" xfId="0" builtinId="0"/>
    <cellStyle name="標準 2" xfId="1" xr:uid="{8B331F71-3ABC-42E8-BE44-B3B6254CCFDA}"/>
  </cellStyles>
  <dxfs count="1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8E7193F-F6B6-4FBE-8D6F-79E4E6596FC7}"/>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C9A9B9A-4ABC-4DB6-90F5-93648811C81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106D3E7-F37B-46DD-B98C-2DA41C52377C}"/>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714E2D3-EF41-4A1C-AA21-EE73B057164A}"/>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292BC12-0200-41AD-AF45-4EC83480206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C54983CD-67E8-49EC-8ED8-416372FC6E29}"/>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66B89A15-E594-4E60-9061-CC9C933CDBEF}"/>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FFBC94EE-98CF-4045-987A-9B3859CED4ED}"/>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BA02FABA-0A08-4681-98F3-BE15C54BC166}"/>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8EC65808-9EFA-4573-8055-64E64E7B280D}"/>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2C1E54D-34D7-4122-B6B7-0123E0581A6A}"/>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944F3B4B-6F26-421E-B9C4-B2FBC4CB4EEE}"/>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8280B07-FC41-4337-8388-2371351A6F01}"/>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2D607B23-B66A-4147-BBFE-A42C15617DF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CB38086C-8CFF-45BD-BF61-D70AECBF3845}"/>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633B1B37-701F-4385-BC4D-BB18C7ECA1D5}"/>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2ED93B73-D40C-4533-8698-2568E5B74EE8}"/>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EE53705-A8B3-4B3D-829B-42E50C4B6E7B}"/>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4A4B0EF-D1FC-4226-9FC3-007B1A3DB50C}"/>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B959995D-5E37-4CED-AE8A-82A24CF8426E}"/>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B587ADB7-5C67-4990-8916-B2DC748651D5}"/>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DC4D9304-6416-4AFF-9C6A-7806F9277EFE}"/>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7E274A96-4110-4AC8-88F9-5B5BF3BD5422}"/>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1C529204-124D-4BCE-AC36-AA68DEFFC3CE}"/>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5CF472B4-5F90-4CE8-B89B-0EEB160175BC}"/>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E92F04F8-4A58-4F9F-B75C-5AAFADC14F58}"/>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BC5C320-BA4A-4967-9BDE-D2958C91D7A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9FDF101-D22D-409B-9E18-CC6A50C5F679}"/>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DC617118-5CF4-41EE-8CC8-D1492027B82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0BCDB5A-F65A-4D30-8213-1D062359205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1195277B-B284-48B1-AD35-482F0E3FF584}"/>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D76A39BF-5531-4CEC-A1D1-609F1D03F21F}"/>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50100D42-D2E8-44A2-BF1A-2178F80E04F1}"/>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5531EC0A-CDF2-483E-A54F-961CF9C4DAF2}"/>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607FF963-547F-4EBB-8471-AABDD418EDA4}"/>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F9806EB-411D-42F1-A2D2-145161C18C88}"/>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9C88D14A-BEC5-4FA8-8E56-AD3F47F49C15}"/>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87427BA-1CE4-467F-9F5B-CEB69CD9947B}"/>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3EE62F6-2BCC-448B-8E11-1076A8F1F554}"/>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2273824B-B508-401C-ABF2-F27391239CE2}"/>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331BDD3-29AD-41E9-81C0-8E1FAF448C42}"/>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5CF2185D-0B93-4712-8F6D-18534E8D7013}"/>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2C622C72-B993-40EC-A0DE-C97C93AA6264}"/>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AA0A077B-BA15-4F78-B643-C5134D8FA045}"/>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75AF57BE-8035-426C-804B-65B100925D67}"/>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FF81A131-0F67-4B81-B059-56AE223439AA}"/>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4928170F-45C1-42F1-BDA3-06F7E3613689}"/>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5739251D-A4BC-4990-A561-CC52B6040124}"/>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C43F3D1F-E1E8-46B8-BCF7-4DA44E871A57}"/>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5F495F82-BF25-4BE4-9CFE-9F6C0BAEFDCB}"/>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4318EA9A-F4B0-45C5-A4B7-653BD95D204A}"/>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943C07A-5A55-4114-8294-530B7282BEE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6165742-9B88-44B4-9009-EB00CCAD4E81}"/>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1398964-D212-4FB9-B72C-329B1C0E4B51}"/>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4590CAA-C942-4E1B-BC2C-EF0D1E24005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598523CB-359B-4B25-BE85-01B9EB33D258}"/>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88A0C059-10C3-4D92-8E41-8669E24B0FEA}"/>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52FC864B-16E0-40BB-BDD3-9BA22FB37CC1}"/>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DD10DEFC-674B-48C5-95F2-AAB54D8393A4}"/>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7B3CEBB5-1ED7-4EBF-8B1C-2FB4BF9C7DAB}"/>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355CF92-C76B-437F-AB44-4473BB1075F5}"/>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2B9BD955-0358-4B4B-B63C-A7875659F715}"/>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BDC052E-078C-4FC3-A940-A67D221893D6}"/>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2ADF26D-C820-474C-86B6-8F4C55F4AF08}"/>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10C3EAD-BAA8-407F-9B56-BD2B7A8B231B}"/>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B3FECC18-EEB1-44FD-8060-9A175988DC9A}"/>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282BE0B1-5FD7-4268-AD65-0F6344B4026B}"/>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2005638-591F-4605-A585-89BE5DBE4B0F}"/>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F1F2C504-0FAE-4E49-AD20-496B0E18961E}"/>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7778D0A-7C87-4269-A6F1-9B0F4B62DF15}"/>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AB063A0C-7792-464F-B104-E484B3CDAC3C}"/>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96C2ED63-649E-4963-A9C2-9F96CEAF3F16}"/>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5C71A8E-F57A-4125-A114-14EDD4376C84}"/>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67565AE-6DC1-4C62-9CE4-1EFA5826AC88}"/>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AF4D5472-6453-4B5A-9DA6-CE4BE1B2D889}"/>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2CD72AD2-539C-46B4-A3BE-BDC65239DCEF}"/>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51AF645-D7C6-4336-A0EB-5B2FA0BA288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E6F7C55-87BF-4106-9675-7709DD55C1E3}"/>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B9ED1E01-800F-428A-AC15-D3BB70754D3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DD7F9A5-000B-40BD-B334-4C7A0CF598C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E52417BC-C737-43E2-B92F-7C87D3463A03}"/>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B76C3F3-58C5-43FC-B6AD-D808C19DFFD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DDFF520F-E708-4FAD-9DFC-ABD5C10D4568}"/>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515CAD0E-AE8C-49CB-92E1-8040F96A643A}"/>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8CEAB386-0629-48F0-B97D-D5E514A43472}"/>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3A9B111-9597-4D16-AA8B-2336AA20328E}"/>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519D9DC2-7B3A-4A7C-8337-16E65C2F58C8}"/>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96CD178E-124C-4788-8CFC-29448A3FAFED}"/>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2C076BE3-70D2-48C8-8DBF-ADC71C6F7681}"/>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13E85AAF-CC25-4527-8FE6-19038DC7D81C}"/>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879E3BE2-D25F-4F0E-B2DB-1B523E3AD0B6}"/>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418A6CF-01C3-4B12-98C3-A9BB6A72891C}"/>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7637B9F-D897-470A-9038-D5B3BC311FC9}"/>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25DDDBB-F70B-4289-B1E7-60271A46DA67}"/>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699468EE-3B4B-4133-AADE-BAE33FBA7987}"/>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527E87B-616C-4F93-B0B5-DC463B37E8F1}"/>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5D88BF1C-8E08-4BC9-9631-7222A2FEE662}"/>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55A13DC-DEE0-48D0-9067-04C780B3AEEC}"/>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82B1131D-F5A8-48B4-8842-AAE2BA2AC826}"/>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59F9726E-A53A-4C97-AE6F-6540EC3B839C}"/>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A36E55B2-10A6-4484-AA07-76B126F06913}"/>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3EC76D-66B8-4D45-BCC2-6BA787919E35}"/>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B049F8A-8D1B-49C8-84E2-12B24A7CEE4B}"/>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1662812-1FBB-48C1-B3C0-2085EAE13B15}"/>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32F2A13-E242-4538-B625-F225828B9146}"/>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5EA8DDF3-40BD-45A7-B9DB-F070605EBD38}"/>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AD68E7EB-E24D-4B5A-A152-A5503B2EC5F2}"/>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42B58D24-4AD7-4019-AFF7-928E26FFDCE8}"/>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841D32B2-1788-4799-B1B5-607807C5196D}"/>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36E76290-CA8A-4EC7-91FE-9D2FF09C54E0}"/>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B0C0CCA-DB23-4597-AA7F-0E539C46136B}"/>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2A90AC08-CA6A-4762-B883-0D6375D66D9B}"/>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6AC28789-FEC8-4E65-B9BA-894951041835}"/>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9E3A3372-3EC3-4B26-8FB6-70864097675B}"/>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ECA67F0-3E8F-42A3-8CB7-7A755EED7F68}"/>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4A0F230B-2645-4197-B64E-5F5ECEEA1795}"/>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445B3FFC-4DDA-4505-9FE9-1B1F0C2D58CA}"/>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739123BF-A868-4929-8DD2-09391E47E321}"/>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6FD3DFD6-66C3-4CAD-8161-4571D5323BEB}"/>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5D5447B4-DBFB-4D2A-86B0-A8FB49EEEC52}"/>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C98D5137-B7F5-4BC6-84D1-0097B1015009}"/>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1AC829E9-A992-41BE-8F84-A9E378739A46}"/>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F476795-7EF3-4FD6-BADC-D99AA1DB0A39}"/>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85C01B96-947C-41C6-BC09-32A8435D6751}"/>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153F9EF0-E9AC-4904-810B-05A68EE3884B}"/>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84345EFB-D4D5-416A-80DE-593951B22E36}"/>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9E798A2-DD1A-4D0B-9A21-C7C8E0CCAB5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910F596-4587-4052-8880-36E5D068EB72}"/>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925A6CDB-F3E7-4E96-9CF7-201A57E5BF4E}"/>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06CE47F-1504-47E9-A905-5ED39776E85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9BD1762-DD21-45D2-AB71-E69BE7EB828B}"/>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BE694DCC-D297-4BB4-9965-6857E5CADEE5}"/>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2D410A0A-AEE5-4569-AEE9-DB4C7DEEC65B}"/>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A5A338AC-CAB8-476E-83B2-EEFCA8B92D08}"/>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D3D80F1A-2688-4820-B95C-5602E5E95CF8}"/>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AB039DA6-7AED-4C81-ABC2-81869B57471A}"/>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4AE69A74-87C0-4E15-AEB0-58A8BB8501CC}"/>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E708C330-F00F-46F9-A387-77450BEBC977}"/>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45D9D8D9-1E95-4B6D-81E3-70E6D6B29019}"/>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B33978F2-54E8-4D47-8ABE-E6EAAEB08E53}"/>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3D842063-504D-40EC-8C0F-FBB5B79C1CC1}"/>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E4778E7F-0EA3-4DA5-B8CB-4AD71EFB1163}"/>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90FD5D0D-3DBF-4DA9-B763-A1E98C35CA4C}"/>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85A0CD02-2652-45AA-AD00-4331DBAE3BA5}"/>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5A49E888-1742-420D-99CA-C3EB7184CB68}"/>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9DC273B-5639-4499-BE35-5098D2A75DCC}"/>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16F6001-17A8-437F-8486-060BB001A873}"/>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A9916614-4684-4759-8D79-F47B037E1A47}"/>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BEC3C139-6263-4B6E-8BAF-9997975D2AAA}"/>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74856C8E-CE01-4428-953D-C1F033E0167E}"/>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A3930F08-A18E-4FD8-8D13-F5A4AA96775C}"/>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F01ADB9-9893-4014-9252-EA2D84332A3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0C1EEF2-C8D0-4A01-81D2-D0C1D335C4F4}"/>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F1099C40-0AE7-4F62-81E9-322A719D2E76}"/>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36C54A8-A921-4EEE-9BE3-D31FFD1A01E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A53B734B-BB95-4EED-82FF-17971BEE6C59}"/>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AFE07714-162D-4920-95FF-1E7843D253C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B37D718-5513-4D00-A4DA-9C10ECA185B2}"/>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EAF2F911-BC54-4A9F-8FF3-EC186B19E844}"/>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48F8B291-14D9-4B73-836E-970249BEC126}"/>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A4258FCC-3525-48FC-8C7F-B0DFFB6128E3}"/>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DB229429-5CAC-4E4B-A27D-960A304666F7}"/>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498E3F7-663D-4E56-B10C-694A70F82136}"/>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47B22E35-A26C-4C89-A71E-C608202CC663}"/>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A8D4DE7B-0B2D-4113-8287-987375956EB5}"/>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4B732383-D8A3-4641-A3DD-D0D7226AAE27}"/>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5720AE19-9422-43BF-B2F2-436329C69758}"/>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B75AC426-FF4A-4632-AFA3-F9DC7836E683}"/>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71DCB8C7-AA42-428A-9CA4-3D1EFFFEA5CC}"/>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A413AB2A-F7CD-4E11-9BF8-10873DE06A2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0CDCD20-1314-408E-BA8B-E9EED7E5FF1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F2794067-3A2E-40F8-B2DB-676AEBB7924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C50D5C20-C4BB-4D82-A917-6BC45F4611CB}"/>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17DEA70B-72EC-4F58-A1C4-321F1C78B0C5}"/>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B4D3BFAD-DBF3-4403-A695-D02AE48B8A6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76ECB463-F70B-4DAC-8B16-8769CC8921B9}"/>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45869E2-2D94-445F-A345-60B4CECBAE1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CB256A1-89D1-45C7-94E5-886E5410D291}"/>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A8A2E920-87A7-45A9-9E85-FCF35E996719}"/>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1D1EF8C-E988-4978-AAE8-D5D0569AEDB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E70C6D51-776E-41E7-B663-2D24244A6F33}"/>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3B4DB396-38DF-4D8A-881F-2A8D823CB6EC}"/>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78171790-0549-4E00-BE75-6FA64499418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ECF4703C-1623-4A8A-B6A6-7560A6688612}"/>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1CD4E0F-6B65-4122-BCCC-C2FED8C8D343}"/>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6D783C60-D1A0-4BAE-BE17-01DEB22D54E4}"/>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8D727C26-1968-43E0-BDC3-A8A5BE832662}"/>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1D76615-4F10-4F9A-B263-61BDB7566121}"/>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CEB2F7B0-C75B-4F59-B6F2-C8406D34DA37}"/>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E752270B-9A4B-47B1-9CC2-1231EAEBEB47}"/>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DC965D2-61DA-4F1A-8E30-07E0377ADD29}"/>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BA2E96F8-464C-4059-800F-E1389B530CA9}"/>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71E1425-FA6A-4712-BBAC-ECE5CD8D27DD}"/>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3F2EE184-1A3B-440B-A0AF-681A4A1C2782}"/>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44EAB0C1-6AD6-4F6A-AEB5-1803516BCF3F}"/>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6666C4E-9C94-433C-A14B-78839A8BC196}"/>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662E13B6-1400-46C8-80EA-8417BAEB7261}"/>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DF84C03-9C38-4B3F-ABF0-B7E972F0ED1C}"/>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FAEAE57E-62C2-440E-9CD5-01E1F7755F8B}"/>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72D878AF-F73B-41C3-9E32-2988696A8F15}"/>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1C66B58E-1E53-4F9D-BE1F-2FA2C3905B0C}"/>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E0FB4D1-5C1C-4E50-87B2-62249BDD4EF6}"/>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F647D85-51A6-49B8-AD86-93374AEB4531}"/>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38C916F9-52D2-49D6-B1B7-BD4B39BCF94F}"/>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B623A8A-ACDF-434E-B197-F849AF7AD176}"/>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EA25A49A-837F-4C71-8ED6-F1B83D83CF5C}"/>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32E936E7-070D-45F7-8FAB-DB0300033A61}"/>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494ECC5F-5C26-4893-8F90-2F33028A464E}"/>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132AD6D4-4F6F-45D7-81E1-BDE8396E7065}"/>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3240EDD3-B3BA-415C-B6B0-19A5ABF9249A}"/>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7121325-7F82-45DF-ABC5-FEFA5F25EA3E}"/>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27D0E142-27A8-4A6B-A0C8-FD0BAB9193EF}"/>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CA6BF7ED-2B97-41FB-95EA-02F6651CFF29}"/>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8BA28D6A-480E-4F5A-A405-A69E2590A728}"/>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90A683A5-4516-47E2-9A64-752AA381C293}"/>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726D289A-99DE-4DC8-B9E8-53D30C46B4E1}"/>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17598445-B179-420C-AC0F-A9AF391B25EE}"/>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3B731A89-3E0D-4D4E-A8AE-BDCCE7915DF1}"/>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5993224-486A-4739-96E3-E004BC753A21}"/>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224AE96-06CE-4E21-BA66-D2D3ABCC4529}"/>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D5225A84-DEB3-4683-B3D3-D3B278C01A45}"/>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F01396A0-195E-457E-B49E-2650ABA2C28E}"/>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7BF52D42-FFAF-4EED-B1BE-E5D41FF0B6A8}"/>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EE26DD90-3264-494F-8CB3-CC9E4F9A9D80}"/>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C799E34F-2322-4518-B89D-B256DBD5BC54}"/>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55572EA3-7E41-448F-A1A0-262E94D574EE}"/>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53C39B-7510-4C11-8355-811F1735F74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27B353B-00F3-45B7-9FE9-7166AC18ED9F}"/>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99D331BA-AE0C-4528-837F-BFE38E12F63B}"/>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92DA492-EECA-4A14-8645-8D57191470B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93C7C433-1942-4E99-BD7C-FAC8EE849EAE}"/>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66F10E66-3DD8-4D46-80B5-762776B001D7}"/>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DA616756-9BF7-417F-919E-0EC983D0DE81}"/>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5BC78A0B-C1E1-4AD0-B6A6-62EADCE9F4F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80B4E4FE-02EA-4CFD-879F-D62548091C6F}"/>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2E9517FB-1494-4063-91C1-4A2369908731}"/>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ECA2A266-041F-479B-BC79-E68C19B1AAFF}"/>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C118E08-758C-40FA-9359-44457C4EE50E}"/>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F7D6B754-EF0E-4001-BDA4-AFD09FB82262}"/>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763B5575-E781-40AE-813E-ED9611AB4A63}"/>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DB4B2F98-0602-41FF-8878-CBAE8339721E}"/>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1A1E1959-5B10-41E7-92BC-56247B465FFE}"/>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8EFE1A8E-C921-42F6-AE25-13B5C90A5E2D}"/>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BA8207BB-C6FD-422D-A9B4-88F4E67033FB}"/>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683AAAE5-0485-454B-9E2B-D2CE97D62A49}"/>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DEA75113-B1D4-42B4-8C22-DE14E137DBC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A2A347F0-3611-47BF-B7C5-CEB74214EEC5}"/>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CAD762F3-E74A-4D74-8B80-1A317B55AD1A}"/>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BA7A7BBA-94AF-401D-AE95-14E171AAB897}"/>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25343368-AF6A-4B65-BBBF-668E3BD3ECE6}"/>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FAF2AECD-6019-437A-8E38-D0B6C6CF3A72}"/>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3319089-DC5D-4ABE-A7AD-9B9563B4C09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3C1569C-9F50-4BC0-A56A-A1F82914EACE}"/>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626CE243-69E3-450C-8EFE-71E0B2D2D38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25F1D95-D3C6-46BF-98F9-BBB6ABFA806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288C7DEC-CEF4-490D-8D21-5F4C6F4B12C8}"/>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C2E322E5-84CE-4075-A73B-DBE723FA6E35}"/>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6B2A3DF-879E-4115-8477-83929B9FFD5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ACB37D6E-B1AC-4000-A95F-79BC0C7E7355}"/>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C1C47CC-E082-478D-AB12-BA8478D76CB6}"/>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47E817CB-7ACF-4A94-B34C-4BC071399F48}"/>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C65F58E1-529E-48E9-8DE9-CD3C8EF931F8}"/>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F2D5A98-B646-4356-BB4E-15E906E805DD}"/>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E58FBC34-F2E8-490B-B3F7-3EC167EFAED8}"/>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F40ED2BD-E80D-4C28-A476-62EA58560F43}"/>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4E00B012-BE8C-488A-A064-2130242827AE}"/>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9D08B1E1-845D-43D4-92E2-82C241C0DD2D}"/>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86DC9C2-1541-4D8D-9B19-5BCEA35E7FB1}"/>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25D918D8-6F78-44F0-8DED-34C27CCF38E1}"/>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6E524FEC-455E-4765-AAF4-5373346F22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C9B2592C-5E01-4415-A8D0-A2198D580F5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809C27AC-E101-4F76-B57D-CD886BAD760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3DC2C3C-FF3D-465C-929A-186DC9D2358D}"/>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483261AA-C06C-41AF-AC76-319326FB4C99}"/>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D8FFA50-E237-4EAE-9F2E-D482F444BB25}"/>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51E78DF-8409-4B9D-9623-92446083CD5D}"/>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4506CAE-CB53-4144-BA24-EDF6EC527168}"/>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1B7209A-BE89-48CE-8593-D535C7E901E6}"/>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BBECAEA-0A9F-4CE6-B4F0-CCB00A8D6CF2}"/>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DD85F61-C26D-4A20-8D14-F268C9B56F49}"/>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812D3D64-862A-4DD9-B91D-6581646D756F}"/>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1313717-4824-493E-A7D1-8BB38AE846CA}"/>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C1FF6364-F94E-44B4-8426-61E53BA9C941}"/>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8E602C17-AAF9-4571-817C-526940C2A37A}"/>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BCC4ED0-3AD5-460E-BF70-5CFD867675F7}"/>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243147F3-AECE-44CD-BCC1-054C400F8AC4}"/>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11032206-22E0-4F00-922A-07B26575DDF8}"/>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4ED218CE-6D86-4104-AC76-DB32EF8CFAF7}"/>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4A9731E-AE88-4744-B17A-0A9275D3130A}"/>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C32694D3-6C95-4F0A-83B6-5465E7FA393D}"/>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F4006F3-A6EA-41CB-B220-94B9589C1AFE}"/>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D7075488-CF1F-444E-A8FA-1EAA61F5DEBE}"/>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BA8B242E-A473-4B4C-8835-ED6DDE8CBDC2}"/>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777551D5-7313-4DE4-8652-E1AFB8A0BBB2}"/>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DFF2B73-8104-42CF-B234-182C1CB6C50C}"/>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8858256-BD38-4020-BC93-0C04AD862377}"/>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41F49EE6-06F6-4477-88A9-DA8B609EFAAF}"/>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5E1CFE0C-BF6F-46F3-A247-4EE485F92E5D}"/>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E4C45359-1F63-4A56-B520-3F9E611D1914}"/>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F4E250A-AF17-4E57-904E-003318DA4AB1}"/>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B402602B-44B7-4501-BAAD-F6AA94643C8B}"/>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95AA203-0A20-4995-A4A7-8880971CF1C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FCB9F1D-FFAB-4A6F-AED3-073EE6BB51D6}"/>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C3F2A41-9AFD-4CDC-97CF-7A48F72E1571}"/>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59554D6-EB37-4FD3-9C61-ACB3697CD5E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141CF260-FF9C-42BA-9AA2-0DE8FB29864C}"/>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CD3FAF46-4C83-4313-B51C-94D4352EED7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B4B86E29-8719-412F-9603-E851B3E8D1F3}"/>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29D91264-E8E4-45D7-8B26-AEC5811FFAC2}"/>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851D37A7-33C7-4322-A681-1E31C796C8C5}"/>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C7B392C0-3BD0-499C-B04C-081FC60AA7D9}"/>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2845DC14-773D-437C-8292-249BA2DDF466}"/>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DA12F12B-D37A-443E-A957-A435235146FD}"/>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DA56F905-2F0C-4568-BE06-9F817362D90D}"/>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A822D0B6-D9CE-455B-81B5-8F280A3DCCF3}"/>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7E74300A-AE9B-4F6E-9D1F-00B8D06AE0D1}"/>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26F3059D-CE7F-4ACA-94A8-A9A8FB74C5C9}"/>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B2EB38C5-933B-4336-BC92-C146B627B78A}"/>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BED8E09E-637A-499F-B846-DA19DC3FF4B5}"/>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FF3ABFC5-26AB-4194-AC52-91B7D8CD7F42}"/>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9E718F86-B64F-495C-A52F-F578982BB084}"/>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B3D0DBD2-9FDB-4FC3-BD07-CFED6AED7D6E}"/>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3B488992-D108-443B-BF95-BF93F02CAB0E}"/>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6A63F330-D069-4BC6-A33D-15C62DC7A634}"/>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D56DB4D8-6F97-406B-A017-543991B308D7}"/>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D814C50F-E1B3-42CC-A2E0-CAEFBC36E72D}"/>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EDDBBF6-5FFC-4367-A1DB-14DE3A9DDFF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153035D-8D10-471C-87CA-09BCF9BE22DA}"/>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4FFB6906-437C-43ED-A203-2A2168F5D5D8}"/>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B30126A-A201-4A5A-911A-90A6B8A71E8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75EB6519-EBE1-4D47-AFCF-9FB8C35D57EA}"/>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9E2EED9-DC33-4FF6-B173-AC3624861A8B}"/>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87A051A1-9956-497A-B68D-681A0BBED2B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A1759977-B130-43B4-B670-E65A4070B397}"/>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FC82133-DF3E-493B-80FC-5F3C0D0E1572}"/>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FDE69EA5-C269-433B-A0FE-340D4A7F894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CD70D9C4-16C6-410B-AA3B-2AFFF2457326}"/>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E3569E0C-014D-4EA9-B7BE-599B152981EF}"/>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9F8D54D8-B6B5-4CF6-9D35-5284778D66B2}"/>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EDB61C11-12C7-4445-9678-DABCCD0CFB72}"/>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8AEDEF9A-AAE6-4306-8D01-566A1AC4087F}"/>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DE42072E-9558-42D9-A80C-ACBD27F06923}"/>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50B939A0-A02C-475E-B882-4DFE0C942FDD}"/>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AD1515C7-9325-44F4-8972-93B3BB013A45}"/>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7A93718-BAEA-4F51-8CCB-900FA54E6291}"/>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5162768B-44BE-43BC-82D7-F6004EFBFC42}"/>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90496266-5C04-4F10-B834-DF4F748989B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B2AA5541-AB39-45E3-A499-3E75BF43D9E9}"/>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3B5EB79D-E8AD-408D-BABF-20A90ACC2CF4}"/>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E8A5D61-6041-41A9-9B97-B9C0A350737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B9F544DD-7D47-44C6-B6C0-B93ED12FE977}"/>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669EFD2-D311-4630-AF71-B4AA6567805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B4F0BBB-03BE-43C2-812C-812DA554E3BB}"/>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F919CD19-A21D-4D2F-95F7-C95DA75DD598}"/>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0C1FD10-FBF6-4977-8F82-5F4B2083824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5643295-EF5D-49C0-B0E2-EF9A21CBEE6D}"/>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36D0182A-EA31-4D6A-8991-54A3A68A32EA}"/>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D79BDFB9-283E-45D5-8CF5-8ADC1414B54D}"/>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ECC5DBBB-BDA4-454C-A142-53E585991FEF}"/>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4B521D6-9361-41A8-949A-C61970DC4AE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54291A0B-DA84-4FA3-8D9A-9A8FFD738A59}"/>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F9130763-D314-4FDA-B7E8-501ACAC59AD8}"/>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AC3E85A-DBD1-4E21-90C2-8CE80C276A2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11FEE40C-8584-4578-B870-2535B7C9C911}"/>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1709B9FF-6079-42E4-B4FA-7E23563CC80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D2B3F76C-72CC-4923-854A-F3A7C82F845B}"/>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45D74A15-A468-4B6A-8B99-EFC7D0EBE5C1}"/>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2900A0A2-6052-45EC-B0D4-F5269C6AA52A}"/>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75D0A11A-F05B-407F-91F6-9897D799A06C}"/>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E18A3A5D-099F-42B7-9A31-F618E24E43CE}"/>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4ACBF020-D82E-4B22-A7C4-85F3285B545C}"/>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BA8873FE-A296-4F86-BE4A-00E6D74CA2F5}"/>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2859D551-93D4-4281-BCDC-899485A2DB86}"/>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1DFA4C2E-490D-4044-9F3E-6BAC40C6334A}"/>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A7B6A23-90E3-423F-9269-59CFF5C3E6EC}"/>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03+&#35519;&#26619;&#31080;&#65288;&#12460;&#12473;&#20107;&#2698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20462;&#27491;03+&#35519;&#26619;&#31080;&#65288;R2&#25244;&#26412;&#25913;&#38761;&#35519;&#26619;&#65289;&#32769;&#20154;&#12487;&#12452;&#12469;&#12540;&#12499;&#1247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20462;&#27491;03+&#35519;&#26619;&#31080;&#65288;R2&#25244;&#26412;&#25913;&#38761;&#35519;&#26619;&#65289;&#25351;&#23450;&#20171;&#35703;&#32769;&#20154;&#31119;&#31049;&#26045;&#3537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20462;&#27491;03+&#35519;&#26619;&#31080;&#65288;R2&#25244;&#26412;&#25913;&#38761;&#35519;&#26619;&#65289;&#32769;&#20154;&#30701;&#26399;&#20837;&#25152;&#26045;&#3537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35519;&#26619;&#31080;&#65288;&#30001;&#21033;&#26412;&#33624;&#24066;&#12539;&#31777;&#26131;&#27700;&#36947;&#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35519;&#26619;&#31080;&#65288;&#30001;&#21033;&#26412;&#33624;&#24066;&#12539;&#19978;&#27700;&#36947;&#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03+&#35519;&#26619;&#31080;&#65288;R2&#25244;&#26412;&#25913;&#38761;&#35519;&#26619;&#65289;&#12473;&#12461;&#12540;&#225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05.&#31777;&#25490;03%20&#35519;&#26619;&#31080;&#65288;R2&#25244;&#26412;&#25913;&#38761;&#35519;&#2661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20462;&#27491;04.&#28417;&#38598;03%20&#35519;&#26619;&#31080;&#65288;R2&#25244;&#26412;&#25913;&#38761;&#35519;&#2661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08.&#20491;&#25490;03%20&#35519;&#26619;&#31080;&#65288;R2&#25244;&#26412;&#25913;&#38761;&#35519;&#2661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20462;&#27491;01.&#20844;&#20849;03%20&#35519;&#26619;&#31080;&#65288;R2&#25244;&#26412;&#25913;&#38761;&#35519;&#2661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06.&#23567;&#25490;03%20&#35519;&#26619;&#31080;&#65288;R2&#25244;&#26412;&#25913;&#38761;&#35519;&#2661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20462;&#27491;02.&#29305;&#29872;03%20&#35519;&#26619;&#31080;&#65288;R2&#25244;&#26412;&#25913;&#38761;&#35519;&#2661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07.&#29305;&#25490;03%20&#35519;&#26619;&#31080;&#65288;R2&#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8%20&#30001;&#21033;&#26412;&#33624;&#24066;&#9675;/&#20462;&#27491;03.&#36786;&#38598;03%20&#35519;&#26619;&#31080;&#65288;R2&#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row r="15">
          <cell r="K15" t="str">
            <v>由利本荘市</v>
          </cell>
        </row>
        <row r="17">
          <cell r="F17" t="str">
            <v>ガス事業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現在のところ、民営化する予定はないため、現行の体制を維持することが望ましいと考える。
ガス小売全面自由化により当市供給区域内に参入する小売り事業者の予定は今のところないが、今後参入の動きがあった場合、価格競争に対抗できるような料金設定を検討していかなければならない。</v>
          </cell>
        </row>
      </sheetData>
      <sheetData sheetId="1" refreshError="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介護サービス事業</v>
          </cell>
          <cell r="W17" t="str">
            <v>老人デイサービスセンター</v>
          </cell>
          <cell r="BD17" t="str">
            <v>○</v>
          </cell>
        </row>
        <row r="19">
          <cell r="F19" t="str">
            <v>介護サービス事業特別会計</v>
          </cell>
        </row>
        <row r="44">
          <cell r="R44" t="str">
            <v>○</v>
          </cell>
          <cell r="X44" t="str">
            <v>○</v>
          </cell>
        </row>
        <row r="266">
          <cell r="B266" t="str">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ell>
        </row>
        <row r="272">
          <cell r="U272" t="str">
            <v>平成</v>
          </cell>
          <cell r="X272">
            <v>28</v>
          </cell>
        </row>
        <row r="273">
          <cell r="G273" t="str">
            <v>○</v>
          </cell>
          <cell r="X273">
            <v>4</v>
          </cell>
        </row>
        <row r="274">
          <cell r="X274">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row r="15">
          <cell r="K15" t="str">
            <v>由利本荘市</v>
          </cell>
        </row>
        <row r="17">
          <cell r="F17" t="str">
            <v>介護サービス事業</v>
          </cell>
          <cell r="W17" t="str">
            <v>指定介護老人福祉施設</v>
          </cell>
          <cell r="BD17" t="str">
            <v>○</v>
          </cell>
        </row>
        <row r="19">
          <cell r="F19" t="str">
            <v>介護サービス事業特別会計</v>
          </cell>
        </row>
        <row r="44">
          <cell r="R44" t="str">
            <v>○</v>
          </cell>
          <cell r="X44" t="str">
            <v>○</v>
          </cell>
        </row>
        <row r="266">
          <cell r="B266" t="str">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ell>
        </row>
        <row r="272">
          <cell r="U272" t="str">
            <v>平成</v>
          </cell>
          <cell r="X272">
            <v>28</v>
          </cell>
        </row>
        <row r="273">
          <cell r="G273" t="str">
            <v>○</v>
          </cell>
          <cell r="X273">
            <v>4</v>
          </cell>
        </row>
        <row r="274">
          <cell r="X274">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介護サービス事業</v>
          </cell>
          <cell r="W17" t="str">
            <v>老人短期入所施設</v>
          </cell>
          <cell r="BD17" t="str">
            <v>○</v>
          </cell>
        </row>
        <row r="19">
          <cell r="F19" t="str">
            <v>介護サービス事業特別会計</v>
          </cell>
        </row>
        <row r="44">
          <cell r="R44" t="str">
            <v>○</v>
          </cell>
          <cell r="X44" t="str">
            <v>○</v>
          </cell>
        </row>
        <row r="266">
          <cell r="B266" t="str">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ell>
        </row>
        <row r="272">
          <cell r="U272" t="str">
            <v>平成</v>
          </cell>
          <cell r="X272">
            <v>28</v>
          </cell>
        </row>
        <row r="273">
          <cell r="G273" t="str">
            <v>○</v>
          </cell>
          <cell r="X273">
            <v>4</v>
          </cell>
        </row>
        <row r="274">
          <cell r="X274">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簡易水道事業</v>
          </cell>
          <cell r="W17" t="str">
            <v>―</v>
          </cell>
          <cell r="BD17" t="str">
            <v>×</v>
          </cell>
        </row>
        <row r="19">
          <cell r="F19" t="str">
            <v>ー</v>
          </cell>
        </row>
        <row r="41">
          <cell r="R41" t="str">
            <v>○</v>
          </cell>
          <cell r="X41" t="str">
            <v>○</v>
          </cell>
        </row>
        <row r="43">
          <cell r="R43" t="str">
            <v xml:space="preserve"> </v>
          </cell>
          <cell r="X43" t="str">
            <v xml:space="preserve"> </v>
          </cell>
        </row>
        <row r="56">
          <cell r="B56" t="str">
            <v>　平成２９年３月に由利本荘市上水道事業への事業統合をおこないました。
　これにより、経営成績（毎年度の利益・損失等フロー情報）・財政状態（資産・負債等ストック情報）の的確な把握が可能となりました。</v>
          </cell>
        </row>
        <row r="62">
          <cell r="G62" t="str">
            <v>○</v>
          </cell>
          <cell r="S62" t="str">
            <v>平成</v>
          </cell>
          <cell r="V62">
            <v>29</v>
          </cell>
        </row>
        <row r="63">
          <cell r="V63">
            <v>3</v>
          </cell>
        </row>
        <row r="64">
          <cell r="V64">
            <v>31</v>
          </cell>
        </row>
        <row r="69">
          <cell r="AG69" t="str">
            <v>○</v>
          </cell>
        </row>
        <row r="181">
          <cell r="Y181" t="str">
            <v xml:space="preserve"> </v>
          </cell>
        </row>
        <row r="191">
          <cell r="E191" t="str">
            <v xml:space="preserve"> </v>
          </cell>
        </row>
        <row r="192">
          <cell r="E192" t="str">
            <v xml:space="preserve"> </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水道事業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当市水道事業は平成１７年３月に本荘、矢島、西目、鳥海の４地域の上水道を経営統合する形で創設され、平成１８年３月に由利地区簡易水道事業を譲り受けました。さらに、平成２９年３月には由利本荘市簡易水道事業の全部を譲り受ける事業統合をおこない現在に至っています。創設後は平成１７年度より黒字経営を続けており、現在累積欠損金はありません。
　今後はまず、給水人口が減少する中で料金改定を踏まえた料金収入の確保を行うとともに、施設・設備の廃止・統合を含めた効率的な施設の維持管理、その他経常費用の見直し等により経営の健全化を図っていきたいと考えております。
　</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観光施設事業</v>
          </cell>
          <cell r="W17" t="str">
            <v>索道</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市ではスキー場運営について、令和２年度からの指定管理者制度への移行を目指し、令和元年度中に公募を行ったが応募がなかった。このため、説明会に参加された事業者に対し、応募できなかった理由等について聞き取りを行ったところ、「季節営業故に従業員や有資格者など人材確保が困難であることや、天候に著しく左右される事業であることなどを考慮し、事業展開は難しいと判断した。」との内容であった。その後、公募要件の見直しによる再公募を検討したものの、経費が膨れあがり、市としては財政的なメリットが皆無になることが判明したため、再公募を断念し今後も直営で継続することと判断したものである。（現在のスキー場運営は、安全統括管理者を市職員が兼務し、その他従業員を臨時職員とするなど、最少の経費で運営しているため。）
なお、スキー場を取り巻く環境は、県内人口の減少や少子高齢化による来場者数の減少のほか、設備の更新・改修費用の捻出など、非常に厳しいものがあるが、本市唯一の本格スキー場としてその役割は大きいため、今後とも住民ニーズの把握や事業効果の検証を通し、適正な設備投資と効率的な運営を念頭に直営で経営していくものである。</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下水道事業</v>
          </cell>
          <cell r="W17" t="str">
            <v>簡易排水施設</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令和2年4月1日より公営企業化し、今年度改めて経営戦略を策定することとしている。このなかで、現状分析や将来予測を行い、今後の財政計画を作成する上で課題を明確化することで、今後の抜本的な改革の検討ににつながるものと考えているため、現段階では現行の経営体制・手法の継続とした。</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下水道事業</v>
          </cell>
          <cell r="W17" t="str">
            <v>漁業集落排水施設</v>
          </cell>
          <cell r="BD17" t="str">
            <v>×</v>
          </cell>
        </row>
        <row r="19">
          <cell r="F19" t="str">
            <v>ー</v>
          </cell>
        </row>
        <row r="43">
          <cell r="R43" t="str">
            <v>○</v>
          </cell>
          <cell r="AD43" t="str">
            <v>○</v>
          </cell>
        </row>
        <row r="48">
          <cell r="R48" t="str">
            <v xml:space="preserve"> </v>
          </cell>
        </row>
        <row r="249">
          <cell r="B249" t="str">
            <v>漁集処理施設を廃止し、特環処理施設へ統合するか、漁集処理施設を浄化槽施設にするかを検討している。</v>
          </cell>
        </row>
        <row r="255">
          <cell r="B255" t="str">
            <v>令和2年度に生活排水整備構想の見直しを行うこととしており、そのなかで事業費等の検討を行い最適な選択を行っていく。</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下水道事業</v>
          </cell>
          <cell r="W17" t="str">
            <v>個別排水処理施設</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令和2年4月1日より公営企業化し、今年度改めて経営戦略を策定することとしている。このなかで、現状分析や将来予測を行い、今後の財政計画を作成する上で課題を明確化することで、今後の抜本的な改革の検討ににつながるものと考えているため、現段階では現行の経営体制・手法の継続とした。</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下水道事業</v>
          </cell>
          <cell r="W17" t="str">
            <v>公共下水道</v>
          </cell>
          <cell r="BD17" t="str">
            <v>×</v>
          </cell>
        </row>
        <row r="19">
          <cell r="F19" t="str">
            <v>ー</v>
          </cell>
        </row>
        <row r="43">
          <cell r="R43" t="str">
            <v>○</v>
          </cell>
          <cell r="AA43" t="str">
            <v>○</v>
          </cell>
        </row>
        <row r="48">
          <cell r="R48" t="str">
            <v xml:space="preserve"> </v>
          </cell>
        </row>
        <row r="201">
          <cell r="B201" t="str">
            <v>　農業集落排水処理施設を廃止し、公共下水道処理施設に統合する計画で、令和元年度に実施設計を行い、令和2年度に工事を行うこととしている。処理施設数が減ることで維持管理費用が減少すると見込んでいる。</v>
          </cell>
        </row>
        <row r="232">
          <cell r="Y232" t="str">
            <v>○</v>
          </cell>
        </row>
        <row r="238">
          <cell r="B238" t="str">
            <v>令和</v>
          </cell>
          <cell r="E238">
            <v>3</v>
          </cell>
        </row>
        <row r="239">
          <cell r="E239">
            <v>4</v>
          </cell>
        </row>
        <row r="240">
          <cell r="E240">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下水道事業</v>
          </cell>
          <cell r="W17" t="str">
            <v>小規模集合排水施設</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令和2年4月1日より公営企業化し、今年度改めて経営戦略を策定することとしている。このなかで、現状分析や将来予測を行い、今後の財政計画を作成する上で課題を明確化することで、今後の抜本的な改革の検討ににつながるものと考えているため、現段階では現行の経営体制・手法の継続とした。</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下水道事業</v>
          </cell>
          <cell r="W17" t="str">
            <v>特定環境保全公共下水道</v>
          </cell>
          <cell r="BD17" t="str">
            <v>×</v>
          </cell>
        </row>
        <row r="19">
          <cell r="F19" t="str">
            <v>ー</v>
          </cell>
        </row>
        <row r="43">
          <cell r="R43" t="str">
            <v>○</v>
          </cell>
          <cell r="AD43" t="str">
            <v>○</v>
          </cell>
        </row>
        <row r="249">
          <cell r="B249" t="str">
            <v>特定環境公共下水道処理施設を廃止し、公共下水道処理施設へ統合する計画である。</v>
          </cell>
        </row>
        <row r="255">
          <cell r="B255" t="str">
            <v>令和6年度実施に向け調整中である。</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由利本荘市</v>
          </cell>
        </row>
        <row r="17">
          <cell r="F17" t="str">
            <v>下水道事業</v>
          </cell>
          <cell r="W17" t="str">
            <v>特定地域排水処理施設</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令和2年4月1日より公営企業化し、今年度改めて経営戦略を策定することとしている。このなかで、現状分析や将来予測を行い、今後の財政計画を作成する上で課題を明確化することで、今後の抜本的な改革の検討ににつながるものと考えているため、現段階では現行の経営体制・手法の継続とした。</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row r="15">
          <cell r="K15" t="str">
            <v>由利本荘市</v>
          </cell>
        </row>
        <row r="17">
          <cell r="F17" t="str">
            <v>下水道事業</v>
          </cell>
          <cell r="W17" t="str">
            <v>農業集落排水施設</v>
          </cell>
          <cell r="BD17" t="str">
            <v>×</v>
          </cell>
        </row>
        <row r="19">
          <cell r="F19" t="str">
            <v>ー</v>
          </cell>
        </row>
        <row r="43">
          <cell r="R43" t="str">
            <v>○</v>
          </cell>
          <cell r="X43" t="str">
            <v>○</v>
          </cell>
        </row>
        <row r="154">
          <cell r="B154" t="str">
            <v>平成23年度～令和元年度まで4処理施設を廃止し近隣施設へ統合し、維持管理費約5,000千円の経費削減をしている。</v>
          </cell>
        </row>
        <row r="184">
          <cell r="Y184" t="str">
            <v>○</v>
          </cell>
        </row>
        <row r="190">
          <cell r="B190" t="str">
            <v>平成</v>
          </cell>
          <cell r="E190">
            <v>23</v>
          </cell>
        </row>
        <row r="191">
          <cell r="E191">
            <v>4</v>
          </cell>
        </row>
        <row r="192">
          <cell r="E192">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8AFB-F548-4B1F-8E64-F207D0A4DCA4}">
  <sheetPr>
    <pageSetUpPr fitToPage="1"/>
  </sheetPr>
  <dimension ref="A1:CE298"/>
  <sheetViews>
    <sheetView showZeros="0" tabSelected="1"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IF(COUNTIF([14]回答表!K15,"*")&gt;0,[14]回答表!K15,"")</f>
        <v>由利本荘市</v>
      </c>
      <c r="D11" s="246"/>
      <c r="E11" s="246"/>
      <c r="F11" s="246"/>
      <c r="G11" s="246"/>
      <c r="H11" s="246"/>
      <c r="I11" s="246"/>
      <c r="J11" s="246"/>
      <c r="K11" s="246"/>
      <c r="L11" s="246"/>
      <c r="M11" s="246"/>
      <c r="N11" s="246"/>
      <c r="O11" s="246"/>
      <c r="P11" s="246"/>
      <c r="Q11" s="246"/>
      <c r="R11" s="246"/>
      <c r="S11" s="246"/>
      <c r="T11" s="246"/>
      <c r="U11" s="253" t="str">
        <f>IF(COUNTIF([14]回答表!F17,"*")&gt;0,[14]回答表!F17,"")</f>
        <v>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IF(COUNTIF([14]回答表!W17,"*")&gt;0,[14]回答表!W17,"")</f>
        <v>―</v>
      </c>
      <c r="AP11" s="248"/>
      <c r="AQ11" s="248"/>
      <c r="AR11" s="248"/>
      <c r="AS11" s="248"/>
      <c r="AT11" s="248"/>
      <c r="AU11" s="248"/>
      <c r="AV11" s="248"/>
      <c r="AW11" s="248"/>
      <c r="AX11" s="248"/>
      <c r="AY11" s="248"/>
      <c r="AZ11" s="248"/>
      <c r="BA11" s="248"/>
      <c r="BB11" s="248"/>
      <c r="BC11" s="248"/>
      <c r="BD11" s="248"/>
      <c r="BE11" s="249"/>
      <c r="BF11" s="252" t="str">
        <f>IF(COUNTIF([14]回答表!F19,"*")&gt;0,[14]回答表!F19,"")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IF([14]回答表!R41="○","○","")</f>
        <v/>
      </c>
      <c r="E24" s="122"/>
      <c r="F24" s="122"/>
      <c r="G24" s="122"/>
      <c r="H24" s="122"/>
      <c r="I24" s="122"/>
      <c r="J24" s="123"/>
      <c r="K24" s="121" t="str">
        <f>IF([14]回答表!R42="○","○","")</f>
        <v/>
      </c>
      <c r="L24" s="122"/>
      <c r="M24" s="122"/>
      <c r="N24" s="122"/>
      <c r="O24" s="122"/>
      <c r="P24" s="122"/>
      <c r="Q24" s="123"/>
      <c r="R24" s="121" t="str">
        <f>IF([14]回答表!R43="○","○","")</f>
        <v/>
      </c>
      <c r="S24" s="122"/>
      <c r="T24" s="122"/>
      <c r="U24" s="122"/>
      <c r="V24" s="122"/>
      <c r="W24" s="122"/>
      <c r="X24" s="123"/>
      <c r="Y24" s="121" t="str">
        <f>IF([14]回答表!R44="○","○","")</f>
        <v/>
      </c>
      <c r="Z24" s="122"/>
      <c r="AA24" s="122"/>
      <c r="AB24" s="122"/>
      <c r="AC24" s="122"/>
      <c r="AD24" s="122"/>
      <c r="AE24" s="123"/>
      <c r="AF24" s="121" t="str">
        <f>IF([14]回答表!R45="○","○","")</f>
        <v/>
      </c>
      <c r="AG24" s="122"/>
      <c r="AH24" s="122"/>
      <c r="AI24" s="122"/>
      <c r="AJ24" s="122"/>
      <c r="AK24" s="122"/>
      <c r="AL24" s="123"/>
      <c r="AM24" s="121" t="str">
        <f>IF([14]回答表!R46="○","○","")</f>
        <v/>
      </c>
      <c r="AN24" s="122"/>
      <c r="AO24" s="122"/>
      <c r="AP24" s="122"/>
      <c r="AQ24" s="122"/>
      <c r="AR24" s="122"/>
      <c r="AS24" s="123"/>
      <c r="AT24" s="121" t="str">
        <f>IF([14]回答表!R47="○","○","")</f>
        <v/>
      </c>
      <c r="AU24" s="122"/>
      <c r="AV24" s="122"/>
      <c r="AW24" s="122"/>
      <c r="AX24" s="122"/>
      <c r="AY24" s="122"/>
      <c r="AZ24" s="123"/>
      <c r="BA24" s="19"/>
      <c r="BB24" s="118" t="str">
        <f>IF([14]回答表!R48="○","○","")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IF([14]回答表!X41="○","○","")</f>
        <v/>
      </c>
      <c r="O36" s="98"/>
      <c r="P36" s="98"/>
      <c r="Q36" s="99"/>
      <c r="R36" s="39"/>
      <c r="S36" s="39"/>
      <c r="T36" s="39"/>
      <c r="U36" s="106" t="str">
        <f>IF([14]回答表!X41="○",[14]回答表!B56,IF([14]回答表!AA41="○",[14]回答表!B76,""))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IF([14]回答表!X41="○",[14]回答表!S62,IF([14]回答表!AA41="○",[14]回答表!S82,""))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IF([14]回答表!X41="○",[14]回答表!G62,IF([14]回答表!AA41="○",[14]回答表!G82,""))</f>
        <v/>
      </c>
      <c r="AN38" s="119"/>
      <c r="AO38" s="119"/>
      <c r="AP38" s="119"/>
      <c r="AQ38" s="119"/>
      <c r="AR38" s="119"/>
      <c r="AS38" s="119"/>
      <c r="AT38" s="120"/>
      <c r="AU38" s="118" t="str">
        <f>IF([14]回答表!X41="○",[14]回答表!G63,IF([14]回答表!AA41="○",[14]回答表!G83,""))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IF([14]回答表!X41="○",[14]回答表!V62,IF([14]回答表!AA41="○",[14]回答表!V82,""))</f>
        <v/>
      </c>
      <c r="BF39" s="199"/>
      <c r="BG39" s="199"/>
      <c r="BH39" s="200"/>
      <c r="BI39" s="82" t="str">
        <f>IF([14]回答表!X41="○",[14]回答表!V63,IF([14]回答表!AA41="○",[14]回答表!V83,""))</f>
        <v/>
      </c>
      <c r="BJ39" s="199"/>
      <c r="BK39" s="199"/>
      <c r="BL39" s="200"/>
      <c r="BM39" s="82" t="str">
        <f>IF([14]回答表!X41="○",[14]回答表!V64,IF([14]回答表!AA41="○",[14]回答表!V84,""))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IF([14]回答表!X41="○",[14]回答表!O68,IF([14]回答表!AA41="○",[14]回答表!O88,""))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IF([14]回答表!X41="○",[14]回答表!O69,IF([14]回答表!AA41="○",[14]回答表!O89,""))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IF([14]回答表!AA41="○","○","")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IF([14]回答表!X41="○",[14]回答表!O70,IF([14]回答表!AA41="○",[14]回答表!O90,""))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IF([14]回答表!X41="○",[14]回答表!O71,IF([14]回答表!AA41="○",[14]回答表!O91,""))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IF([14]回答表!X41="○",[14]回答表!AG68,IF([14]回答表!AA41="○",[14]回答表!AG88,""))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IF([14]回答表!X41="○",[14]回答表!AG69,IF([14]回答表!AA41="○",[14]回答表!AG89,""))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IF([14]回答表!X41="○",[14]回答表!AG70,IF([14]回答表!AA41="○",[14]回答表!AG90,""))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IF([14]回答表!AD41="○","○","")</f>
        <v/>
      </c>
      <c r="O52" s="98"/>
      <c r="P52" s="98"/>
      <c r="Q52" s="99"/>
      <c r="R52" s="39"/>
      <c r="S52" s="39"/>
      <c r="T52" s="39"/>
      <c r="U52" s="106" t="str">
        <f>IF([14]回答表!AD41="○",[14]回答表!B96,"")</f>
        <v/>
      </c>
      <c r="V52" s="107"/>
      <c r="W52" s="107"/>
      <c r="X52" s="107"/>
      <c r="Y52" s="107"/>
      <c r="Z52" s="107"/>
      <c r="AA52" s="107"/>
      <c r="AB52" s="107"/>
      <c r="AC52" s="107"/>
      <c r="AD52" s="107"/>
      <c r="AE52" s="107"/>
      <c r="AF52" s="107"/>
      <c r="AG52" s="107"/>
      <c r="AH52" s="107"/>
      <c r="AI52" s="107"/>
      <c r="AJ52" s="108"/>
      <c r="AK52" s="56"/>
      <c r="AL52" s="56"/>
      <c r="AM52" s="106" t="str">
        <f>IF([14]回答表!AD41="○",[14]回答表!B101,"")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IF([14]回答表!X42="○","○","")</f>
        <v/>
      </c>
      <c r="O63" s="98"/>
      <c r="P63" s="98"/>
      <c r="Q63" s="99"/>
      <c r="R63" s="39"/>
      <c r="S63" s="39"/>
      <c r="T63" s="39"/>
      <c r="U63" s="106" t="str">
        <f>IF([14]回答表!X42="○",[14]回答表!B111,IF([14]回答表!AA42="○",[14]回答表!B124,""))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IF([14]回答表!X42="○",[14]回答表!S117,IF([14]回答表!AA42="○",[14]回答表!S130,""))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IF([14]回答表!X42="○",[14]回答表!J117,IF([14]回答表!AA42="○",[14]回答表!J130,""))</f>
        <v/>
      </c>
      <c r="AN66" s="119"/>
      <c r="AO66" s="119"/>
      <c r="AP66" s="119"/>
      <c r="AQ66" s="119"/>
      <c r="AR66" s="119"/>
      <c r="AS66" s="119"/>
      <c r="AT66" s="120"/>
      <c r="AU66" s="118" t="str">
        <f>IF([14]回答表!X42="○",[14]回答表!J118,IF([14]回答表!AA42="○",[14]回答表!J131,""))</f>
        <v/>
      </c>
      <c r="AV66" s="119"/>
      <c r="AW66" s="119"/>
      <c r="AX66" s="119"/>
      <c r="AY66" s="119"/>
      <c r="AZ66" s="119"/>
      <c r="BA66" s="119"/>
      <c r="BB66" s="120"/>
      <c r="BC66" s="40"/>
      <c r="BD66" s="35"/>
      <c r="BE66" s="82" t="str">
        <f>IF([14]回答表!X42="○",[14]回答表!V117,IF([14]回答表!AA42="○",[14]回答表!V130,""))</f>
        <v/>
      </c>
      <c r="BF66" s="83"/>
      <c r="BG66" s="83"/>
      <c r="BH66" s="83"/>
      <c r="BI66" s="82" t="str">
        <f>IF([14]回答表!X42="○",[14]回答表!V118,IF([14]回答表!AA42="○",[14]回答表!V131,""))</f>
        <v/>
      </c>
      <c r="BJ66" s="83"/>
      <c r="BK66" s="83"/>
      <c r="BL66" s="83"/>
      <c r="BM66" s="82" t="str">
        <f>IF([14]回答表!X42="○",[14]回答表!V119,IF([14]回答表!AA42="○",[14]回答表!V132,""))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IF([14]回答表!AA42="○","○","")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IF([14]回答表!AD42="○","○","")</f>
        <v/>
      </c>
      <c r="O75" s="98"/>
      <c r="P75" s="98"/>
      <c r="Q75" s="99"/>
      <c r="R75" s="39"/>
      <c r="S75" s="39"/>
      <c r="T75" s="39"/>
      <c r="U75" s="106" t="str">
        <f>IF([14]回答表!AD42="○",[14]回答表!B137,"")</f>
        <v/>
      </c>
      <c r="V75" s="107"/>
      <c r="W75" s="107"/>
      <c r="X75" s="107"/>
      <c r="Y75" s="107"/>
      <c r="Z75" s="107"/>
      <c r="AA75" s="107"/>
      <c r="AB75" s="107"/>
      <c r="AC75" s="107"/>
      <c r="AD75" s="107"/>
      <c r="AE75" s="107"/>
      <c r="AF75" s="107"/>
      <c r="AG75" s="107"/>
      <c r="AH75" s="107"/>
      <c r="AI75" s="107"/>
      <c r="AJ75" s="108"/>
      <c r="AK75" s="56"/>
      <c r="AL75" s="56"/>
      <c r="AM75" s="106" t="str">
        <f>IF([14]回答表!AD42="○",[14]回答表!B143,"")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IF([14]回答表!F17="水道事業",IF([14]回答表!X43="○","○",""),"")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IF([14]回答表!F17="水道事業",IF([14]回答表!X43="○",[14]回答表!B154,IF([14]回答表!AA43="○",[14]回答表!B201,"")),"")</f>
        <v/>
      </c>
      <c r="AN87" s="107"/>
      <c r="AO87" s="107"/>
      <c r="AP87" s="107"/>
      <c r="AQ87" s="107"/>
      <c r="AR87" s="107"/>
      <c r="AS87" s="107"/>
      <c r="AT87" s="107"/>
      <c r="AU87" s="107"/>
      <c r="AV87" s="107"/>
      <c r="AW87" s="107"/>
      <c r="AX87" s="107"/>
      <c r="AY87" s="107"/>
      <c r="AZ87" s="107"/>
      <c r="BA87" s="107"/>
      <c r="BB87" s="108"/>
      <c r="BC87" s="40"/>
      <c r="BD87" s="35"/>
      <c r="BE87" s="115" t="str">
        <f>IF([14]回答表!F17="水道事業",IF([14]回答表!X43="○",[14]回答表!B190,IF([14]回答表!AA43="○",[14]回答表!B238,"")),"")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IF([14]回答表!F17="水道事業",IF([14]回答表!X43="○",[14]回答表!J162,IF([14]回答表!AA43="○",[14]回答表!J209,"")),"")</f>
        <v/>
      </c>
      <c r="V89" s="119"/>
      <c r="W89" s="119"/>
      <c r="X89" s="119"/>
      <c r="Y89" s="119"/>
      <c r="Z89" s="119"/>
      <c r="AA89" s="119"/>
      <c r="AB89" s="120"/>
      <c r="AC89" s="118" t="str">
        <f>IF([14]回答表!F17="水道事業",IF([14]回答表!X43="○",[14]回答表!J169,IF([14]回答表!AA43="○",[14]回答表!J216,"")),"")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IF([14]回答表!F17="水道事業",IF([14]回答表!X43="○",[14]回答表!E190,IF([14]回答表!AA43="○",[14]回答表!E238,"")),"")</f>
        <v/>
      </c>
      <c r="BF90" s="83"/>
      <c r="BG90" s="83"/>
      <c r="BH90" s="83"/>
      <c r="BI90" s="82" t="str">
        <f>IF([14]回答表!F17="水道事業",IF([14]回答表!X43="○",[14]回答表!E191,IF([14]回答表!AA43="○",[14]回答表!E239,"")),"")</f>
        <v/>
      </c>
      <c r="BJ90" s="83"/>
      <c r="BK90" s="83"/>
      <c r="BL90" s="83"/>
      <c r="BM90" s="82" t="str">
        <f>IF([14]回答表!F17="水道事業",IF([14]回答表!X43="○",[14]回答表!E192,IF([14]回答表!AA43="○",[14]回答表!E240,"")),"")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IF([14]回答表!F17="水道事業",IF([14]回答表!AA43="○","○",""),"")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IF([14]回答表!F17="水道事業",IF([14]回答表!X43="○",[14]回答表!J172,IF([14]回答表!AA43="○",[14]回答表!J219,"")),"")</f>
        <v/>
      </c>
      <c r="V94" s="119"/>
      <c r="W94" s="119"/>
      <c r="X94" s="119"/>
      <c r="Y94" s="119"/>
      <c r="Z94" s="119"/>
      <c r="AA94" s="119"/>
      <c r="AB94" s="120"/>
      <c r="AC94" s="118" t="str">
        <f>IF([14]回答表!F17="水道事業",IF([14]回答表!X43="○",[14]回答表!J176,IF([14]回答表!AA43="○",[14]回答表!J223,"")),"")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IF([14]回答表!F17="水道事業",IF([14]回答表!AD43="○","○",""),"")</f>
        <v/>
      </c>
      <c r="O99" s="98"/>
      <c r="P99" s="98"/>
      <c r="Q99" s="99"/>
      <c r="R99" s="39"/>
      <c r="S99" s="39"/>
      <c r="T99" s="39"/>
      <c r="U99" s="106" t="str">
        <f>IF([14]回答表!F17="水道事業",IF([14]回答表!AD43="○",[14]回答表!B249,""),"")</f>
        <v/>
      </c>
      <c r="V99" s="107"/>
      <c r="W99" s="107"/>
      <c r="X99" s="107"/>
      <c r="Y99" s="107"/>
      <c r="Z99" s="107"/>
      <c r="AA99" s="107"/>
      <c r="AB99" s="107"/>
      <c r="AC99" s="107"/>
      <c r="AD99" s="107"/>
      <c r="AE99" s="107"/>
      <c r="AF99" s="107"/>
      <c r="AG99" s="107"/>
      <c r="AH99" s="107"/>
      <c r="AI99" s="107"/>
      <c r="AJ99" s="108"/>
      <c r="AK99" s="56"/>
      <c r="AL99" s="56"/>
      <c r="AM99" s="106" t="str">
        <f>IF([14]回答表!F17="水道事業",IF([14]回答表!AD43="○",[14]回答表!B255,""),"")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IF([14]回答表!F17="簡易水道事業",IF([14]回答表!X43="○","○",""),"")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IF([14]回答表!F17="簡易水道事業",IF([14]回答表!X43="○",[14]回答表!B154,IF([14]回答表!AA43="○",[14]回答表!B201,"")),"")</f>
        <v/>
      </c>
      <c r="AN111" s="107"/>
      <c r="AO111" s="107"/>
      <c r="AP111" s="107"/>
      <c r="AQ111" s="107"/>
      <c r="AR111" s="107"/>
      <c r="AS111" s="107"/>
      <c r="AT111" s="107"/>
      <c r="AU111" s="107"/>
      <c r="AV111" s="107"/>
      <c r="AW111" s="107"/>
      <c r="AX111" s="107"/>
      <c r="AY111" s="107"/>
      <c r="AZ111" s="107"/>
      <c r="BA111" s="107"/>
      <c r="BB111" s="108"/>
      <c r="BC111" s="40"/>
      <c r="BD111" s="35"/>
      <c r="BE111" s="115" t="str">
        <f>IF([14]回答表!F17="簡易水道事業",IF([14]回答表!X43="○",[14]回答表!B190,IF([14]回答表!AA43="○",[14]回答表!B238,"")),"")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IF([14]回答表!F17="簡易水道事業",IF([14]回答表!X43="○",[14]回答表!Y181,IF([14]回答表!AA43="○",[14]回答表!Y229,"")),"")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IF([14]回答表!F17="簡易水道事業",IF([14]回答表!X43="○",[14]回答表!E190,IF([14]回答表!AA43="○",[14]回答表!E238,"")),"")</f>
        <v/>
      </c>
      <c r="BF114" s="83"/>
      <c r="BG114" s="83"/>
      <c r="BH114" s="83"/>
      <c r="BI114" s="82" t="str">
        <f>IF([14]回答表!F17="簡易水道事業",IF([14]回答表!X43="○",[14]回答表!E191,IF([14]回答表!AA43="○",[14]回答表!E239,"")),"")</f>
        <v/>
      </c>
      <c r="BJ114" s="83"/>
      <c r="BK114" s="83"/>
      <c r="BL114" s="83"/>
      <c r="BM114" s="82" t="str">
        <f>IF([14]回答表!F17="簡易水道事業",IF([14]回答表!X43="○",[14]回答表!E192,IF([14]回答表!AA43="○",[14]回答表!E240,"")),"")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IF([14]回答表!F17="簡易水道事業",IF([14]回答表!AA43="○","○",""),"")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IF([14]回答表!F17="簡易水道事業",IF([14]回答表!X43="○",[14]回答表!Y182,IF([14]回答表!AA43="○",[14]回答表!Y230,"")),"")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IF([14]回答表!F17="簡易水道事業",IF([14]回答表!AD43="○","○",""),"")</f>
        <v/>
      </c>
      <c r="O123" s="98"/>
      <c r="P123" s="98"/>
      <c r="Q123" s="99"/>
      <c r="R123" s="39"/>
      <c r="S123" s="39"/>
      <c r="T123" s="39"/>
      <c r="U123" s="106" t="str">
        <f>IF([14]回答表!F17="簡易水道事業",IF([14]回答表!AD43="○",[14]回答表!B249,""),"")</f>
        <v/>
      </c>
      <c r="V123" s="107"/>
      <c r="W123" s="107"/>
      <c r="X123" s="107"/>
      <c r="Y123" s="107"/>
      <c r="Z123" s="107"/>
      <c r="AA123" s="107"/>
      <c r="AB123" s="107"/>
      <c r="AC123" s="107"/>
      <c r="AD123" s="107"/>
      <c r="AE123" s="107"/>
      <c r="AF123" s="107"/>
      <c r="AG123" s="107"/>
      <c r="AH123" s="107"/>
      <c r="AI123" s="107"/>
      <c r="AJ123" s="108"/>
      <c r="AK123" s="56"/>
      <c r="AL123" s="56"/>
      <c r="AM123" s="106" t="str">
        <f>IF([14]回答表!F17="簡易水道事業",IF([14]回答表!AD43="○",[14]回答表!B255,""),"")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IF([14]回答表!F17="下水道事業",IF([14]回答表!X43="○","○",""),"")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IF([14]回答表!F17="下水道事業",IF([14]回答表!X43="○",[14]回答表!B154,IF([14]回答表!AA43="○",[14]回答表!B201,"")),"")</f>
        <v/>
      </c>
      <c r="AN135" s="107"/>
      <c r="AO135" s="107"/>
      <c r="AP135" s="107"/>
      <c r="AQ135" s="107"/>
      <c r="AR135" s="107"/>
      <c r="AS135" s="107"/>
      <c r="AT135" s="107"/>
      <c r="AU135" s="107"/>
      <c r="AV135" s="107"/>
      <c r="AW135" s="107"/>
      <c r="AX135" s="107"/>
      <c r="AY135" s="107"/>
      <c r="AZ135" s="107"/>
      <c r="BA135" s="107"/>
      <c r="BB135" s="108"/>
      <c r="BC135" s="40"/>
      <c r="BD135" s="35"/>
      <c r="BE135" s="115" t="str">
        <f>IF([14]回答表!F17="下水道事業",IF([14]回答表!X43="○",[14]回答表!B190,IF([14]回答表!AA43="○",[14]回答表!B238,"")),"")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IF([14]回答表!F17="下水道事業",IF([14]回答表!X43="○",[14]回答表!Y184,IF([14]回答表!AA43="○",[14]回答表!Y232,"")),"")</f>
        <v/>
      </c>
      <c r="V137" s="119"/>
      <c r="W137" s="119"/>
      <c r="X137" s="119"/>
      <c r="Y137" s="119"/>
      <c r="Z137" s="119"/>
      <c r="AA137" s="119"/>
      <c r="AB137" s="120"/>
      <c r="AC137" s="118" t="str">
        <f>IF([14]回答表!F17="下水道事業",IF([14]回答表!X43="○",[14]回答表!Y185,IF([14]回答表!AA43="○",[14]回答表!Y233,"")),"")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IF([14]回答表!F17="下水道事業",IF([14]回答表!X43="○",[14]回答表!E190,IF([14]回答表!AA43="○",[14]回答表!E238,"")),"")</f>
        <v/>
      </c>
      <c r="BF138" s="83"/>
      <c r="BG138" s="83"/>
      <c r="BH138" s="83"/>
      <c r="BI138" s="82" t="str">
        <f>IF([14]回答表!F17="下水道事業",IF([14]回答表!X43="○",[14]回答表!E191,IF([14]回答表!AA43="○",[14]回答表!E239,"")),"")</f>
        <v/>
      </c>
      <c r="BJ138" s="83"/>
      <c r="BK138" s="83"/>
      <c r="BL138" s="83"/>
      <c r="BM138" s="82" t="str">
        <f>IF([14]回答表!F17="下水道事業",IF([14]回答表!X43="○",[14]回答表!E192,IF([14]回答表!AA43="○",[14]回答表!E240,"")),"")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IF([14]回答表!F17="下水道事業",IF([14]回答表!AA43="○","○",""),"")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IF([14]回答表!F17="下水道事業",IF([14]回答表!X43="○",[14]回答表!Y186,IF([14]回答表!AA43="○",[14]回答表!Y234,"")),"")</f>
        <v/>
      </c>
      <c r="V142" s="119"/>
      <c r="W142" s="119"/>
      <c r="X142" s="119"/>
      <c r="Y142" s="119"/>
      <c r="Z142" s="119"/>
      <c r="AA142" s="119"/>
      <c r="AB142" s="120"/>
      <c r="AC142" s="118" t="str">
        <f>IF([14]回答表!F17="下水道事業",IF([14]回答表!X43="○",[14]回答表!Y187,IF([14]回答表!AA43="○",[14]回答表!Y235,"")),"")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IF([14]回答表!F17="下水道事業",IF([14]回答表!AD43="○","○",""),"")</f>
        <v/>
      </c>
      <c r="O147" s="98"/>
      <c r="P147" s="98"/>
      <c r="Q147" s="99"/>
      <c r="R147" s="39"/>
      <c r="S147" s="39"/>
      <c r="T147" s="39"/>
      <c r="U147" s="106" t="str">
        <f>IF([14]回答表!F17="下水道事業",IF([14]回答表!AD43="○",[14]回答表!B249,""),"")</f>
        <v/>
      </c>
      <c r="V147" s="107"/>
      <c r="W147" s="107"/>
      <c r="X147" s="107"/>
      <c r="Y147" s="107"/>
      <c r="Z147" s="107"/>
      <c r="AA147" s="107"/>
      <c r="AB147" s="107"/>
      <c r="AC147" s="107"/>
      <c r="AD147" s="107"/>
      <c r="AE147" s="107"/>
      <c r="AF147" s="107"/>
      <c r="AG147" s="107"/>
      <c r="AH147" s="107"/>
      <c r="AI147" s="107"/>
      <c r="AJ147" s="108"/>
      <c r="AK147" s="56"/>
      <c r="AL147" s="56"/>
      <c r="AM147" s="106" t="str">
        <f>IF([14]回答表!F17="下水道事業",IF([14]回答表!AD43="○",[14]回答表!B255,""),"")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IF([14]回答表!BD17="○",IF([14]回答表!X43="○","○",""),"")</f>
        <v/>
      </c>
      <c r="O159" s="98"/>
      <c r="P159" s="98"/>
      <c r="Q159" s="99"/>
      <c r="R159" s="39"/>
      <c r="S159" s="39"/>
      <c r="T159" s="39"/>
      <c r="U159" s="106" t="str">
        <f>IF([14]回答表!BD17="○",IF([14]回答表!X43="○",[14]回答表!B154,IF([14]回答表!AA43="○",[14]回答表!B201,"")),"")</f>
        <v/>
      </c>
      <c r="V159" s="107"/>
      <c r="W159" s="107"/>
      <c r="X159" s="107"/>
      <c r="Y159" s="107"/>
      <c r="Z159" s="107"/>
      <c r="AA159" s="107"/>
      <c r="AB159" s="107"/>
      <c r="AC159" s="107"/>
      <c r="AD159" s="107"/>
      <c r="AE159" s="107"/>
      <c r="AF159" s="107"/>
      <c r="AG159" s="107"/>
      <c r="AH159" s="107"/>
      <c r="AI159" s="107"/>
      <c r="AJ159" s="108"/>
      <c r="AK159" s="50"/>
      <c r="AL159" s="50"/>
      <c r="AM159" s="115" t="str">
        <f>IF([14]回答表!BD17="○",IF([14]回答表!X43="○",[14]回答表!B190,IF([14]回答表!AA43="○",[14]回答表!B238,"")),"")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IF([14]回答表!BD17="○",IF([14]回答表!X43="○",[14]回答表!E190,IF([14]回答表!AA43="○",[14]回答表!E238,"")),"")</f>
        <v/>
      </c>
      <c r="AN162" s="83"/>
      <c r="AO162" s="83"/>
      <c r="AP162" s="83"/>
      <c r="AQ162" s="82" t="str">
        <f>IF([14]回答表!BD17="○",IF([14]回答表!X43="○",[14]回答表!E191,IF([14]回答表!AA43="○",[14]回答表!E239,"")),"")</f>
        <v/>
      </c>
      <c r="AR162" s="83"/>
      <c r="AS162" s="83"/>
      <c r="AT162" s="83"/>
      <c r="AU162" s="82" t="str">
        <f>IF([14]回答表!BD17="○",IF([14]回答表!X43="○",[14]回答表!E192,IF([14]回答表!AA43="○",[14]回答表!E240,"")),"")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IF([14]回答表!BD17="○",IF([14]回答表!AA43="○","○",""),"")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IF([14]回答表!BD17="○",IF([14]回答表!AD43="○","○",""),"")</f>
        <v/>
      </c>
      <c r="O171" s="98"/>
      <c r="P171" s="98"/>
      <c r="Q171" s="99"/>
      <c r="R171" s="39"/>
      <c r="S171" s="39"/>
      <c r="T171" s="39"/>
      <c r="U171" s="106" t="str">
        <f>IF([14]回答表!BD17="○",IF([14]回答表!AD43="○",[14]回答表!B249,""),"")</f>
        <v/>
      </c>
      <c r="V171" s="107"/>
      <c r="W171" s="107"/>
      <c r="X171" s="107"/>
      <c r="Y171" s="107"/>
      <c r="Z171" s="107"/>
      <c r="AA171" s="107"/>
      <c r="AB171" s="107"/>
      <c r="AC171" s="107"/>
      <c r="AD171" s="107"/>
      <c r="AE171" s="107"/>
      <c r="AF171" s="107"/>
      <c r="AG171" s="107"/>
      <c r="AH171" s="107"/>
      <c r="AI171" s="107"/>
      <c r="AJ171" s="108"/>
      <c r="AK171" s="56"/>
      <c r="AL171" s="56"/>
      <c r="AM171" s="106" t="str">
        <f>IF([14]回答表!BD17="○",IF([14]回答表!AD43="○",[14]回答表!B255,""),"")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IF([14]回答表!X44="○","○","")</f>
        <v/>
      </c>
      <c r="O183" s="98"/>
      <c r="P183" s="98"/>
      <c r="Q183" s="99"/>
      <c r="R183" s="39"/>
      <c r="S183" s="39"/>
      <c r="T183" s="39"/>
      <c r="U183" s="106" t="str">
        <f>IF([14]回答表!X44="○",[14]回答表!B266,IF([14]回答表!AA44="○",[14]回答表!B283,""))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IF([14]回答表!X44="○",[14]回答表!U272,IF([14]回答表!AA44="○",[14]回答表!U289,""))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IF([14]回答表!X44="○",[14]回答表!G272,IF([14]回答表!AA44="○",[14]回答表!G289,""))</f>
        <v/>
      </c>
      <c r="AN186" s="119"/>
      <c r="AO186" s="119"/>
      <c r="AP186" s="119"/>
      <c r="AQ186" s="119"/>
      <c r="AR186" s="119"/>
      <c r="AS186" s="119"/>
      <c r="AT186" s="120"/>
      <c r="AU186" s="118" t="str">
        <f>IF([14]回答表!X44="○",[14]回答表!G273,IF([14]回答表!AA44="○",[14]回答表!G290,""))</f>
        <v/>
      </c>
      <c r="AV186" s="119"/>
      <c r="AW186" s="119"/>
      <c r="AX186" s="119"/>
      <c r="AY186" s="119"/>
      <c r="AZ186" s="119"/>
      <c r="BA186" s="119"/>
      <c r="BB186" s="120"/>
      <c r="BC186" s="40"/>
      <c r="BD186" s="35"/>
      <c r="BE186" s="82" t="str">
        <f>IF([14]回答表!X44="○",[14]回答表!X272,IF([14]回答表!AA44="○",[14]回答表!X289,""))</f>
        <v/>
      </c>
      <c r="BF186" s="83"/>
      <c r="BG186" s="83"/>
      <c r="BH186" s="83"/>
      <c r="BI186" s="82" t="str">
        <f>IF([14]回答表!X44="○",[14]回答表!X273,IF([14]回答表!AA44="○",[14]回答表!X290,""))</f>
        <v/>
      </c>
      <c r="BJ186" s="83"/>
      <c r="BK186" s="83"/>
      <c r="BL186" s="86"/>
      <c r="BM186" s="82" t="str">
        <f>IF([14]回答表!X44="○",[14]回答表!X274,IF([14]回答表!AA44="○",[14]回答表!X291,""))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IF([14]回答表!AA44="○","○","")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IF([14]回答表!AD44="○","○","")</f>
        <v/>
      </c>
      <c r="O195" s="98"/>
      <c r="P195" s="98"/>
      <c r="Q195" s="99"/>
      <c r="R195" s="39"/>
      <c r="S195" s="39"/>
      <c r="T195" s="39"/>
      <c r="U195" s="106" t="str">
        <f>IF([14]回答表!AD44="○",[14]回答表!B296,"")</f>
        <v/>
      </c>
      <c r="V195" s="107"/>
      <c r="W195" s="107"/>
      <c r="X195" s="107"/>
      <c r="Y195" s="107"/>
      <c r="Z195" s="107"/>
      <c r="AA195" s="107"/>
      <c r="AB195" s="107"/>
      <c r="AC195" s="107"/>
      <c r="AD195" s="107"/>
      <c r="AE195" s="107"/>
      <c r="AF195" s="107"/>
      <c r="AG195" s="107"/>
      <c r="AH195" s="107"/>
      <c r="AI195" s="107"/>
      <c r="AJ195" s="108"/>
      <c r="AK195" s="61"/>
      <c r="AL195" s="61"/>
      <c r="AM195" s="106" t="str">
        <f>IF([14]回答表!AD44="○",[14]回答表!B302,"")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IF([14]回答表!X45="○","○","")</f>
        <v/>
      </c>
      <c r="O207" s="98"/>
      <c r="P207" s="98"/>
      <c r="Q207" s="99"/>
      <c r="R207" s="39"/>
      <c r="S207" s="39"/>
      <c r="T207" s="39"/>
      <c r="U207" s="106" t="str">
        <f>IF([14]回答表!X45="○",[14]回答表!B314,IF([14]回答表!AA45="○",[14]回答表!B337,""))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IF([14]回答表!X45="○",[14]回答表!B320,"")</f>
        <v/>
      </c>
      <c r="AO207" s="164"/>
      <c r="AP207" s="164"/>
      <c r="AQ207" s="164"/>
      <c r="AR207" s="164"/>
      <c r="AS207" s="164"/>
      <c r="AT207" s="164"/>
      <c r="AU207" s="164"/>
      <c r="AV207" s="164"/>
      <c r="AW207" s="164"/>
      <c r="AX207" s="164"/>
      <c r="AY207" s="164"/>
      <c r="AZ207" s="164"/>
      <c r="BA207" s="164"/>
      <c r="BB207" s="165"/>
      <c r="BC207" s="40"/>
      <c r="BD207" s="35"/>
      <c r="BE207" s="115" t="str">
        <f>IF([14]回答表!X45="○",[14]回答表!B326,IF([14]回答表!AA45="○",[14]回答表!B343,""))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IF([14]回答表!X45="○",[14]回答表!E326,IF([14]回答表!AA45="○",[14]回答表!E343,""))</f>
        <v/>
      </c>
      <c r="BF210" s="83"/>
      <c r="BG210" s="83"/>
      <c r="BH210" s="83"/>
      <c r="BI210" s="82" t="str">
        <f>IF([14]回答表!X45="○",[14]回答表!E327,IF([14]回答表!AA45="○",[14]回答表!E344,""))</f>
        <v/>
      </c>
      <c r="BJ210" s="83"/>
      <c r="BK210" s="83"/>
      <c r="BL210" s="86"/>
      <c r="BM210" s="82" t="str">
        <f>IF([14]回答表!X45="○",[14]回答表!E328,IF([14]回答表!AA45="○",[14]回答表!E345,""))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IF([14]回答表!AA45="○","○","")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IF([14]回答表!AD45="○","○","")</f>
        <v/>
      </c>
      <c r="O219" s="98"/>
      <c r="P219" s="98"/>
      <c r="Q219" s="99"/>
      <c r="R219" s="39"/>
      <c r="S219" s="39"/>
      <c r="T219" s="39"/>
      <c r="U219" s="106" t="str">
        <f>IF([14]回答表!AD45="○",[14]回答表!B350,"")</f>
        <v/>
      </c>
      <c r="V219" s="107"/>
      <c r="W219" s="107"/>
      <c r="X219" s="107"/>
      <c r="Y219" s="107"/>
      <c r="Z219" s="107"/>
      <c r="AA219" s="107"/>
      <c r="AB219" s="107"/>
      <c r="AC219" s="107"/>
      <c r="AD219" s="107"/>
      <c r="AE219" s="107"/>
      <c r="AF219" s="107"/>
      <c r="AG219" s="107"/>
      <c r="AH219" s="107"/>
      <c r="AI219" s="107"/>
      <c r="AJ219" s="108"/>
      <c r="AK219" s="61"/>
      <c r="AL219" s="61"/>
      <c r="AM219" s="106" t="str">
        <f>IF([14]回答表!AD45="○",[14]回答表!B356,"")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IF([14]回答表!X46="○","○","")</f>
        <v/>
      </c>
      <c r="O231" s="98"/>
      <c r="P231" s="98"/>
      <c r="Q231" s="99"/>
      <c r="R231" s="39"/>
      <c r="S231" s="39"/>
      <c r="T231" s="39"/>
      <c r="U231" s="106" t="str">
        <f>IF([14]回答表!X46="○",[14]回答表!B368,IF([14]回答表!AA46="○",[14]回答表!B382,""))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IF([14]回答表!X46="○",[14]回答表!BC375,IF([14]回答表!AA46="○",[14]回答表!BC389,""))</f>
        <v/>
      </c>
      <c r="AR231" s="150"/>
      <c r="AS231" s="150"/>
      <c r="AT231" s="150"/>
      <c r="AU231" s="155" t="s">
        <v>63</v>
      </c>
      <c r="AV231" s="156"/>
      <c r="AW231" s="156"/>
      <c r="AX231" s="157"/>
      <c r="AY231" s="150" t="str">
        <f>IF([14]回答表!X46="○",[14]回答表!BC380,IF([14]回答表!AA46="○",[14]回答表!BC394,""))</f>
        <v/>
      </c>
      <c r="AZ231" s="150"/>
      <c r="BA231" s="150"/>
      <c r="BB231" s="150"/>
      <c r="BC231" s="40"/>
      <c r="BD231" s="35"/>
      <c r="BE231" s="115" t="str">
        <f>IF([14]回答表!X46="○",[14]回答表!S374,IF([14]回答表!AA46="○",[14]回答表!S388,""))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IF([14]回答表!X46="○",[14]回答表!BC376,IF([14]回答表!AA46="○",[14]回答表!BC390,""))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IF([14]回答表!X46="○",[14]回答表!V374,IF([14]回答表!AA46="○",[14]回答表!V388,""))</f>
        <v/>
      </c>
      <c r="BF234" s="83"/>
      <c r="BG234" s="83"/>
      <c r="BH234" s="83"/>
      <c r="BI234" s="82" t="str">
        <f>IF([14]回答表!X46="○",[14]回答表!V375,IF([14]回答表!AA46="○",[14]回答表!V389,""))</f>
        <v/>
      </c>
      <c r="BJ234" s="83"/>
      <c r="BK234" s="83"/>
      <c r="BL234" s="86"/>
      <c r="BM234" s="82" t="str">
        <f>IF([14]回答表!X46="○",[14]回答表!V376,IF([14]回答表!AA46="○",[14]回答表!V390,""))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IF([14]回答表!X46="○",[14]回答表!BC377,IF([14]回答表!AA46="○",[14]回答表!BC391,""))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IF([14]回答表!X46="○",[14]回答表!BC381,IF([14]回答表!AA46="○",[14]回答表!BC395,""))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IF([14]回答表!AA46="○","○","")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IF([14]回答表!X46="○",[14]回答表!BC378,IF([14]回答表!AA46="○",[14]回答表!BC392,""))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IF([14]回答表!X46="○",[14]回答表!BC379,IF([14]回答表!AA46="○",[14]回答表!BC393,""))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IF([14]回答表!AD46="○","○","")</f>
        <v/>
      </c>
      <c r="O243" s="98"/>
      <c r="P243" s="98"/>
      <c r="Q243" s="99"/>
      <c r="R243" s="39"/>
      <c r="S243" s="39"/>
      <c r="T243" s="39"/>
      <c r="U243" s="106" t="str">
        <f>IF([14]回答表!AD46="○",[14]回答表!B396,"")</f>
        <v/>
      </c>
      <c r="V243" s="107"/>
      <c r="W243" s="107"/>
      <c r="X243" s="107"/>
      <c r="Y243" s="107"/>
      <c r="Z243" s="107"/>
      <c r="AA243" s="107"/>
      <c r="AB243" s="107"/>
      <c r="AC243" s="107"/>
      <c r="AD243" s="107"/>
      <c r="AE243" s="107"/>
      <c r="AF243" s="107"/>
      <c r="AG243" s="107"/>
      <c r="AH243" s="107"/>
      <c r="AI243" s="107"/>
      <c r="AJ243" s="108"/>
      <c r="AK243" s="56"/>
      <c r="AL243" s="56"/>
      <c r="AM243" s="106" t="str">
        <f>IF([14]回答表!AD46="○",[14]回答表!B402,"")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IF([14]回答表!X47="○","○","")</f>
        <v/>
      </c>
      <c r="O254" s="98"/>
      <c r="P254" s="98"/>
      <c r="Q254" s="99"/>
      <c r="R254" s="39"/>
      <c r="S254" s="39"/>
      <c r="T254" s="39"/>
      <c r="U254" s="106" t="str">
        <f>IF([14]回答表!X47="○",[14]回答表!B414,IF([14]回答表!AA47="○",[14]回答表!B431,""))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IF([14]回答表!X47="○",[14]回答表!B424,IF([14]回答表!AA47="○",[14]回答表!B441,""))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IF([14]回答表!X47="○",[14]回答表!G420,IF([14]回答表!AA47="○",[14]回答表!G437,""))</f>
        <v/>
      </c>
      <c r="AN256" s="119"/>
      <c r="AO256" s="119"/>
      <c r="AP256" s="119"/>
      <c r="AQ256" s="119"/>
      <c r="AR256" s="119"/>
      <c r="AS256" s="119"/>
      <c r="AT256" s="120"/>
      <c r="AU256" s="118" t="str">
        <f>IF([14]回答表!X47="○",[14]回答表!G421,IF([14]回答表!AA47="○",[14]回答表!G438,""))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IF([14]回答表!X47="○",[14]回答表!E424,IF([14]回答表!AA47="○",[14]回答表!E441,""))</f>
        <v/>
      </c>
      <c r="BF257" s="83"/>
      <c r="BG257" s="83"/>
      <c r="BH257" s="83"/>
      <c r="BI257" s="82" t="str">
        <f>IF([14]回答表!X47="○",[14]回答表!E425,IF([14]回答表!AA47="○",[14]回答表!E442,""))</f>
        <v/>
      </c>
      <c r="BJ257" s="83"/>
      <c r="BK257" s="83"/>
      <c r="BL257" s="86"/>
      <c r="BM257" s="82" t="str">
        <f>IF([14]回答表!X47="○",[14]回答表!E426,IF([14]回答表!AA47="○",[14]回答表!E443,""))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IF([14]回答表!AA47="○","○","")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IF([14]回答表!AD47="○","○","")</f>
        <v/>
      </c>
      <c r="O266" s="98"/>
      <c r="P266" s="98"/>
      <c r="Q266" s="99"/>
      <c r="R266" s="39"/>
      <c r="S266" s="39"/>
      <c r="T266" s="39"/>
      <c r="U266" s="106" t="str">
        <f>IF([14]回答表!AD47="○",[14]回答表!B448,"")</f>
        <v/>
      </c>
      <c r="V266" s="107"/>
      <c r="W266" s="107"/>
      <c r="X266" s="107"/>
      <c r="Y266" s="107"/>
      <c r="Z266" s="107"/>
      <c r="AA266" s="107"/>
      <c r="AB266" s="107"/>
      <c r="AC266" s="107"/>
      <c r="AD266" s="107"/>
      <c r="AE266" s="107"/>
      <c r="AF266" s="107"/>
      <c r="AG266" s="107"/>
      <c r="AH266" s="107"/>
      <c r="AI266" s="107"/>
      <c r="AJ266" s="108"/>
      <c r="AK266" s="50"/>
      <c r="AL266" s="50"/>
      <c r="AM266" s="106" t="str">
        <f>IF([14]回答表!AD47="○",[14]回答表!B454,"")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IF([14]回答表!R48="○",[14]回答表!B467,"")</f>
        <v>　当市水道事業は平成１７年３月に本荘、矢島、西目、鳥海の４地域の上水道を経営統合する形で創設され、平成１８年３月に由利地区簡易水道事業を譲り受けました。さらに、平成２９年３月には由利本荘市簡易水道事業の全部を譲り受ける事業統合をおこない現在に至っています。創設後は平成１７年度より黒字経営を続けており、現在累積欠損金はありません。
　今後はまず、給水人口が減少する中で料金改定を踏まえた料金収入の確保を行うとともに、施設・設備の廃止・統合を含めた効率的な施設の維持管理、その他経常費用の見直し等により経営の健全化を図っていきたいと考えております。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CE18A-61E0-48C1-AAD9-96A3CD437058}">
  <sheetPr>
    <pageSetUpPr fitToPage="1"/>
  </sheetPr>
  <dimension ref="A1:CE298"/>
  <sheetViews>
    <sheetView showZeros="0" zoomScale="55" zoomScaleNormal="55" workbookViewId="0">
      <selection activeCell="CF70" sqref="CF70"/>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IF(COUNTIF([2]回答表!K15,"*")&gt;0,[2]回答表!K15,"")</f>
        <v>由利本荘市</v>
      </c>
      <c r="D11" s="246"/>
      <c r="E11" s="246"/>
      <c r="F11" s="246"/>
      <c r="G11" s="246"/>
      <c r="H11" s="246"/>
      <c r="I11" s="246"/>
      <c r="J11" s="246"/>
      <c r="K11" s="246"/>
      <c r="L11" s="246"/>
      <c r="M11" s="246"/>
      <c r="N11" s="246"/>
      <c r="O11" s="246"/>
      <c r="P11" s="246"/>
      <c r="Q11" s="246"/>
      <c r="R11" s="246"/>
      <c r="S11" s="246"/>
      <c r="T11" s="246"/>
      <c r="U11" s="253" t="str">
        <f>IF(COUNTIF([2]回答表!F17,"*")&gt;0,[2]回答表!F17,"")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IF(COUNTIF([2]回答表!W17,"*")&gt;0,[2]回答表!W17,"")</f>
        <v>簡易排水施設</v>
      </c>
      <c r="AP11" s="248"/>
      <c r="AQ11" s="248"/>
      <c r="AR11" s="248"/>
      <c r="AS11" s="248"/>
      <c r="AT11" s="248"/>
      <c r="AU11" s="248"/>
      <c r="AV11" s="248"/>
      <c r="AW11" s="248"/>
      <c r="AX11" s="248"/>
      <c r="AY11" s="248"/>
      <c r="AZ11" s="248"/>
      <c r="BA11" s="248"/>
      <c r="BB11" s="248"/>
      <c r="BC11" s="248"/>
      <c r="BD11" s="248"/>
      <c r="BE11" s="249"/>
      <c r="BF11" s="252" t="str">
        <f>IF(COUNTIF([2]回答表!F19,"*")&gt;0,[2]回答表!F19,"")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IF([2]回答表!R41="○","○","")</f>
        <v/>
      </c>
      <c r="E24" s="122"/>
      <c r="F24" s="122"/>
      <c r="G24" s="122"/>
      <c r="H24" s="122"/>
      <c r="I24" s="122"/>
      <c r="J24" s="123"/>
      <c r="K24" s="121" t="str">
        <f>IF([2]回答表!R42="○","○","")</f>
        <v/>
      </c>
      <c r="L24" s="122"/>
      <c r="M24" s="122"/>
      <c r="N24" s="122"/>
      <c r="O24" s="122"/>
      <c r="P24" s="122"/>
      <c r="Q24" s="123"/>
      <c r="R24" s="121" t="str">
        <f>IF([2]回答表!R43="○","○","")</f>
        <v/>
      </c>
      <c r="S24" s="122"/>
      <c r="T24" s="122"/>
      <c r="U24" s="122"/>
      <c r="V24" s="122"/>
      <c r="W24" s="122"/>
      <c r="X24" s="123"/>
      <c r="Y24" s="121" t="str">
        <f>IF([2]回答表!R44="○","○","")</f>
        <v/>
      </c>
      <c r="Z24" s="122"/>
      <c r="AA24" s="122"/>
      <c r="AB24" s="122"/>
      <c r="AC24" s="122"/>
      <c r="AD24" s="122"/>
      <c r="AE24" s="123"/>
      <c r="AF24" s="121" t="str">
        <f>IF([2]回答表!R45="○","○","")</f>
        <v/>
      </c>
      <c r="AG24" s="122"/>
      <c r="AH24" s="122"/>
      <c r="AI24" s="122"/>
      <c r="AJ24" s="122"/>
      <c r="AK24" s="122"/>
      <c r="AL24" s="123"/>
      <c r="AM24" s="121" t="str">
        <f>IF([2]回答表!R46="○","○","")</f>
        <v/>
      </c>
      <c r="AN24" s="122"/>
      <c r="AO24" s="122"/>
      <c r="AP24" s="122"/>
      <c r="AQ24" s="122"/>
      <c r="AR24" s="122"/>
      <c r="AS24" s="123"/>
      <c r="AT24" s="121" t="str">
        <f>IF([2]回答表!R47="○","○","")</f>
        <v/>
      </c>
      <c r="AU24" s="122"/>
      <c r="AV24" s="122"/>
      <c r="AW24" s="122"/>
      <c r="AX24" s="122"/>
      <c r="AY24" s="122"/>
      <c r="AZ24" s="123"/>
      <c r="BA24" s="19"/>
      <c r="BB24" s="118" t="str">
        <f>IF([2]回答表!R48="○","○","")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IF([2]回答表!X41="○","○","")</f>
        <v/>
      </c>
      <c r="O36" s="98"/>
      <c r="P36" s="98"/>
      <c r="Q36" s="99"/>
      <c r="R36" s="39"/>
      <c r="S36" s="39"/>
      <c r="T36" s="39"/>
      <c r="U36" s="106" t="str">
        <f>IF([2]回答表!X41="○",[2]回答表!B56,IF([2]回答表!AA41="○",[2]回答表!B76,""))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IF([2]回答表!X41="○",[2]回答表!S62,IF([2]回答表!AA41="○",[2]回答表!S82,""))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IF([2]回答表!X41="○",[2]回答表!G62,IF([2]回答表!AA41="○",[2]回答表!G82,""))</f>
        <v/>
      </c>
      <c r="AN38" s="119"/>
      <c r="AO38" s="119"/>
      <c r="AP38" s="119"/>
      <c r="AQ38" s="119"/>
      <c r="AR38" s="119"/>
      <c r="AS38" s="119"/>
      <c r="AT38" s="120"/>
      <c r="AU38" s="118" t="str">
        <f>IF([2]回答表!X41="○",[2]回答表!G63,IF([2]回答表!AA41="○",[2]回答表!G83,""))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IF([2]回答表!X41="○",[2]回答表!V62,IF([2]回答表!AA41="○",[2]回答表!V82,""))</f>
        <v/>
      </c>
      <c r="BF39" s="199"/>
      <c r="BG39" s="199"/>
      <c r="BH39" s="200"/>
      <c r="BI39" s="82" t="str">
        <f>IF([2]回答表!X41="○",[2]回答表!V63,IF([2]回答表!AA41="○",[2]回答表!V83,""))</f>
        <v/>
      </c>
      <c r="BJ39" s="199"/>
      <c r="BK39" s="199"/>
      <c r="BL39" s="200"/>
      <c r="BM39" s="82" t="str">
        <f>IF([2]回答表!X41="○",[2]回答表!V64,IF([2]回答表!AA41="○",[2]回答表!V84,""))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IF([2]回答表!X41="○",[2]回答表!O68,IF([2]回答表!AA41="○",[2]回答表!O88,""))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IF([2]回答表!X41="○",[2]回答表!O69,IF([2]回答表!AA41="○",[2]回答表!O89,""))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IF([2]回答表!X41="○",[2]回答表!O70,IF([2]回答表!AA41="○",[2]回答表!O90,""))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IF([2]回答表!X41="○",[2]回答表!O71,IF([2]回答表!AA41="○",[2]回答表!O91,""))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IF([2]回答表!X41="○",[2]回答表!AG68,IF([2]回答表!AA41="○",[2]回答表!AG88,""))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IF([2]回答表!X41="○",[2]回答表!AG69,IF([2]回答表!AA41="○",[2]回答表!AG89,""))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IF([2]回答表!X41="○",[2]回答表!AG70,IF([2]回答表!AA41="○",[2]回答表!AG90,""))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IF([2]回答表!AD41="○","○","")</f>
        <v/>
      </c>
      <c r="O52" s="98"/>
      <c r="P52" s="98"/>
      <c r="Q52" s="99"/>
      <c r="R52" s="39"/>
      <c r="S52" s="39"/>
      <c r="T52" s="39"/>
      <c r="U52" s="106" t="str">
        <f>IF([2]回答表!AD41="○",[2]回答表!B96,"")</f>
        <v/>
      </c>
      <c r="V52" s="107"/>
      <c r="W52" s="107"/>
      <c r="X52" s="107"/>
      <c r="Y52" s="107"/>
      <c r="Z52" s="107"/>
      <c r="AA52" s="107"/>
      <c r="AB52" s="107"/>
      <c r="AC52" s="107"/>
      <c r="AD52" s="107"/>
      <c r="AE52" s="107"/>
      <c r="AF52" s="107"/>
      <c r="AG52" s="107"/>
      <c r="AH52" s="107"/>
      <c r="AI52" s="107"/>
      <c r="AJ52" s="108"/>
      <c r="AK52" s="56"/>
      <c r="AL52" s="56"/>
      <c r="AM52" s="106" t="str">
        <f>IF([2]回答表!AD41="○",[2]回答表!B101,"")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IF([2]回答表!X42="○","○","")</f>
        <v/>
      </c>
      <c r="O63" s="98"/>
      <c r="P63" s="98"/>
      <c r="Q63" s="99"/>
      <c r="R63" s="39"/>
      <c r="S63" s="39"/>
      <c r="T63" s="39"/>
      <c r="U63" s="106" t="str">
        <f>IF([2]回答表!X42="○",[2]回答表!B111,IF([2]回答表!AA42="○",[2]回答表!B124,""))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IF([2]回答表!X42="○",[2]回答表!S117,IF([2]回答表!AA42="○",[2]回答表!S130,""))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IF([2]回答表!X42="○",[2]回答表!J117,IF([2]回答表!AA42="○",[2]回答表!J130,""))</f>
        <v/>
      </c>
      <c r="AN66" s="119"/>
      <c r="AO66" s="119"/>
      <c r="AP66" s="119"/>
      <c r="AQ66" s="119"/>
      <c r="AR66" s="119"/>
      <c r="AS66" s="119"/>
      <c r="AT66" s="120"/>
      <c r="AU66" s="118" t="str">
        <f>IF([2]回答表!X42="○",[2]回答表!J118,IF([2]回答表!AA42="○",[2]回答表!J131,""))</f>
        <v/>
      </c>
      <c r="AV66" s="119"/>
      <c r="AW66" s="119"/>
      <c r="AX66" s="119"/>
      <c r="AY66" s="119"/>
      <c r="AZ66" s="119"/>
      <c r="BA66" s="119"/>
      <c r="BB66" s="120"/>
      <c r="BC66" s="40"/>
      <c r="BD66" s="35"/>
      <c r="BE66" s="82" t="str">
        <f>IF([2]回答表!X42="○",[2]回答表!V117,IF([2]回答表!AA42="○",[2]回答表!V130,""))</f>
        <v/>
      </c>
      <c r="BF66" s="83"/>
      <c r="BG66" s="83"/>
      <c r="BH66" s="83"/>
      <c r="BI66" s="82" t="str">
        <f>IF([2]回答表!X42="○",[2]回答表!V118,IF([2]回答表!AA42="○",[2]回答表!V131,""))</f>
        <v/>
      </c>
      <c r="BJ66" s="83"/>
      <c r="BK66" s="83"/>
      <c r="BL66" s="83"/>
      <c r="BM66" s="82" t="str">
        <f>IF([2]回答表!X42="○",[2]回答表!V119,IF([2]回答表!AA42="○",[2]回答表!V132,""))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IF([2]回答表!AD42="○","○","")</f>
        <v/>
      </c>
      <c r="O75" s="98"/>
      <c r="P75" s="98"/>
      <c r="Q75" s="99"/>
      <c r="R75" s="39"/>
      <c r="S75" s="39"/>
      <c r="T75" s="39"/>
      <c r="U75" s="106" t="str">
        <f>IF([2]回答表!AD42="○",[2]回答表!B137,"")</f>
        <v/>
      </c>
      <c r="V75" s="107"/>
      <c r="W75" s="107"/>
      <c r="X75" s="107"/>
      <c r="Y75" s="107"/>
      <c r="Z75" s="107"/>
      <c r="AA75" s="107"/>
      <c r="AB75" s="107"/>
      <c r="AC75" s="107"/>
      <c r="AD75" s="107"/>
      <c r="AE75" s="107"/>
      <c r="AF75" s="107"/>
      <c r="AG75" s="107"/>
      <c r="AH75" s="107"/>
      <c r="AI75" s="107"/>
      <c r="AJ75" s="108"/>
      <c r="AK75" s="56"/>
      <c r="AL75" s="56"/>
      <c r="AM75" s="106" t="str">
        <f>IF([2]回答表!AD42="○",[2]回答表!B143,"")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IF([2]回答表!F17="水道事業",IF([2]回答表!X43="○","○",""),"")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IF([2]回答表!F17="水道事業",IF([2]回答表!X43="○",[2]回答表!B154,IF([2]回答表!AA43="○",[2]回答表!B201,"")),"")</f>
        <v/>
      </c>
      <c r="AN87" s="107"/>
      <c r="AO87" s="107"/>
      <c r="AP87" s="107"/>
      <c r="AQ87" s="107"/>
      <c r="AR87" s="107"/>
      <c r="AS87" s="107"/>
      <c r="AT87" s="107"/>
      <c r="AU87" s="107"/>
      <c r="AV87" s="107"/>
      <c r="AW87" s="107"/>
      <c r="AX87" s="107"/>
      <c r="AY87" s="107"/>
      <c r="AZ87" s="107"/>
      <c r="BA87" s="107"/>
      <c r="BB87" s="108"/>
      <c r="BC87" s="40"/>
      <c r="BD87" s="35"/>
      <c r="BE87" s="115" t="str">
        <f>IF([2]回答表!F17="水道事業",IF([2]回答表!X43="○",[2]回答表!B190,IF([2]回答表!AA43="○",[2]回答表!B238,"")),"")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IF([2]回答表!F17="水道事業",IF([2]回答表!X43="○",[2]回答表!J162,IF([2]回答表!AA43="○",[2]回答表!J209,"")),"")</f>
        <v/>
      </c>
      <c r="V89" s="119"/>
      <c r="W89" s="119"/>
      <c r="X89" s="119"/>
      <c r="Y89" s="119"/>
      <c r="Z89" s="119"/>
      <c r="AA89" s="119"/>
      <c r="AB89" s="120"/>
      <c r="AC89" s="118" t="str">
        <f>IF([2]回答表!F17="水道事業",IF([2]回答表!X43="○",[2]回答表!J169,IF([2]回答表!AA43="○",[2]回答表!J216,"")),"")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IF([2]回答表!F17="水道事業",IF([2]回答表!X43="○",[2]回答表!E190,IF([2]回答表!AA43="○",[2]回答表!E238,"")),"")</f>
        <v/>
      </c>
      <c r="BF90" s="83"/>
      <c r="BG90" s="83"/>
      <c r="BH90" s="83"/>
      <c r="BI90" s="82" t="str">
        <f>IF([2]回答表!F17="水道事業",IF([2]回答表!X43="○",[2]回答表!E191,IF([2]回答表!AA43="○",[2]回答表!E239,"")),"")</f>
        <v/>
      </c>
      <c r="BJ90" s="83"/>
      <c r="BK90" s="83"/>
      <c r="BL90" s="83"/>
      <c r="BM90" s="82" t="str">
        <f>IF([2]回答表!F17="水道事業",IF([2]回答表!X43="○",[2]回答表!E192,IF([2]回答表!AA43="○",[2]回答表!E240,"")),"")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IF([2]回答表!F17="水道事業",IF([2]回答表!AA43="○","○",""),"")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IF([2]回答表!F17="水道事業",IF([2]回答表!X43="○",[2]回答表!J172,IF([2]回答表!AA43="○",[2]回答表!J219,"")),"")</f>
        <v/>
      </c>
      <c r="V94" s="119"/>
      <c r="W94" s="119"/>
      <c r="X94" s="119"/>
      <c r="Y94" s="119"/>
      <c r="Z94" s="119"/>
      <c r="AA94" s="119"/>
      <c r="AB94" s="120"/>
      <c r="AC94" s="118" t="str">
        <f>IF([2]回答表!F17="水道事業",IF([2]回答表!X43="○",[2]回答表!J176,IF([2]回答表!AA43="○",[2]回答表!J223,"")),"")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IF([2]回答表!F17="水道事業",IF([2]回答表!AD43="○","○",""),"")</f>
        <v/>
      </c>
      <c r="O99" s="98"/>
      <c r="P99" s="98"/>
      <c r="Q99" s="99"/>
      <c r="R99" s="39"/>
      <c r="S99" s="39"/>
      <c r="T99" s="39"/>
      <c r="U99" s="106" t="str">
        <f>IF([2]回答表!F17="水道事業",IF([2]回答表!AD43="○",[2]回答表!B249,""),"")</f>
        <v/>
      </c>
      <c r="V99" s="107"/>
      <c r="W99" s="107"/>
      <c r="X99" s="107"/>
      <c r="Y99" s="107"/>
      <c r="Z99" s="107"/>
      <c r="AA99" s="107"/>
      <c r="AB99" s="107"/>
      <c r="AC99" s="107"/>
      <c r="AD99" s="107"/>
      <c r="AE99" s="107"/>
      <c r="AF99" s="107"/>
      <c r="AG99" s="107"/>
      <c r="AH99" s="107"/>
      <c r="AI99" s="107"/>
      <c r="AJ99" s="108"/>
      <c r="AK99" s="56"/>
      <c r="AL99" s="56"/>
      <c r="AM99" s="106" t="str">
        <f>IF([2]回答表!F17="水道事業",IF([2]回答表!AD43="○",[2]回答表!B255,""),"")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IF([2]回答表!F17="簡易水道事業",IF([2]回答表!X43="○","○",""),"")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IF([2]回答表!F17="簡易水道事業",IF([2]回答表!X43="○",[2]回答表!B154,IF([2]回答表!AA43="○",[2]回答表!B201,"")),"")</f>
        <v/>
      </c>
      <c r="AN111" s="107"/>
      <c r="AO111" s="107"/>
      <c r="AP111" s="107"/>
      <c r="AQ111" s="107"/>
      <c r="AR111" s="107"/>
      <c r="AS111" s="107"/>
      <c r="AT111" s="107"/>
      <c r="AU111" s="107"/>
      <c r="AV111" s="107"/>
      <c r="AW111" s="107"/>
      <c r="AX111" s="107"/>
      <c r="AY111" s="107"/>
      <c r="AZ111" s="107"/>
      <c r="BA111" s="107"/>
      <c r="BB111" s="108"/>
      <c r="BC111" s="40"/>
      <c r="BD111" s="35"/>
      <c r="BE111" s="115" t="str">
        <f>IF([2]回答表!F17="簡易水道事業",IF([2]回答表!X43="○",[2]回答表!B190,IF([2]回答表!AA43="○",[2]回答表!B238,"")),"")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IF([2]回答表!F17="簡易水道事業",IF([2]回答表!X43="○",[2]回答表!Y181,IF([2]回答表!AA43="○",[2]回答表!Y229,"")),"")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IF([2]回答表!F17="簡易水道事業",IF([2]回答表!X43="○",[2]回答表!E190,IF([2]回答表!AA43="○",[2]回答表!E238,"")),"")</f>
        <v/>
      </c>
      <c r="BF114" s="83"/>
      <c r="BG114" s="83"/>
      <c r="BH114" s="83"/>
      <c r="BI114" s="82" t="str">
        <f>IF([2]回答表!F17="簡易水道事業",IF([2]回答表!X43="○",[2]回答表!E191,IF([2]回答表!AA43="○",[2]回答表!E239,"")),"")</f>
        <v/>
      </c>
      <c r="BJ114" s="83"/>
      <c r="BK114" s="83"/>
      <c r="BL114" s="83"/>
      <c r="BM114" s="82" t="str">
        <f>IF([2]回答表!F17="簡易水道事業",IF([2]回答表!X43="○",[2]回答表!E192,IF([2]回答表!AA43="○",[2]回答表!E240,"")),"")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IF([2]回答表!F17="簡易水道事業",IF([2]回答表!AA43="○","○",""),"")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IF([2]回答表!F17="簡易水道事業",IF([2]回答表!X43="○",[2]回答表!Y182,IF([2]回答表!AA43="○",[2]回答表!Y230,"")),"")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IF([2]回答表!F17="簡易水道事業",IF([2]回答表!AD43="○","○",""),"")</f>
        <v/>
      </c>
      <c r="O123" s="98"/>
      <c r="P123" s="98"/>
      <c r="Q123" s="99"/>
      <c r="R123" s="39"/>
      <c r="S123" s="39"/>
      <c r="T123" s="39"/>
      <c r="U123" s="106" t="str">
        <f>IF([2]回答表!F17="簡易水道事業",IF([2]回答表!AD43="○",[2]回答表!B249,""),"")</f>
        <v/>
      </c>
      <c r="V123" s="107"/>
      <c r="W123" s="107"/>
      <c r="X123" s="107"/>
      <c r="Y123" s="107"/>
      <c r="Z123" s="107"/>
      <c r="AA123" s="107"/>
      <c r="AB123" s="107"/>
      <c r="AC123" s="107"/>
      <c r="AD123" s="107"/>
      <c r="AE123" s="107"/>
      <c r="AF123" s="107"/>
      <c r="AG123" s="107"/>
      <c r="AH123" s="107"/>
      <c r="AI123" s="107"/>
      <c r="AJ123" s="108"/>
      <c r="AK123" s="56"/>
      <c r="AL123" s="56"/>
      <c r="AM123" s="106" t="str">
        <f>IF([2]回答表!F17="簡易水道事業",IF([2]回答表!AD43="○",[2]回答表!B255,""),"")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IF([2]回答表!F17="下水道事業",IF([2]回答表!X43="○","○",""),"")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IF([2]回答表!F17="下水道事業",IF([2]回答表!X43="○",[2]回答表!B154,IF([2]回答表!AA43="○",[2]回答表!B201,"")),"")</f>
        <v/>
      </c>
      <c r="AN135" s="107"/>
      <c r="AO135" s="107"/>
      <c r="AP135" s="107"/>
      <c r="AQ135" s="107"/>
      <c r="AR135" s="107"/>
      <c r="AS135" s="107"/>
      <c r="AT135" s="107"/>
      <c r="AU135" s="107"/>
      <c r="AV135" s="107"/>
      <c r="AW135" s="107"/>
      <c r="AX135" s="107"/>
      <c r="AY135" s="107"/>
      <c r="AZ135" s="107"/>
      <c r="BA135" s="107"/>
      <c r="BB135" s="108"/>
      <c r="BC135" s="40"/>
      <c r="BD135" s="35"/>
      <c r="BE135" s="115" t="str">
        <f>IF([2]回答表!F17="下水道事業",IF([2]回答表!X43="○",[2]回答表!B190,IF([2]回答表!AA43="○",[2]回答表!B238,"")),"")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IF([2]回答表!F17="下水道事業",IF([2]回答表!X43="○",[2]回答表!Y184,IF([2]回答表!AA43="○",[2]回答表!Y232,"")),"")</f>
        <v/>
      </c>
      <c r="V137" s="119"/>
      <c r="W137" s="119"/>
      <c r="X137" s="119"/>
      <c r="Y137" s="119"/>
      <c r="Z137" s="119"/>
      <c r="AA137" s="119"/>
      <c r="AB137" s="120"/>
      <c r="AC137" s="118" t="str">
        <f>IF([2]回答表!F17="下水道事業",IF([2]回答表!X43="○",[2]回答表!Y185,IF([2]回答表!AA43="○",[2]回答表!Y233,"")),"")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IF([2]回答表!F17="下水道事業",IF([2]回答表!X43="○",[2]回答表!E190,IF([2]回答表!AA43="○",[2]回答表!E238,"")),"")</f>
        <v/>
      </c>
      <c r="BF138" s="83"/>
      <c r="BG138" s="83"/>
      <c r="BH138" s="83"/>
      <c r="BI138" s="82" t="str">
        <f>IF([2]回答表!F17="下水道事業",IF([2]回答表!X43="○",[2]回答表!E191,IF([2]回答表!AA43="○",[2]回答表!E239,"")),"")</f>
        <v/>
      </c>
      <c r="BJ138" s="83"/>
      <c r="BK138" s="83"/>
      <c r="BL138" s="83"/>
      <c r="BM138" s="82" t="str">
        <f>IF([2]回答表!F17="下水道事業",IF([2]回答表!X43="○",[2]回答表!E192,IF([2]回答表!AA43="○",[2]回答表!E240,"")),"")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IF([2]回答表!F17="下水道事業",IF([2]回答表!AA43="○","○",""),"")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IF([2]回答表!F17="下水道事業",IF([2]回答表!X43="○",[2]回答表!Y186,IF([2]回答表!AA43="○",[2]回答表!Y234,"")),"")</f>
        <v/>
      </c>
      <c r="V142" s="119"/>
      <c r="W142" s="119"/>
      <c r="X142" s="119"/>
      <c r="Y142" s="119"/>
      <c r="Z142" s="119"/>
      <c r="AA142" s="119"/>
      <c r="AB142" s="120"/>
      <c r="AC142" s="118" t="str">
        <f>IF([2]回答表!F17="下水道事業",IF([2]回答表!X43="○",[2]回答表!Y187,IF([2]回答表!AA43="○",[2]回答表!Y235,"")),"")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IF([2]回答表!F17="下水道事業",IF([2]回答表!AD43="○","○",""),"")</f>
        <v/>
      </c>
      <c r="O147" s="98"/>
      <c r="P147" s="98"/>
      <c r="Q147" s="99"/>
      <c r="R147" s="39"/>
      <c r="S147" s="39"/>
      <c r="T147" s="39"/>
      <c r="U147" s="106" t="str">
        <f>IF([2]回答表!F17="下水道事業",IF([2]回答表!AD43="○",[2]回答表!B249,""),"")</f>
        <v/>
      </c>
      <c r="V147" s="107"/>
      <c r="W147" s="107"/>
      <c r="X147" s="107"/>
      <c r="Y147" s="107"/>
      <c r="Z147" s="107"/>
      <c r="AA147" s="107"/>
      <c r="AB147" s="107"/>
      <c r="AC147" s="107"/>
      <c r="AD147" s="107"/>
      <c r="AE147" s="107"/>
      <c r="AF147" s="107"/>
      <c r="AG147" s="107"/>
      <c r="AH147" s="107"/>
      <c r="AI147" s="107"/>
      <c r="AJ147" s="108"/>
      <c r="AK147" s="56"/>
      <c r="AL147" s="56"/>
      <c r="AM147" s="106" t="str">
        <f>IF([2]回答表!F17="下水道事業",IF([2]回答表!AD43="○",[2]回答表!B255,""),"")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IF([2]回答表!BD17="○",IF([2]回答表!X43="○","○",""),"")</f>
        <v/>
      </c>
      <c r="O159" s="98"/>
      <c r="P159" s="98"/>
      <c r="Q159" s="99"/>
      <c r="R159" s="39"/>
      <c r="S159" s="39"/>
      <c r="T159" s="39"/>
      <c r="U159" s="106" t="str">
        <f>IF([2]回答表!BD17="○",IF([2]回答表!X43="○",[2]回答表!B154,IF([2]回答表!AA43="○",[2]回答表!B201,"")),"")</f>
        <v/>
      </c>
      <c r="V159" s="107"/>
      <c r="W159" s="107"/>
      <c r="X159" s="107"/>
      <c r="Y159" s="107"/>
      <c r="Z159" s="107"/>
      <c r="AA159" s="107"/>
      <c r="AB159" s="107"/>
      <c r="AC159" s="107"/>
      <c r="AD159" s="107"/>
      <c r="AE159" s="107"/>
      <c r="AF159" s="107"/>
      <c r="AG159" s="107"/>
      <c r="AH159" s="107"/>
      <c r="AI159" s="107"/>
      <c r="AJ159" s="108"/>
      <c r="AK159" s="50"/>
      <c r="AL159" s="50"/>
      <c r="AM159" s="115" t="str">
        <f>IF([2]回答表!BD17="○",IF([2]回答表!X43="○",[2]回答表!B190,IF([2]回答表!AA43="○",[2]回答表!B238,"")),"")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IF([2]回答表!BD17="○",IF([2]回答表!X43="○",[2]回答表!E190,IF([2]回答表!AA43="○",[2]回答表!E238,"")),"")</f>
        <v/>
      </c>
      <c r="AN162" s="83"/>
      <c r="AO162" s="83"/>
      <c r="AP162" s="83"/>
      <c r="AQ162" s="82" t="str">
        <f>IF([2]回答表!BD17="○",IF([2]回答表!X43="○",[2]回答表!E191,IF([2]回答表!AA43="○",[2]回答表!E239,"")),"")</f>
        <v/>
      </c>
      <c r="AR162" s="83"/>
      <c r="AS162" s="83"/>
      <c r="AT162" s="83"/>
      <c r="AU162" s="82" t="str">
        <f>IF([2]回答表!BD17="○",IF([2]回答表!X43="○",[2]回答表!E192,IF([2]回答表!AA43="○",[2]回答表!E240,"")),"")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IF([2]回答表!BD17="○",IF([2]回答表!AA43="○","○",""),"")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IF([2]回答表!BD17="○",IF([2]回答表!AD43="○","○",""),"")</f>
        <v/>
      </c>
      <c r="O171" s="98"/>
      <c r="P171" s="98"/>
      <c r="Q171" s="99"/>
      <c r="R171" s="39"/>
      <c r="S171" s="39"/>
      <c r="T171" s="39"/>
      <c r="U171" s="106" t="str">
        <f>IF([2]回答表!BD17="○",IF([2]回答表!AD43="○",[2]回答表!B249,""),"")</f>
        <v/>
      </c>
      <c r="V171" s="107"/>
      <c r="W171" s="107"/>
      <c r="X171" s="107"/>
      <c r="Y171" s="107"/>
      <c r="Z171" s="107"/>
      <c r="AA171" s="107"/>
      <c r="AB171" s="107"/>
      <c r="AC171" s="107"/>
      <c r="AD171" s="107"/>
      <c r="AE171" s="107"/>
      <c r="AF171" s="107"/>
      <c r="AG171" s="107"/>
      <c r="AH171" s="107"/>
      <c r="AI171" s="107"/>
      <c r="AJ171" s="108"/>
      <c r="AK171" s="56"/>
      <c r="AL171" s="56"/>
      <c r="AM171" s="106" t="str">
        <f>IF([2]回答表!BD17="○",IF([2]回答表!AD43="○",[2]回答表!B255,""),"")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IF([2]回答表!X44="○","○","")</f>
        <v/>
      </c>
      <c r="O183" s="98"/>
      <c r="P183" s="98"/>
      <c r="Q183" s="99"/>
      <c r="R183" s="39"/>
      <c r="S183" s="39"/>
      <c r="T183" s="39"/>
      <c r="U183" s="106" t="str">
        <f>IF([2]回答表!X44="○",[2]回答表!B266,IF([2]回答表!AA44="○",[2]回答表!B283,""))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IF([2]回答表!X44="○",[2]回答表!U272,IF([2]回答表!AA44="○",[2]回答表!U289,""))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IF([2]回答表!X44="○",[2]回答表!G272,IF([2]回答表!AA44="○",[2]回答表!G289,""))</f>
        <v/>
      </c>
      <c r="AN186" s="119"/>
      <c r="AO186" s="119"/>
      <c r="AP186" s="119"/>
      <c r="AQ186" s="119"/>
      <c r="AR186" s="119"/>
      <c r="AS186" s="119"/>
      <c r="AT186" s="120"/>
      <c r="AU186" s="118" t="str">
        <f>IF([2]回答表!X44="○",[2]回答表!G273,IF([2]回答表!AA44="○",[2]回答表!G290,""))</f>
        <v/>
      </c>
      <c r="AV186" s="119"/>
      <c r="AW186" s="119"/>
      <c r="AX186" s="119"/>
      <c r="AY186" s="119"/>
      <c r="AZ186" s="119"/>
      <c r="BA186" s="119"/>
      <c r="BB186" s="120"/>
      <c r="BC186" s="40"/>
      <c r="BD186" s="35"/>
      <c r="BE186" s="82" t="str">
        <f>IF([2]回答表!X44="○",[2]回答表!X272,IF([2]回答表!AA44="○",[2]回答表!X289,""))</f>
        <v/>
      </c>
      <c r="BF186" s="83"/>
      <c r="BG186" s="83"/>
      <c r="BH186" s="83"/>
      <c r="BI186" s="82" t="str">
        <f>IF([2]回答表!X44="○",[2]回答表!X273,IF([2]回答表!AA44="○",[2]回答表!X290,""))</f>
        <v/>
      </c>
      <c r="BJ186" s="83"/>
      <c r="BK186" s="83"/>
      <c r="BL186" s="86"/>
      <c r="BM186" s="82" t="str">
        <f>IF([2]回答表!X44="○",[2]回答表!X274,IF([2]回答表!AA44="○",[2]回答表!X291,""))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IF([2]回答表!AA44="○","○","")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IF([2]回答表!AD44="○","○","")</f>
        <v/>
      </c>
      <c r="O195" s="98"/>
      <c r="P195" s="98"/>
      <c r="Q195" s="99"/>
      <c r="R195" s="39"/>
      <c r="S195" s="39"/>
      <c r="T195" s="39"/>
      <c r="U195" s="106" t="str">
        <f>IF([2]回答表!AD44="○",[2]回答表!B296,"")</f>
        <v/>
      </c>
      <c r="V195" s="107"/>
      <c r="W195" s="107"/>
      <c r="X195" s="107"/>
      <c r="Y195" s="107"/>
      <c r="Z195" s="107"/>
      <c r="AA195" s="107"/>
      <c r="AB195" s="107"/>
      <c r="AC195" s="107"/>
      <c r="AD195" s="107"/>
      <c r="AE195" s="107"/>
      <c r="AF195" s="107"/>
      <c r="AG195" s="107"/>
      <c r="AH195" s="107"/>
      <c r="AI195" s="107"/>
      <c r="AJ195" s="108"/>
      <c r="AK195" s="61"/>
      <c r="AL195" s="61"/>
      <c r="AM195" s="106" t="str">
        <f>IF([2]回答表!AD44="○",[2]回答表!B302,"")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IF([2]回答表!X45="○","○","")</f>
        <v/>
      </c>
      <c r="O207" s="98"/>
      <c r="P207" s="98"/>
      <c r="Q207" s="99"/>
      <c r="R207" s="39"/>
      <c r="S207" s="39"/>
      <c r="T207" s="39"/>
      <c r="U207" s="106" t="str">
        <f>IF([2]回答表!X45="○",[2]回答表!B314,IF([2]回答表!AA45="○",[2]回答表!B337,""))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IF([2]回答表!X45="○",[2]回答表!B320,"")</f>
        <v/>
      </c>
      <c r="AO207" s="164"/>
      <c r="AP207" s="164"/>
      <c r="AQ207" s="164"/>
      <c r="AR207" s="164"/>
      <c r="AS207" s="164"/>
      <c r="AT207" s="164"/>
      <c r="AU207" s="164"/>
      <c r="AV207" s="164"/>
      <c r="AW207" s="164"/>
      <c r="AX207" s="164"/>
      <c r="AY207" s="164"/>
      <c r="AZ207" s="164"/>
      <c r="BA207" s="164"/>
      <c r="BB207" s="165"/>
      <c r="BC207" s="40"/>
      <c r="BD207" s="35"/>
      <c r="BE207" s="115" t="str">
        <f>IF([2]回答表!X45="○",[2]回答表!B326,IF([2]回答表!AA45="○",[2]回答表!B343,""))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IF([2]回答表!X45="○",[2]回答表!E326,IF([2]回答表!AA45="○",[2]回答表!E343,""))</f>
        <v/>
      </c>
      <c r="BF210" s="83"/>
      <c r="BG210" s="83"/>
      <c r="BH210" s="83"/>
      <c r="BI210" s="82" t="str">
        <f>IF([2]回答表!X45="○",[2]回答表!E327,IF([2]回答表!AA45="○",[2]回答表!E344,""))</f>
        <v/>
      </c>
      <c r="BJ210" s="83"/>
      <c r="BK210" s="83"/>
      <c r="BL210" s="86"/>
      <c r="BM210" s="82" t="str">
        <f>IF([2]回答表!X45="○",[2]回答表!E328,IF([2]回答表!AA45="○",[2]回答表!E345,""))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IF([2]回答表!AD45="○","○","")</f>
        <v/>
      </c>
      <c r="O219" s="98"/>
      <c r="P219" s="98"/>
      <c r="Q219" s="99"/>
      <c r="R219" s="39"/>
      <c r="S219" s="39"/>
      <c r="T219" s="39"/>
      <c r="U219" s="106" t="str">
        <f>IF([2]回答表!AD45="○",[2]回答表!B350,"")</f>
        <v/>
      </c>
      <c r="V219" s="107"/>
      <c r="W219" s="107"/>
      <c r="X219" s="107"/>
      <c r="Y219" s="107"/>
      <c r="Z219" s="107"/>
      <c r="AA219" s="107"/>
      <c r="AB219" s="107"/>
      <c r="AC219" s="107"/>
      <c r="AD219" s="107"/>
      <c r="AE219" s="107"/>
      <c r="AF219" s="107"/>
      <c r="AG219" s="107"/>
      <c r="AH219" s="107"/>
      <c r="AI219" s="107"/>
      <c r="AJ219" s="108"/>
      <c r="AK219" s="61"/>
      <c r="AL219" s="61"/>
      <c r="AM219" s="106" t="str">
        <f>IF([2]回答表!AD45="○",[2]回答表!B356,"")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IF([2]回答表!X46="○","○","")</f>
        <v/>
      </c>
      <c r="O231" s="98"/>
      <c r="P231" s="98"/>
      <c r="Q231" s="99"/>
      <c r="R231" s="39"/>
      <c r="S231" s="39"/>
      <c r="T231" s="39"/>
      <c r="U231" s="106" t="str">
        <f>IF([2]回答表!X46="○",[2]回答表!B368,IF([2]回答表!AA46="○",[2]回答表!B382,""))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IF([2]回答表!X46="○",[2]回答表!BC375,IF([2]回答表!AA46="○",[2]回答表!BC389,""))</f>
        <v/>
      </c>
      <c r="AR231" s="150"/>
      <c r="AS231" s="150"/>
      <c r="AT231" s="150"/>
      <c r="AU231" s="155" t="s">
        <v>63</v>
      </c>
      <c r="AV231" s="156"/>
      <c r="AW231" s="156"/>
      <c r="AX231" s="157"/>
      <c r="AY231" s="150" t="str">
        <f>IF([2]回答表!X46="○",[2]回答表!BC380,IF([2]回答表!AA46="○",[2]回答表!BC394,""))</f>
        <v/>
      </c>
      <c r="AZ231" s="150"/>
      <c r="BA231" s="150"/>
      <c r="BB231" s="150"/>
      <c r="BC231" s="40"/>
      <c r="BD231" s="35"/>
      <c r="BE231" s="115" t="str">
        <f>IF([2]回答表!X46="○",[2]回答表!S374,IF([2]回答表!AA46="○",[2]回答表!S388,""))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IF([2]回答表!X46="○",[2]回答表!BC376,IF([2]回答表!AA46="○",[2]回答表!BC390,""))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IF([2]回答表!X46="○",[2]回答表!V374,IF([2]回答表!AA46="○",[2]回答表!V388,""))</f>
        <v/>
      </c>
      <c r="BF234" s="83"/>
      <c r="BG234" s="83"/>
      <c r="BH234" s="83"/>
      <c r="BI234" s="82" t="str">
        <f>IF([2]回答表!X46="○",[2]回答表!V375,IF([2]回答表!AA46="○",[2]回答表!V389,""))</f>
        <v/>
      </c>
      <c r="BJ234" s="83"/>
      <c r="BK234" s="83"/>
      <c r="BL234" s="86"/>
      <c r="BM234" s="82" t="str">
        <f>IF([2]回答表!X46="○",[2]回答表!V376,IF([2]回答表!AA46="○",[2]回答表!V390,""))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IF([2]回答表!X46="○",[2]回答表!BC377,IF([2]回答表!AA46="○",[2]回答表!BC391,""))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IF([2]回答表!X46="○",[2]回答表!BC381,IF([2]回答表!AA46="○",[2]回答表!BC395,""))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IF([2]回答表!AA46="○","○","")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IF([2]回答表!X46="○",[2]回答表!BC378,IF([2]回答表!AA46="○",[2]回答表!BC392,""))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IF([2]回答表!X46="○",[2]回答表!BC379,IF([2]回答表!AA46="○",[2]回答表!BC393,""))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IF([2]回答表!AD46="○","○","")</f>
        <v/>
      </c>
      <c r="O243" s="98"/>
      <c r="P243" s="98"/>
      <c r="Q243" s="99"/>
      <c r="R243" s="39"/>
      <c r="S243" s="39"/>
      <c r="T243" s="39"/>
      <c r="U243" s="106" t="str">
        <f>IF([2]回答表!AD46="○",[2]回答表!B396,"")</f>
        <v/>
      </c>
      <c r="V243" s="107"/>
      <c r="W243" s="107"/>
      <c r="X243" s="107"/>
      <c r="Y243" s="107"/>
      <c r="Z243" s="107"/>
      <c r="AA243" s="107"/>
      <c r="AB243" s="107"/>
      <c r="AC243" s="107"/>
      <c r="AD243" s="107"/>
      <c r="AE243" s="107"/>
      <c r="AF243" s="107"/>
      <c r="AG243" s="107"/>
      <c r="AH243" s="107"/>
      <c r="AI243" s="107"/>
      <c r="AJ243" s="108"/>
      <c r="AK243" s="56"/>
      <c r="AL243" s="56"/>
      <c r="AM243" s="106" t="str">
        <f>IF([2]回答表!AD46="○",[2]回答表!B402,"")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IF([2]回答表!X47="○","○","")</f>
        <v/>
      </c>
      <c r="O254" s="98"/>
      <c r="P254" s="98"/>
      <c r="Q254" s="99"/>
      <c r="R254" s="39"/>
      <c r="S254" s="39"/>
      <c r="T254" s="39"/>
      <c r="U254" s="106" t="str">
        <f>IF([2]回答表!X47="○",[2]回答表!B414,IF([2]回答表!AA47="○",[2]回答表!B431,""))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IF([2]回答表!X47="○",[2]回答表!B424,IF([2]回答表!AA47="○",[2]回答表!B441,""))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IF([2]回答表!X47="○",[2]回答表!G420,IF([2]回答表!AA47="○",[2]回答表!G437,""))</f>
        <v/>
      </c>
      <c r="AN256" s="119"/>
      <c r="AO256" s="119"/>
      <c r="AP256" s="119"/>
      <c r="AQ256" s="119"/>
      <c r="AR256" s="119"/>
      <c r="AS256" s="119"/>
      <c r="AT256" s="120"/>
      <c r="AU256" s="118" t="str">
        <f>IF([2]回答表!X47="○",[2]回答表!G421,IF([2]回答表!AA47="○",[2]回答表!G438,""))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IF([2]回答表!X47="○",[2]回答表!E424,IF([2]回答表!AA47="○",[2]回答表!E441,""))</f>
        <v/>
      </c>
      <c r="BF257" s="83"/>
      <c r="BG257" s="83"/>
      <c r="BH257" s="83"/>
      <c r="BI257" s="82" t="str">
        <f>IF([2]回答表!X47="○",[2]回答表!E425,IF([2]回答表!AA47="○",[2]回答表!E442,""))</f>
        <v/>
      </c>
      <c r="BJ257" s="83"/>
      <c r="BK257" s="83"/>
      <c r="BL257" s="86"/>
      <c r="BM257" s="82" t="str">
        <f>IF([2]回答表!X47="○",[2]回答表!E426,IF([2]回答表!AA47="○",[2]回答表!E443,""))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IF([2]回答表!AD47="○","○","")</f>
        <v/>
      </c>
      <c r="O266" s="98"/>
      <c r="P266" s="98"/>
      <c r="Q266" s="99"/>
      <c r="R266" s="39"/>
      <c r="S266" s="39"/>
      <c r="T266" s="39"/>
      <c r="U266" s="106" t="str">
        <f>IF([2]回答表!AD47="○",[2]回答表!B448,"")</f>
        <v/>
      </c>
      <c r="V266" s="107"/>
      <c r="W266" s="107"/>
      <c r="X266" s="107"/>
      <c r="Y266" s="107"/>
      <c r="Z266" s="107"/>
      <c r="AA266" s="107"/>
      <c r="AB266" s="107"/>
      <c r="AC266" s="107"/>
      <c r="AD266" s="107"/>
      <c r="AE266" s="107"/>
      <c r="AF266" s="107"/>
      <c r="AG266" s="107"/>
      <c r="AH266" s="107"/>
      <c r="AI266" s="107"/>
      <c r="AJ266" s="108"/>
      <c r="AK266" s="50"/>
      <c r="AL266" s="50"/>
      <c r="AM266" s="106" t="str">
        <f>IF([2]回答表!AD47="○",[2]回答表!B454,"")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IF([2]回答表!R48="○",[2]回答表!B467,"")</f>
        <v>　令和2年4月1日より公営企業化し、今年度改めて経営戦略を策定することとしている。このなかで、現状分析や将来予測を行い、今後の財政計画を作成する上で課題を明確化することで、今後の抜本的な改革の検討ににつながるものと考えているため、現段階では現行の経営体制・手法の継続とした。</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5"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0BD2B-2181-4653-9495-EE6EC0CE4950}">
  <sheetPr>
    <pageSetUpPr fitToPage="1"/>
  </sheetPr>
  <dimension ref="A1:CE298"/>
  <sheetViews>
    <sheetView showZeros="0"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IF(COUNTIF([4]回答表!K15,"*")&gt;0,[4]回答表!K15,"")</f>
        <v>由利本荘市</v>
      </c>
      <c r="D11" s="246"/>
      <c r="E11" s="246"/>
      <c r="F11" s="246"/>
      <c r="G11" s="246"/>
      <c r="H11" s="246"/>
      <c r="I11" s="246"/>
      <c r="J11" s="246"/>
      <c r="K11" s="246"/>
      <c r="L11" s="246"/>
      <c r="M11" s="246"/>
      <c r="N11" s="246"/>
      <c r="O11" s="246"/>
      <c r="P11" s="246"/>
      <c r="Q11" s="246"/>
      <c r="R11" s="246"/>
      <c r="S11" s="246"/>
      <c r="T11" s="246"/>
      <c r="U11" s="253" t="str">
        <f>IF(COUNTIF([4]回答表!F17,"*")&gt;0,[4]回答表!F17,"")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IF(COUNTIF([4]回答表!W17,"*")&gt;0,[4]回答表!W17,"")</f>
        <v>個別排水処理施設</v>
      </c>
      <c r="AP11" s="248"/>
      <c r="AQ11" s="248"/>
      <c r="AR11" s="248"/>
      <c r="AS11" s="248"/>
      <c r="AT11" s="248"/>
      <c r="AU11" s="248"/>
      <c r="AV11" s="248"/>
      <c r="AW11" s="248"/>
      <c r="AX11" s="248"/>
      <c r="AY11" s="248"/>
      <c r="AZ11" s="248"/>
      <c r="BA11" s="248"/>
      <c r="BB11" s="248"/>
      <c r="BC11" s="248"/>
      <c r="BD11" s="248"/>
      <c r="BE11" s="249"/>
      <c r="BF11" s="252" t="str">
        <f>IF(COUNTIF([4]回答表!F19,"*")&gt;0,[4]回答表!F19,"")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IF([4]回答表!R41="○","○","")</f>
        <v/>
      </c>
      <c r="E24" s="122"/>
      <c r="F24" s="122"/>
      <c r="G24" s="122"/>
      <c r="H24" s="122"/>
      <c r="I24" s="122"/>
      <c r="J24" s="123"/>
      <c r="K24" s="121" t="str">
        <f>IF([4]回答表!R42="○","○","")</f>
        <v/>
      </c>
      <c r="L24" s="122"/>
      <c r="M24" s="122"/>
      <c r="N24" s="122"/>
      <c r="O24" s="122"/>
      <c r="P24" s="122"/>
      <c r="Q24" s="123"/>
      <c r="R24" s="121" t="str">
        <f>IF([4]回答表!R43="○","○","")</f>
        <v/>
      </c>
      <c r="S24" s="122"/>
      <c r="T24" s="122"/>
      <c r="U24" s="122"/>
      <c r="V24" s="122"/>
      <c r="W24" s="122"/>
      <c r="X24" s="123"/>
      <c r="Y24" s="121" t="str">
        <f>IF([4]回答表!R44="○","○","")</f>
        <v/>
      </c>
      <c r="Z24" s="122"/>
      <c r="AA24" s="122"/>
      <c r="AB24" s="122"/>
      <c r="AC24" s="122"/>
      <c r="AD24" s="122"/>
      <c r="AE24" s="123"/>
      <c r="AF24" s="121" t="str">
        <f>IF([4]回答表!R45="○","○","")</f>
        <v/>
      </c>
      <c r="AG24" s="122"/>
      <c r="AH24" s="122"/>
      <c r="AI24" s="122"/>
      <c r="AJ24" s="122"/>
      <c r="AK24" s="122"/>
      <c r="AL24" s="123"/>
      <c r="AM24" s="121" t="str">
        <f>IF([4]回答表!R46="○","○","")</f>
        <v/>
      </c>
      <c r="AN24" s="122"/>
      <c r="AO24" s="122"/>
      <c r="AP24" s="122"/>
      <c r="AQ24" s="122"/>
      <c r="AR24" s="122"/>
      <c r="AS24" s="123"/>
      <c r="AT24" s="121" t="str">
        <f>IF([4]回答表!R47="○","○","")</f>
        <v/>
      </c>
      <c r="AU24" s="122"/>
      <c r="AV24" s="122"/>
      <c r="AW24" s="122"/>
      <c r="AX24" s="122"/>
      <c r="AY24" s="122"/>
      <c r="AZ24" s="123"/>
      <c r="BA24" s="19"/>
      <c r="BB24" s="118" t="str">
        <f>IF([4]回答表!R48="○","○","")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IF([4]回答表!X41="○","○","")</f>
        <v/>
      </c>
      <c r="O36" s="98"/>
      <c r="P36" s="98"/>
      <c r="Q36" s="99"/>
      <c r="R36" s="39"/>
      <c r="S36" s="39"/>
      <c r="T36" s="39"/>
      <c r="U36" s="106" t="str">
        <f>IF([4]回答表!X41="○",[4]回答表!B56,IF([4]回答表!AA41="○",[4]回答表!B76,""))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IF([4]回答表!X41="○",[4]回答表!S62,IF([4]回答表!AA41="○",[4]回答表!S82,""))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IF([4]回答表!X41="○",[4]回答表!G62,IF([4]回答表!AA41="○",[4]回答表!G82,""))</f>
        <v/>
      </c>
      <c r="AN38" s="119"/>
      <c r="AO38" s="119"/>
      <c r="AP38" s="119"/>
      <c r="AQ38" s="119"/>
      <c r="AR38" s="119"/>
      <c r="AS38" s="119"/>
      <c r="AT38" s="120"/>
      <c r="AU38" s="118" t="str">
        <f>IF([4]回答表!X41="○",[4]回答表!G63,IF([4]回答表!AA41="○",[4]回答表!G83,""))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IF([4]回答表!X41="○",[4]回答表!V62,IF([4]回答表!AA41="○",[4]回答表!V82,""))</f>
        <v/>
      </c>
      <c r="BF39" s="199"/>
      <c r="BG39" s="199"/>
      <c r="BH39" s="200"/>
      <c r="BI39" s="82" t="str">
        <f>IF([4]回答表!X41="○",[4]回答表!V63,IF([4]回答表!AA41="○",[4]回答表!V83,""))</f>
        <v/>
      </c>
      <c r="BJ39" s="199"/>
      <c r="BK39" s="199"/>
      <c r="BL39" s="200"/>
      <c r="BM39" s="82" t="str">
        <f>IF([4]回答表!X41="○",[4]回答表!V64,IF([4]回答表!AA41="○",[4]回答表!V84,""))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IF([4]回答表!X41="○",[4]回答表!O68,IF([4]回答表!AA41="○",[4]回答表!O88,""))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IF([4]回答表!X41="○",[4]回答表!O69,IF([4]回答表!AA41="○",[4]回答表!O89,""))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IF([4]回答表!AA41="○","○","")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IF([4]回答表!X41="○",[4]回答表!O70,IF([4]回答表!AA41="○",[4]回答表!O90,""))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IF([4]回答表!X41="○",[4]回答表!O71,IF([4]回答表!AA41="○",[4]回答表!O91,""))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IF([4]回答表!X41="○",[4]回答表!AG68,IF([4]回答表!AA41="○",[4]回答表!AG88,""))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IF([4]回答表!X41="○",[4]回答表!AG69,IF([4]回答表!AA41="○",[4]回答表!AG89,""))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IF([4]回答表!X41="○",[4]回答表!AG70,IF([4]回答表!AA41="○",[4]回答表!AG90,""))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IF([4]回答表!AD41="○","○","")</f>
        <v/>
      </c>
      <c r="O52" s="98"/>
      <c r="P52" s="98"/>
      <c r="Q52" s="99"/>
      <c r="R52" s="39"/>
      <c r="S52" s="39"/>
      <c r="T52" s="39"/>
      <c r="U52" s="106" t="str">
        <f>IF([4]回答表!AD41="○",[4]回答表!B96,"")</f>
        <v/>
      </c>
      <c r="V52" s="107"/>
      <c r="W52" s="107"/>
      <c r="X52" s="107"/>
      <c r="Y52" s="107"/>
      <c r="Z52" s="107"/>
      <c r="AA52" s="107"/>
      <c r="AB52" s="107"/>
      <c r="AC52" s="107"/>
      <c r="AD52" s="107"/>
      <c r="AE52" s="107"/>
      <c r="AF52" s="107"/>
      <c r="AG52" s="107"/>
      <c r="AH52" s="107"/>
      <c r="AI52" s="107"/>
      <c r="AJ52" s="108"/>
      <c r="AK52" s="56"/>
      <c r="AL52" s="56"/>
      <c r="AM52" s="106" t="str">
        <f>IF([4]回答表!AD41="○",[4]回答表!B101,"")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IF([4]回答表!X42="○","○","")</f>
        <v/>
      </c>
      <c r="O63" s="98"/>
      <c r="P63" s="98"/>
      <c r="Q63" s="99"/>
      <c r="R63" s="39"/>
      <c r="S63" s="39"/>
      <c r="T63" s="39"/>
      <c r="U63" s="106" t="str">
        <f>IF([4]回答表!X42="○",[4]回答表!B111,IF([4]回答表!AA42="○",[4]回答表!B124,""))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IF([4]回答表!X42="○",[4]回答表!S117,IF([4]回答表!AA42="○",[4]回答表!S130,""))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IF([4]回答表!X42="○",[4]回答表!J117,IF([4]回答表!AA42="○",[4]回答表!J130,""))</f>
        <v/>
      </c>
      <c r="AN66" s="119"/>
      <c r="AO66" s="119"/>
      <c r="AP66" s="119"/>
      <c r="AQ66" s="119"/>
      <c r="AR66" s="119"/>
      <c r="AS66" s="119"/>
      <c r="AT66" s="120"/>
      <c r="AU66" s="118" t="str">
        <f>IF([4]回答表!X42="○",[4]回答表!J118,IF([4]回答表!AA42="○",[4]回答表!J131,""))</f>
        <v/>
      </c>
      <c r="AV66" s="119"/>
      <c r="AW66" s="119"/>
      <c r="AX66" s="119"/>
      <c r="AY66" s="119"/>
      <c r="AZ66" s="119"/>
      <c r="BA66" s="119"/>
      <c r="BB66" s="120"/>
      <c r="BC66" s="40"/>
      <c r="BD66" s="35"/>
      <c r="BE66" s="82" t="str">
        <f>IF([4]回答表!X42="○",[4]回答表!V117,IF([4]回答表!AA42="○",[4]回答表!V130,""))</f>
        <v/>
      </c>
      <c r="BF66" s="83"/>
      <c r="BG66" s="83"/>
      <c r="BH66" s="83"/>
      <c r="BI66" s="82" t="str">
        <f>IF([4]回答表!X42="○",[4]回答表!V118,IF([4]回答表!AA42="○",[4]回答表!V131,""))</f>
        <v/>
      </c>
      <c r="BJ66" s="83"/>
      <c r="BK66" s="83"/>
      <c r="BL66" s="83"/>
      <c r="BM66" s="82" t="str">
        <f>IF([4]回答表!X42="○",[4]回答表!V119,IF([4]回答表!AA42="○",[4]回答表!V132,""))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IF([4]回答表!AA42="○","○","")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IF([4]回答表!AD42="○","○","")</f>
        <v/>
      </c>
      <c r="O75" s="98"/>
      <c r="P75" s="98"/>
      <c r="Q75" s="99"/>
      <c r="R75" s="39"/>
      <c r="S75" s="39"/>
      <c r="T75" s="39"/>
      <c r="U75" s="106" t="str">
        <f>IF([4]回答表!AD42="○",[4]回答表!B137,"")</f>
        <v/>
      </c>
      <c r="V75" s="107"/>
      <c r="W75" s="107"/>
      <c r="X75" s="107"/>
      <c r="Y75" s="107"/>
      <c r="Z75" s="107"/>
      <c r="AA75" s="107"/>
      <c r="AB75" s="107"/>
      <c r="AC75" s="107"/>
      <c r="AD75" s="107"/>
      <c r="AE75" s="107"/>
      <c r="AF75" s="107"/>
      <c r="AG75" s="107"/>
      <c r="AH75" s="107"/>
      <c r="AI75" s="107"/>
      <c r="AJ75" s="108"/>
      <c r="AK75" s="56"/>
      <c r="AL75" s="56"/>
      <c r="AM75" s="106" t="str">
        <f>IF([4]回答表!AD42="○",[4]回答表!B143,"")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IF([4]回答表!F17="水道事業",IF([4]回答表!X43="○","○",""),"")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IF([4]回答表!F17="水道事業",IF([4]回答表!X43="○",[4]回答表!B154,IF([4]回答表!AA43="○",[4]回答表!B201,"")),"")</f>
        <v/>
      </c>
      <c r="AN87" s="107"/>
      <c r="AO87" s="107"/>
      <c r="AP87" s="107"/>
      <c r="AQ87" s="107"/>
      <c r="AR87" s="107"/>
      <c r="AS87" s="107"/>
      <c r="AT87" s="107"/>
      <c r="AU87" s="107"/>
      <c r="AV87" s="107"/>
      <c r="AW87" s="107"/>
      <c r="AX87" s="107"/>
      <c r="AY87" s="107"/>
      <c r="AZ87" s="107"/>
      <c r="BA87" s="107"/>
      <c r="BB87" s="108"/>
      <c r="BC87" s="40"/>
      <c r="BD87" s="35"/>
      <c r="BE87" s="115" t="str">
        <f>IF([4]回答表!F17="水道事業",IF([4]回答表!X43="○",[4]回答表!B190,IF([4]回答表!AA43="○",[4]回答表!B238,"")),"")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IF([4]回答表!F17="水道事業",IF([4]回答表!X43="○",[4]回答表!J162,IF([4]回答表!AA43="○",[4]回答表!J209,"")),"")</f>
        <v/>
      </c>
      <c r="V89" s="119"/>
      <c r="W89" s="119"/>
      <c r="X89" s="119"/>
      <c r="Y89" s="119"/>
      <c r="Z89" s="119"/>
      <c r="AA89" s="119"/>
      <c r="AB89" s="120"/>
      <c r="AC89" s="118" t="str">
        <f>IF([4]回答表!F17="水道事業",IF([4]回答表!X43="○",[4]回答表!J169,IF([4]回答表!AA43="○",[4]回答表!J216,"")),"")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IF([4]回答表!F17="水道事業",IF([4]回答表!X43="○",[4]回答表!E190,IF([4]回答表!AA43="○",[4]回答表!E238,"")),"")</f>
        <v/>
      </c>
      <c r="BF90" s="83"/>
      <c r="BG90" s="83"/>
      <c r="BH90" s="83"/>
      <c r="BI90" s="82" t="str">
        <f>IF([4]回答表!F17="水道事業",IF([4]回答表!X43="○",[4]回答表!E191,IF([4]回答表!AA43="○",[4]回答表!E239,"")),"")</f>
        <v/>
      </c>
      <c r="BJ90" s="83"/>
      <c r="BK90" s="83"/>
      <c r="BL90" s="83"/>
      <c r="BM90" s="82" t="str">
        <f>IF([4]回答表!F17="水道事業",IF([4]回答表!X43="○",[4]回答表!E192,IF([4]回答表!AA43="○",[4]回答表!E240,"")),"")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IF([4]回答表!F17="水道事業",IF([4]回答表!AA43="○","○",""),"")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IF([4]回答表!F17="水道事業",IF([4]回答表!X43="○",[4]回答表!J172,IF([4]回答表!AA43="○",[4]回答表!J219,"")),"")</f>
        <v/>
      </c>
      <c r="V94" s="119"/>
      <c r="W94" s="119"/>
      <c r="X94" s="119"/>
      <c r="Y94" s="119"/>
      <c r="Z94" s="119"/>
      <c r="AA94" s="119"/>
      <c r="AB94" s="120"/>
      <c r="AC94" s="118" t="str">
        <f>IF([4]回答表!F17="水道事業",IF([4]回答表!X43="○",[4]回答表!J176,IF([4]回答表!AA43="○",[4]回答表!J223,"")),"")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IF([4]回答表!F17="水道事業",IF([4]回答表!AD43="○","○",""),"")</f>
        <v/>
      </c>
      <c r="O99" s="98"/>
      <c r="P99" s="98"/>
      <c r="Q99" s="99"/>
      <c r="R99" s="39"/>
      <c r="S99" s="39"/>
      <c r="T99" s="39"/>
      <c r="U99" s="106" t="str">
        <f>IF([4]回答表!F17="水道事業",IF([4]回答表!AD43="○",[4]回答表!B249,""),"")</f>
        <v/>
      </c>
      <c r="V99" s="107"/>
      <c r="W99" s="107"/>
      <c r="X99" s="107"/>
      <c r="Y99" s="107"/>
      <c r="Z99" s="107"/>
      <c r="AA99" s="107"/>
      <c r="AB99" s="107"/>
      <c r="AC99" s="107"/>
      <c r="AD99" s="107"/>
      <c r="AE99" s="107"/>
      <c r="AF99" s="107"/>
      <c r="AG99" s="107"/>
      <c r="AH99" s="107"/>
      <c r="AI99" s="107"/>
      <c r="AJ99" s="108"/>
      <c r="AK99" s="56"/>
      <c r="AL99" s="56"/>
      <c r="AM99" s="106" t="str">
        <f>IF([4]回答表!F17="水道事業",IF([4]回答表!AD43="○",[4]回答表!B255,""),"")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IF([4]回答表!F17="簡易水道事業",IF([4]回答表!X43="○","○",""),"")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IF([4]回答表!F17="簡易水道事業",IF([4]回答表!X43="○",[4]回答表!B154,IF([4]回答表!AA43="○",[4]回答表!B201,"")),"")</f>
        <v/>
      </c>
      <c r="AN111" s="107"/>
      <c r="AO111" s="107"/>
      <c r="AP111" s="107"/>
      <c r="AQ111" s="107"/>
      <c r="AR111" s="107"/>
      <c r="AS111" s="107"/>
      <c r="AT111" s="107"/>
      <c r="AU111" s="107"/>
      <c r="AV111" s="107"/>
      <c r="AW111" s="107"/>
      <c r="AX111" s="107"/>
      <c r="AY111" s="107"/>
      <c r="AZ111" s="107"/>
      <c r="BA111" s="107"/>
      <c r="BB111" s="108"/>
      <c r="BC111" s="40"/>
      <c r="BD111" s="35"/>
      <c r="BE111" s="115" t="str">
        <f>IF([4]回答表!F17="簡易水道事業",IF([4]回答表!X43="○",[4]回答表!B190,IF([4]回答表!AA43="○",[4]回答表!B238,"")),"")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IF([4]回答表!F17="簡易水道事業",IF([4]回答表!X43="○",[4]回答表!Y181,IF([4]回答表!AA43="○",[4]回答表!Y229,"")),"")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IF([4]回答表!F17="簡易水道事業",IF([4]回答表!X43="○",[4]回答表!E190,IF([4]回答表!AA43="○",[4]回答表!E238,"")),"")</f>
        <v/>
      </c>
      <c r="BF114" s="83"/>
      <c r="BG114" s="83"/>
      <c r="BH114" s="83"/>
      <c r="BI114" s="82" t="str">
        <f>IF([4]回答表!F17="簡易水道事業",IF([4]回答表!X43="○",[4]回答表!E191,IF([4]回答表!AA43="○",[4]回答表!E239,"")),"")</f>
        <v/>
      </c>
      <c r="BJ114" s="83"/>
      <c r="BK114" s="83"/>
      <c r="BL114" s="83"/>
      <c r="BM114" s="82" t="str">
        <f>IF([4]回答表!F17="簡易水道事業",IF([4]回答表!X43="○",[4]回答表!E192,IF([4]回答表!AA43="○",[4]回答表!E240,"")),"")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IF([4]回答表!F17="簡易水道事業",IF([4]回答表!AA43="○","○",""),"")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IF([4]回答表!F17="簡易水道事業",IF([4]回答表!X43="○",[4]回答表!Y182,IF([4]回答表!AA43="○",[4]回答表!Y230,"")),"")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IF([4]回答表!F17="簡易水道事業",IF([4]回答表!AD43="○","○",""),"")</f>
        <v/>
      </c>
      <c r="O123" s="98"/>
      <c r="P123" s="98"/>
      <c r="Q123" s="99"/>
      <c r="R123" s="39"/>
      <c r="S123" s="39"/>
      <c r="T123" s="39"/>
      <c r="U123" s="106" t="str">
        <f>IF([4]回答表!F17="簡易水道事業",IF([4]回答表!AD43="○",[4]回答表!B249,""),"")</f>
        <v/>
      </c>
      <c r="V123" s="107"/>
      <c r="W123" s="107"/>
      <c r="X123" s="107"/>
      <c r="Y123" s="107"/>
      <c r="Z123" s="107"/>
      <c r="AA123" s="107"/>
      <c r="AB123" s="107"/>
      <c r="AC123" s="107"/>
      <c r="AD123" s="107"/>
      <c r="AE123" s="107"/>
      <c r="AF123" s="107"/>
      <c r="AG123" s="107"/>
      <c r="AH123" s="107"/>
      <c r="AI123" s="107"/>
      <c r="AJ123" s="108"/>
      <c r="AK123" s="56"/>
      <c r="AL123" s="56"/>
      <c r="AM123" s="106" t="str">
        <f>IF([4]回答表!F17="簡易水道事業",IF([4]回答表!AD43="○",[4]回答表!B255,""),"")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IF([4]回答表!F17="下水道事業",IF([4]回答表!X43="○","○",""),"")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IF([4]回答表!F17="下水道事業",IF([4]回答表!X43="○",[4]回答表!B154,IF([4]回答表!AA43="○",[4]回答表!B201,"")),"")</f>
        <v/>
      </c>
      <c r="AN135" s="107"/>
      <c r="AO135" s="107"/>
      <c r="AP135" s="107"/>
      <c r="AQ135" s="107"/>
      <c r="AR135" s="107"/>
      <c r="AS135" s="107"/>
      <c r="AT135" s="107"/>
      <c r="AU135" s="107"/>
      <c r="AV135" s="107"/>
      <c r="AW135" s="107"/>
      <c r="AX135" s="107"/>
      <c r="AY135" s="107"/>
      <c r="AZ135" s="107"/>
      <c r="BA135" s="107"/>
      <c r="BB135" s="108"/>
      <c r="BC135" s="40"/>
      <c r="BD135" s="35"/>
      <c r="BE135" s="115" t="str">
        <f>IF([4]回答表!F17="下水道事業",IF([4]回答表!X43="○",[4]回答表!B190,IF([4]回答表!AA43="○",[4]回答表!B238,"")),"")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IF([4]回答表!F17="下水道事業",IF([4]回答表!X43="○",[4]回答表!Y184,IF([4]回答表!AA43="○",[4]回答表!Y232,"")),"")</f>
        <v/>
      </c>
      <c r="V137" s="119"/>
      <c r="W137" s="119"/>
      <c r="X137" s="119"/>
      <c r="Y137" s="119"/>
      <c r="Z137" s="119"/>
      <c r="AA137" s="119"/>
      <c r="AB137" s="120"/>
      <c r="AC137" s="118" t="str">
        <f>IF([4]回答表!F17="下水道事業",IF([4]回答表!X43="○",[4]回答表!Y185,IF([4]回答表!AA43="○",[4]回答表!Y233,"")),"")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IF([4]回答表!F17="下水道事業",IF([4]回答表!X43="○",[4]回答表!E190,IF([4]回答表!AA43="○",[4]回答表!E238,"")),"")</f>
        <v/>
      </c>
      <c r="BF138" s="83"/>
      <c r="BG138" s="83"/>
      <c r="BH138" s="83"/>
      <c r="BI138" s="82" t="str">
        <f>IF([4]回答表!F17="下水道事業",IF([4]回答表!X43="○",[4]回答表!E191,IF([4]回答表!AA43="○",[4]回答表!E239,"")),"")</f>
        <v/>
      </c>
      <c r="BJ138" s="83"/>
      <c r="BK138" s="83"/>
      <c r="BL138" s="83"/>
      <c r="BM138" s="82" t="str">
        <f>IF([4]回答表!F17="下水道事業",IF([4]回答表!X43="○",[4]回答表!E192,IF([4]回答表!AA43="○",[4]回答表!E240,"")),"")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IF([4]回答表!F17="下水道事業",IF([4]回答表!AA43="○","○",""),"")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IF([4]回答表!F17="下水道事業",IF([4]回答表!X43="○",[4]回答表!Y186,IF([4]回答表!AA43="○",[4]回答表!Y234,"")),"")</f>
        <v/>
      </c>
      <c r="V142" s="119"/>
      <c r="W142" s="119"/>
      <c r="X142" s="119"/>
      <c r="Y142" s="119"/>
      <c r="Z142" s="119"/>
      <c r="AA142" s="119"/>
      <c r="AB142" s="120"/>
      <c r="AC142" s="118" t="str">
        <f>IF([4]回答表!F17="下水道事業",IF([4]回答表!X43="○",[4]回答表!Y187,IF([4]回答表!AA43="○",[4]回答表!Y235,"")),"")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IF([4]回答表!F17="下水道事業",IF([4]回答表!AD43="○","○",""),"")</f>
        <v/>
      </c>
      <c r="O147" s="98"/>
      <c r="P147" s="98"/>
      <c r="Q147" s="99"/>
      <c r="R147" s="39"/>
      <c r="S147" s="39"/>
      <c r="T147" s="39"/>
      <c r="U147" s="106" t="str">
        <f>IF([4]回答表!F17="下水道事業",IF([4]回答表!AD43="○",[4]回答表!B249,""),"")</f>
        <v/>
      </c>
      <c r="V147" s="107"/>
      <c r="W147" s="107"/>
      <c r="X147" s="107"/>
      <c r="Y147" s="107"/>
      <c r="Z147" s="107"/>
      <c r="AA147" s="107"/>
      <c r="AB147" s="107"/>
      <c r="AC147" s="107"/>
      <c r="AD147" s="107"/>
      <c r="AE147" s="107"/>
      <c r="AF147" s="107"/>
      <c r="AG147" s="107"/>
      <c r="AH147" s="107"/>
      <c r="AI147" s="107"/>
      <c r="AJ147" s="108"/>
      <c r="AK147" s="56"/>
      <c r="AL147" s="56"/>
      <c r="AM147" s="106" t="str">
        <f>IF([4]回答表!F17="下水道事業",IF([4]回答表!AD43="○",[4]回答表!B255,""),"")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IF([4]回答表!BD17="○",IF([4]回答表!X43="○","○",""),"")</f>
        <v/>
      </c>
      <c r="O159" s="98"/>
      <c r="P159" s="98"/>
      <c r="Q159" s="99"/>
      <c r="R159" s="39"/>
      <c r="S159" s="39"/>
      <c r="T159" s="39"/>
      <c r="U159" s="106" t="str">
        <f>IF([4]回答表!BD17="○",IF([4]回答表!X43="○",[4]回答表!B154,IF([4]回答表!AA43="○",[4]回答表!B201,"")),"")</f>
        <v/>
      </c>
      <c r="V159" s="107"/>
      <c r="W159" s="107"/>
      <c r="X159" s="107"/>
      <c r="Y159" s="107"/>
      <c r="Z159" s="107"/>
      <c r="AA159" s="107"/>
      <c r="AB159" s="107"/>
      <c r="AC159" s="107"/>
      <c r="AD159" s="107"/>
      <c r="AE159" s="107"/>
      <c r="AF159" s="107"/>
      <c r="AG159" s="107"/>
      <c r="AH159" s="107"/>
      <c r="AI159" s="107"/>
      <c r="AJ159" s="108"/>
      <c r="AK159" s="50"/>
      <c r="AL159" s="50"/>
      <c r="AM159" s="115" t="str">
        <f>IF([4]回答表!BD17="○",IF([4]回答表!X43="○",[4]回答表!B190,IF([4]回答表!AA43="○",[4]回答表!B238,"")),"")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IF([4]回答表!BD17="○",IF([4]回答表!X43="○",[4]回答表!E190,IF([4]回答表!AA43="○",[4]回答表!E238,"")),"")</f>
        <v/>
      </c>
      <c r="AN162" s="83"/>
      <c r="AO162" s="83"/>
      <c r="AP162" s="83"/>
      <c r="AQ162" s="82" t="str">
        <f>IF([4]回答表!BD17="○",IF([4]回答表!X43="○",[4]回答表!E191,IF([4]回答表!AA43="○",[4]回答表!E239,"")),"")</f>
        <v/>
      </c>
      <c r="AR162" s="83"/>
      <c r="AS162" s="83"/>
      <c r="AT162" s="83"/>
      <c r="AU162" s="82" t="str">
        <f>IF([4]回答表!BD17="○",IF([4]回答表!X43="○",[4]回答表!E192,IF([4]回答表!AA43="○",[4]回答表!E240,"")),"")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IF([4]回答表!BD17="○",IF([4]回答表!AA43="○","○",""),"")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IF([4]回答表!BD17="○",IF([4]回答表!AD43="○","○",""),"")</f>
        <v/>
      </c>
      <c r="O171" s="98"/>
      <c r="P171" s="98"/>
      <c r="Q171" s="99"/>
      <c r="R171" s="39"/>
      <c r="S171" s="39"/>
      <c r="T171" s="39"/>
      <c r="U171" s="106" t="str">
        <f>IF([4]回答表!BD17="○",IF([4]回答表!AD43="○",[4]回答表!B249,""),"")</f>
        <v/>
      </c>
      <c r="V171" s="107"/>
      <c r="W171" s="107"/>
      <c r="X171" s="107"/>
      <c r="Y171" s="107"/>
      <c r="Z171" s="107"/>
      <c r="AA171" s="107"/>
      <c r="AB171" s="107"/>
      <c r="AC171" s="107"/>
      <c r="AD171" s="107"/>
      <c r="AE171" s="107"/>
      <c r="AF171" s="107"/>
      <c r="AG171" s="107"/>
      <c r="AH171" s="107"/>
      <c r="AI171" s="107"/>
      <c r="AJ171" s="108"/>
      <c r="AK171" s="56"/>
      <c r="AL171" s="56"/>
      <c r="AM171" s="106" t="str">
        <f>IF([4]回答表!BD17="○",IF([4]回答表!AD43="○",[4]回答表!B255,""),"")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IF([4]回答表!X44="○","○","")</f>
        <v/>
      </c>
      <c r="O183" s="98"/>
      <c r="P183" s="98"/>
      <c r="Q183" s="99"/>
      <c r="R183" s="39"/>
      <c r="S183" s="39"/>
      <c r="T183" s="39"/>
      <c r="U183" s="106" t="str">
        <f>IF([4]回答表!X44="○",[4]回答表!B266,IF([4]回答表!AA44="○",[4]回答表!B283,""))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IF([4]回答表!X44="○",[4]回答表!U272,IF([4]回答表!AA44="○",[4]回答表!U289,""))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IF([4]回答表!X44="○",[4]回答表!G272,IF([4]回答表!AA44="○",[4]回答表!G289,""))</f>
        <v/>
      </c>
      <c r="AN186" s="119"/>
      <c r="AO186" s="119"/>
      <c r="AP186" s="119"/>
      <c r="AQ186" s="119"/>
      <c r="AR186" s="119"/>
      <c r="AS186" s="119"/>
      <c r="AT186" s="120"/>
      <c r="AU186" s="118" t="str">
        <f>IF([4]回答表!X44="○",[4]回答表!G273,IF([4]回答表!AA44="○",[4]回答表!G290,""))</f>
        <v/>
      </c>
      <c r="AV186" s="119"/>
      <c r="AW186" s="119"/>
      <c r="AX186" s="119"/>
      <c r="AY186" s="119"/>
      <c r="AZ186" s="119"/>
      <c r="BA186" s="119"/>
      <c r="BB186" s="120"/>
      <c r="BC186" s="40"/>
      <c r="BD186" s="35"/>
      <c r="BE186" s="82" t="str">
        <f>IF([4]回答表!X44="○",[4]回答表!X272,IF([4]回答表!AA44="○",[4]回答表!X289,""))</f>
        <v/>
      </c>
      <c r="BF186" s="83"/>
      <c r="BG186" s="83"/>
      <c r="BH186" s="83"/>
      <c r="BI186" s="82" t="str">
        <f>IF([4]回答表!X44="○",[4]回答表!X273,IF([4]回答表!AA44="○",[4]回答表!X290,""))</f>
        <v/>
      </c>
      <c r="BJ186" s="83"/>
      <c r="BK186" s="83"/>
      <c r="BL186" s="86"/>
      <c r="BM186" s="82" t="str">
        <f>IF([4]回答表!X44="○",[4]回答表!X274,IF([4]回答表!AA44="○",[4]回答表!X291,""))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IF([4]回答表!AA44="○","○","")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IF([4]回答表!AD44="○","○","")</f>
        <v/>
      </c>
      <c r="O195" s="98"/>
      <c r="P195" s="98"/>
      <c r="Q195" s="99"/>
      <c r="R195" s="39"/>
      <c r="S195" s="39"/>
      <c r="T195" s="39"/>
      <c r="U195" s="106" t="str">
        <f>IF([4]回答表!AD44="○",[4]回答表!B296,"")</f>
        <v/>
      </c>
      <c r="V195" s="107"/>
      <c r="W195" s="107"/>
      <c r="X195" s="107"/>
      <c r="Y195" s="107"/>
      <c r="Z195" s="107"/>
      <c r="AA195" s="107"/>
      <c r="AB195" s="107"/>
      <c r="AC195" s="107"/>
      <c r="AD195" s="107"/>
      <c r="AE195" s="107"/>
      <c r="AF195" s="107"/>
      <c r="AG195" s="107"/>
      <c r="AH195" s="107"/>
      <c r="AI195" s="107"/>
      <c r="AJ195" s="108"/>
      <c r="AK195" s="61"/>
      <c r="AL195" s="61"/>
      <c r="AM195" s="106" t="str">
        <f>IF([4]回答表!AD44="○",[4]回答表!B302,"")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IF([4]回答表!X45="○","○","")</f>
        <v/>
      </c>
      <c r="O207" s="98"/>
      <c r="P207" s="98"/>
      <c r="Q207" s="99"/>
      <c r="R207" s="39"/>
      <c r="S207" s="39"/>
      <c r="T207" s="39"/>
      <c r="U207" s="106" t="str">
        <f>IF([4]回答表!X45="○",[4]回答表!B314,IF([4]回答表!AA45="○",[4]回答表!B337,""))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IF([4]回答表!X45="○",[4]回答表!B320,"")</f>
        <v/>
      </c>
      <c r="AO207" s="164"/>
      <c r="AP207" s="164"/>
      <c r="AQ207" s="164"/>
      <c r="AR207" s="164"/>
      <c r="AS207" s="164"/>
      <c r="AT207" s="164"/>
      <c r="AU207" s="164"/>
      <c r="AV207" s="164"/>
      <c r="AW207" s="164"/>
      <c r="AX207" s="164"/>
      <c r="AY207" s="164"/>
      <c r="AZ207" s="164"/>
      <c r="BA207" s="164"/>
      <c r="BB207" s="165"/>
      <c r="BC207" s="40"/>
      <c r="BD207" s="35"/>
      <c r="BE207" s="115" t="str">
        <f>IF([4]回答表!X45="○",[4]回答表!B326,IF([4]回答表!AA45="○",[4]回答表!B343,""))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IF([4]回答表!X45="○",[4]回答表!E326,IF([4]回答表!AA45="○",[4]回答表!E343,""))</f>
        <v/>
      </c>
      <c r="BF210" s="83"/>
      <c r="BG210" s="83"/>
      <c r="BH210" s="83"/>
      <c r="BI210" s="82" t="str">
        <f>IF([4]回答表!X45="○",[4]回答表!E327,IF([4]回答表!AA45="○",[4]回答表!E344,""))</f>
        <v/>
      </c>
      <c r="BJ210" s="83"/>
      <c r="BK210" s="83"/>
      <c r="BL210" s="86"/>
      <c r="BM210" s="82" t="str">
        <f>IF([4]回答表!X45="○",[4]回答表!E328,IF([4]回答表!AA45="○",[4]回答表!E345,""))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IF([4]回答表!AA45="○","○","")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IF([4]回答表!AD45="○","○","")</f>
        <v/>
      </c>
      <c r="O219" s="98"/>
      <c r="P219" s="98"/>
      <c r="Q219" s="99"/>
      <c r="R219" s="39"/>
      <c r="S219" s="39"/>
      <c r="T219" s="39"/>
      <c r="U219" s="106" t="str">
        <f>IF([4]回答表!AD45="○",[4]回答表!B350,"")</f>
        <v/>
      </c>
      <c r="V219" s="107"/>
      <c r="W219" s="107"/>
      <c r="X219" s="107"/>
      <c r="Y219" s="107"/>
      <c r="Z219" s="107"/>
      <c r="AA219" s="107"/>
      <c r="AB219" s="107"/>
      <c r="AC219" s="107"/>
      <c r="AD219" s="107"/>
      <c r="AE219" s="107"/>
      <c r="AF219" s="107"/>
      <c r="AG219" s="107"/>
      <c r="AH219" s="107"/>
      <c r="AI219" s="107"/>
      <c r="AJ219" s="108"/>
      <c r="AK219" s="61"/>
      <c r="AL219" s="61"/>
      <c r="AM219" s="106" t="str">
        <f>IF([4]回答表!AD45="○",[4]回答表!B356,"")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IF([4]回答表!X46="○","○","")</f>
        <v/>
      </c>
      <c r="O231" s="98"/>
      <c r="P231" s="98"/>
      <c r="Q231" s="99"/>
      <c r="R231" s="39"/>
      <c r="S231" s="39"/>
      <c r="T231" s="39"/>
      <c r="U231" s="106" t="str">
        <f>IF([4]回答表!X46="○",[4]回答表!B368,IF([4]回答表!AA46="○",[4]回答表!B382,""))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IF([4]回答表!X46="○",[4]回答表!BC375,IF([4]回答表!AA46="○",[4]回答表!BC389,""))</f>
        <v/>
      </c>
      <c r="AR231" s="150"/>
      <c r="AS231" s="150"/>
      <c r="AT231" s="150"/>
      <c r="AU231" s="155" t="s">
        <v>63</v>
      </c>
      <c r="AV231" s="156"/>
      <c r="AW231" s="156"/>
      <c r="AX231" s="157"/>
      <c r="AY231" s="150" t="str">
        <f>IF([4]回答表!X46="○",[4]回答表!BC380,IF([4]回答表!AA46="○",[4]回答表!BC394,""))</f>
        <v/>
      </c>
      <c r="AZ231" s="150"/>
      <c r="BA231" s="150"/>
      <c r="BB231" s="150"/>
      <c r="BC231" s="40"/>
      <c r="BD231" s="35"/>
      <c r="BE231" s="115" t="str">
        <f>IF([4]回答表!X46="○",[4]回答表!S374,IF([4]回答表!AA46="○",[4]回答表!S388,""))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IF([4]回答表!X46="○",[4]回答表!BC376,IF([4]回答表!AA46="○",[4]回答表!BC390,""))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IF([4]回答表!X46="○",[4]回答表!V374,IF([4]回答表!AA46="○",[4]回答表!V388,""))</f>
        <v/>
      </c>
      <c r="BF234" s="83"/>
      <c r="BG234" s="83"/>
      <c r="BH234" s="83"/>
      <c r="BI234" s="82" t="str">
        <f>IF([4]回答表!X46="○",[4]回答表!V375,IF([4]回答表!AA46="○",[4]回答表!V389,""))</f>
        <v/>
      </c>
      <c r="BJ234" s="83"/>
      <c r="BK234" s="83"/>
      <c r="BL234" s="86"/>
      <c r="BM234" s="82" t="str">
        <f>IF([4]回答表!X46="○",[4]回答表!V376,IF([4]回答表!AA46="○",[4]回答表!V390,""))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IF([4]回答表!X46="○",[4]回答表!BC377,IF([4]回答表!AA46="○",[4]回答表!BC391,""))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IF([4]回答表!X46="○",[4]回答表!BC381,IF([4]回答表!AA46="○",[4]回答表!BC395,""))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IF([4]回答表!AA46="○","○","")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IF([4]回答表!X46="○",[4]回答表!BC378,IF([4]回答表!AA46="○",[4]回答表!BC392,""))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IF([4]回答表!X46="○",[4]回答表!BC379,IF([4]回答表!AA46="○",[4]回答表!BC393,""))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IF([4]回答表!AD46="○","○","")</f>
        <v/>
      </c>
      <c r="O243" s="98"/>
      <c r="P243" s="98"/>
      <c r="Q243" s="99"/>
      <c r="R243" s="39"/>
      <c r="S243" s="39"/>
      <c r="T243" s="39"/>
      <c r="U243" s="106" t="str">
        <f>IF([4]回答表!AD46="○",[4]回答表!B396,"")</f>
        <v/>
      </c>
      <c r="V243" s="107"/>
      <c r="W243" s="107"/>
      <c r="X243" s="107"/>
      <c r="Y243" s="107"/>
      <c r="Z243" s="107"/>
      <c r="AA243" s="107"/>
      <c r="AB243" s="107"/>
      <c r="AC243" s="107"/>
      <c r="AD243" s="107"/>
      <c r="AE243" s="107"/>
      <c r="AF243" s="107"/>
      <c r="AG243" s="107"/>
      <c r="AH243" s="107"/>
      <c r="AI243" s="107"/>
      <c r="AJ243" s="108"/>
      <c r="AK243" s="56"/>
      <c r="AL243" s="56"/>
      <c r="AM243" s="106" t="str">
        <f>IF([4]回答表!AD46="○",[4]回答表!B402,"")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IF([4]回答表!X47="○","○","")</f>
        <v/>
      </c>
      <c r="O254" s="98"/>
      <c r="P254" s="98"/>
      <c r="Q254" s="99"/>
      <c r="R254" s="39"/>
      <c r="S254" s="39"/>
      <c r="T254" s="39"/>
      <c r="U254" s="106" t="str">
        <f>IF([4]回答表!X47="○",[4]回答表!B414,IF([4]回答表!AA47="○",[4]回答表!B431,""))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IF([4]回答表!X47="○",[4]回答表!B424,IF([4]回答表!AA47="○",[4]回答表!B441,""))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IF([4]回答表!X47="○",[4]回答表!G420,IF([4]回答表!AA47="○",[4]回答表!G437,""))</f>
        <v/>
      </c>
      <c r="AN256" s="119"/>
      <c r="AO256" s="119"/>
      <c r="AP256" s="119"/>
      <c r="AQ256" s="119"/>
      <c r="AR256" s="119"/>
      <c r="AS256" s="119"/>
      <c r="AT256" s="120"/>
      <c r="AU256" s="118" t="str">
        <f>IF([4]回答表!X47="○",[4]回答表!G421,IF([4]回答表!AA47="○",[4]回答表!G438,""))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IF([4]回答表!X47="○",[4]回答表!E424,IF([4]回答表!AA47="○",[4]回答表!E441,""))</f>
        <v/>
      </c>
      <c r="BF257" s="83"/>
      <c r="BG257" s="83"/>
      <c r="BH257" s="83"/>
      <c r="BI257" s="82" t="str">
        <f>IF([4]回答表!X47="○",[4]回答表!E425,IF([4]回答表!AA47="○",[4]回答表!E442,""))</f>
        <v/>
      </c>
      <c r="BJ257" s="83"/>
      <c r="BK257" s="83"/>
      <c r="BL257" s="86"/>
      <c r="BM257" s="82" t="str">
        <f>IF([4]回答表!X47="○",[4]回答表!E426,IF([4]回答表!AA47="○",[4]回答表!E443,""))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IF([4]回答表!AA47="○","○","")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IF([4]回答表!AD47="○","○","")</f>
        <v/>
      </c>
      <c r="O266" s="98"/>
      <c r="P266" s="98"/>
      <c r="Q266" s="99"/>
      <c r="R266" s="39"/>
      <c r="S266" s="39"/>
      <c r="T266" s="39"/>
      <c r="U266" s="106" t="str">
        <f>IF([4]回答表!AD47="○",[4]回答表!B448,"")</f>
        <v/>
      </c>
      <c r="V266" s="107"/>
      <c r="W266" s="107"/>
      <c r="X266" s="107"/>
      <c r="Y266" s="107"/>
      <c r="Z266" s="107"/>
      <c r="AA266" s="107"/>
      <c r="AB266" s="107"/>
      <c r="AC266" s="107"/>
      <c r="AD266" s="107"/>
      <c r="AE266" s="107"/>
      <c r="AF266" s="107"/>
      <c r="AG266" s="107"/>
      <c r="AH266" s="107"/>
      <c r="AI266" s="107"/>
      <c r="AJ266" s="108"/>
      <c r="AK266" s="50"/>
      <c r="AL266" s="50"/>
      <c r="AM266" s="106" t="str">
        <f>IF([4]回答表!AD47="○",[4]回答表!B454,"")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IF([4]回答表!R48="○",[4]回答表!B467,"")</f>
        <v>　令和2年4月1日より公営企業化し、今年度改めて経営戦略を策定することとしている。このなかで、現状分析や将来予測を行い、今後の財政計画を作成する上で課題を明確化することで、今後の抜本的な改革の検討ににつながるものと考えているため、現段階では現行の経営体制・手法の継続とした。</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B0B4-158C-41D2-9E2B-CA1190DC9F19}">
  <sheetPr>
    <pageSetUpPr fitToPage="1"/>
  </sheetPr>
  <dimension ref="A1:CE298"/>
  <sheetViews>
    <sheetView showZeros="0" topLeftCell="A265"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IF(COUNTIF([15]回答表!K15,"*")&gt;0,[15]回答表!K15,"")</f>
        <v>由利本荘市</v>
      </c>
      <c r="D11" s="246"/>
      <c r="E11" s="246"/>
      <c r="F11" s="246"/>
      <c r="G11" s="246"/>
      <c r="H11" s="246"/>
      <c r="I11" s="246"/>
      <c r="J11" s="246"/>
      <c r="K11" s="246"/>
      <c r="L11" s="246"/>
      <c r="M11" s="246"/>
      <c r="N11" s="246"/>
      <c r="O11" s="246"/>
      <c r="P11" s="246"/>
      <c r="Q11" s="246"/>
      <c r="R11" s="246"/>
      <c r="S11" s="246"/>
      <c r="T11" s="246"/>
      <c r="U11" s="253" t="str">
        <f>IF(COUNTIF([15]回答表!F17,"*")&gt;0,[15]回答表!F17,"")</f>
        <v>観光施設事業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IF(COUNTIF([15]回答表!W17,"*")&gt;0,[15]回答表!W17,"")</f>
        <v>索道</v>
      </c>
      <c r="AP11" s="248"/>
      <c r="AQ11" s="248"/>
      <c r="AR11" s="248"/>
      <c r="AS11" s="248"/>
      <c r="AT11" s="248"/>
      <c r="AU11" s="248"/>
      <c r="AV11" s="248"/>
      <c r="AW11" s="248"/>
      <c r="AX11" s="248"/>
      <c r="AY11" s="248"/>
      <c r="AZ11" s="248"/>
      <c r="BA11" s="248"/>
      <c r="BB11" s="248"/>
      <c r="BC11" s="248"/>
      <c r="BD11" s="248"/>
      <c r="BE11" s="249"/>
      <c r="BF11" s="252" t="str">
        <f>IF(COUNTIF([15]回答表!F19,"*")&gt;0,[15]回答表!F19,"")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IF([15]回答表!R41="○","○","")</f>
        <v/>
      </c>
      <c r="E24" s="122"/>
      <c r="F24" s="122"/>
      <c r="G24" s="122"/>
      <c r="H24" s="122"/>
      <c r="I24" s="122"/>
      <c r="J24" s="123"/>
      <c r="K24" s="121" t="str">
        <f>IF([15]回答表!R42="○","○","")</f>
        <v/>
      </c>
      <c r="L24" s="122"/>
      <c r="M24" s="122"/>
      <c r="N24" s="122"/>
      <c r="O24" s="122"/>
      <c r="P24" s="122"/>
      <c r="Q24" s="123"/>
      <c r="R24" s="121" t="str">
        <f>IF([15]回答表!R43="○","○","")</f>
        <v/>
      </c>
      <c r="S24" s="122"/>
      <c r="T24" s="122"/>
      <c r="U24" s="122"/>
      <c r="V24" s="122"/>
      <c r="W24" s="122"/>
      <c r="X24" s="123"/>
      <c r="Y24" s="121" t="str">
        <f>IF([15]回答表!R44="○","○","")</f>
        <v/>
      </c>
      <c r="Z24" s="122"/>
      <c r="AA24" s="122"/>
      <c r="AB24" s="122"/>
      <c r="AC24" s="122"/>
      <c r="AD24" s="122"/>
      <c r="AE24" s="123"/>
      <c r="AF24" s="121" t="str">
        <f>IF([15]回答表!R45="○","○","")</f>
        <v/>
      </c>
      <c r="AG24" s="122"/>
      <c r="AH24" s="122"/>
      <c r="AI24" s="122"/>
      <c r="AJ24" s="122"/>
      <c r="AK24" s="122"/>
      <c r="AL24" s="123"/>
      <c r="AM24" s="121" t="str">
        <f>IF([15]回答表!R46="○","○","")</f>
        <v/>
      </c>
      <c r="AN24" s="122"/>
      <c r="AO24" s="122"/>
      <c r="AP24" s="122"/>
      <c r="AQ24" s="122"/>
      <c r="AR24" s="122"/>
      <c r="AS24" s="123"/>
      <c r="AT24" s="121" t="str">
        <f>IF([15]回答表!R47="○","○","")</f>
        <v/>
      </c>
      <c r="AU24" s="122"/>
      <c r="AV24" s="122"/>
      <c r="AW24" s="122"/>
      <c r="AX24" s="122"/>
      <c r="AY24" s="122"/>
      <c r="AZ24" s="123"/>
      <c r="BA24" s="19"/>
      <c r="BB24" s="118" t="str">
        <f>IF([15]回答表!R48="○","○","")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IF([15]回答表!X41="○","○","")</f>
        <v/>
      </c>
      <c r="O36" s="98"/>
      <c r="P36" s="98"/>
      <c r="Q36" s="99"/>
      <c r="R36" s="39"/>
      <c r="S36" s="39"/>
      <c r="T36" s="39"/>
      <c r="U36" s="106" t="str">
        <f>IF([15]回答表!X41="○",[15]回答表!B56,IF([15]回答表!AA41="○",[15]回答表!B76,""))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IF([15]回答表!X41="○",[15]回答表!S62,IF([15]回答表!AA41="○",[15]回答表!S82,""))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IF([15]回答表!X41="○",[15]回答表!G62,IF([15]回答表!AA41="○",[15]回答表!G82,""))</f>
        <v/>
      </c>
      <c r="AN38" s="119"/>
      <c r="AO38" s="119"/>
      <c r="AP38" s="119"/>
      <c r="AQ38" s="119"/>
      <c r="AR38" s="119"/>
      <c r="AS38" s="119"/>
      <c r="AT38" s="120"/>
      <c r="AU38" s="118" t="str">
        <f>IF([15]回答表!X41="○",[15]回答表!G63,IF([15]回答表!AA41="○",[15]回答表!G83,""))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IF([15]回答表!X41="○",[15]回答表!V62,IF([15]回答表!AA41="○",[15]回答表!V82,""))</f>
        <v/>
      </c>
      <c r="BF39" s="199"/>
      <c r="BG39" s="199"/>
      <c r="BH39" s="200"/>
      <c r="BI39" s="82" t="str">
        <f>IF([15]回答表!X41="○",[15]回答表!V63,IF([15]回答表!AA41="○",[15]回答表!V83,""))</f>
        <v/>
      </c>
      <c r="BJ39" s="199"/>
      <c r="BK39" s="199"/>
      <c r="BL39" s="200"/>
      <c r="BM39" s="82" t="str">
        <f>IF([15]回答表!X41="○",[15]回答表!V64,IF([15]回答表!AA41="○",[15]回答表!V84,""))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IF([15]回答表!X41="○",[15]回答表!O68,IF([15]回答表!AA41="○",[15]回答表!O88,""))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IF([15]回答表!X41="○",[15]回答表!O69,IF([15]回答表!AA41="○",[15]回答表!O89,""))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IF([15]回答表!AA41="○","○","")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IF([15]回答表!X41="○",[15]回答表!O70,IF([15]回答表!AA41="○",[15]回答表!O90,""))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IF([15]回答表!X41="○",[15]回答表!O71,IF([15]回答表!AA41="○",[15]回答表!O91,""))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IF([15]回答表!X41="○",[15]回答表!AG68,IF([15]回答表!AA41="○",[15]回答表!AG88,""))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IF([15]回答表!X41="○",[15]回答表!AG69,IF([15]回答表!AA41="○",[15]回答表!AG89,""))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IF([15]回答表!X41="○",[15]回答表!AG70,IF([15]回答表!AA41="○",[15]回答表!AG90,""))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IF([15]回答表!AD41="○","○","")</f>
        <v/>
      </c>
      <c r="O52" s="98"/>
      <c r="P52" s="98"/>
      <c r="Q52" s="99"/>
      <c r="R52" s="39"/>
      <c r="S52" s="39"/>
      <c r="T52" s="39"/>
      <c r="U52" s="106" t="str">
        <f>IF([15]回答表!AD41="○",[15]回答表!B96,"")</f>
        <v/>
      </c>
      <c r="V52" s="107"/>
      <c r="W52" s="107"/>
      <c r="X52" s="107"/>
      <c r="Y52" s="107"/>
      <c r="Z52" s="107"/>
      <c r="AA52" s="107"/>
      <c r="AB52" s="107"/>
      <c r="AC52" s="107"/>
      <c r="AD52" s="107"/>
      <c r="AE52" s="107"/>
      <c r="AF52" s="107"/>
      <c r="AG52" s="107"/>
      <c r="AH52" s="107"/>
      <c r="AI52" s="107"/>
      <c r="AJ52" s="108"/>
      <c r="AK52" s="56"/>
      <c r="AL52" s="56"/>
      <c r="AM52" s="106" t="str">
        <f>IF([15]回答表!AD41="○",[15]回答表!B101,"")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IF([15]回答表!X42="○","○","")</f>
        <v/>
      </c>
      <c r="O63" s="98"/>
      <c r="P63" s="98"/>
      <c r="Q63" s="99"/>
      <c r="R63" s="39"/>
      <c r="S63" s="39"/>
      <c r="T63" s="39"/>
      <c r="U63" s="106" t="str">
        <f>IF([15]回答表!X42="○",[15]回答表!B111,IF([15]回答表!AA42="○",[15]回答表!B124,""))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IF([15]回答表!X42="○",[15]回答表!S117,IF([15]回答表!AA42="○",[15]回答表!S130,""))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IF([15]回答表!X42="○",[15]回答表!J117,IF([15]回答表!AA42="○",[15]回答表!J130,""))</f>
        <v/>
      </c>
      <c r="AN66" s="119"/>
      <c r="AO66" s="119"/>
      <c r="AP66" s="119"/>
      <c r="AQ66" s="119"/>
      <c r="AR66" s="119"/>
      <c r="AS66" s="119"/>
      <c r="AT66" s="120"/>
      <c r="AU66" s="118" t="str">
        <f>IF([15]回答表!X42="○",[15]回答表!J118,IF([15]回答表!AA42="○",[15]回答表!J131,""))</f>
        <v/>
      </c>
      <c r="AV66" s="119"/>
      <c r="AW66" s="119"/>
      <c r="AX66" s="119"/>
      <c r="AY66" s="119"/>
      <c r="AZ66" s="119"/>
      <c r="BA66" s="119"/>
      <c r="BB66" s="120"/>
      <c r="BC66" s="40"/>
      <c r="BD66" s="35"/>
      <c r="BE66" s="82" t="str">
        <f>IF([15]回答表!X42="○",[15]回答表!V117,IF([15]回答表!AA42="○",[15]回答表!V130,""))</f>
        <v/>
      </c>
      <c r="BF66" s="83"/>
      <c r="BG66" s="83"/>
      <c r="BH66" s="83"/>
      <c r="BI66" s="82" t="str">
        <f>IF([15]回答表!X42="○",[15]回答表!V118,IF([15]回答表!AA42="○",[15]回答表!V131,""))</f>
        <v/>
      </c>
      <c r="BJ66" s="83"/>
      <c r="BK66" s="83"/>
      <c r="BL66" s="83"/>
      <c r="BM66" s="82" t="str">
        <f>IF([15]回答表!X42="○",[15]回答表!V119,IF([15]回答表!AA42="○",[15]回答表!V132,""))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IF([15]回答表!AA42="○","○","")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IF([15]回答表!AD42="○","○","")</f>
        <v/>
      </c>
      <c r="O75" s="98"/>
      <c r="P75" s="98"/>
      <c r="Q75" s="99"/>
      <c r="R75" s="39"/>
      <c r="S75" s="39"/>
      <c r="T75" s="39"/>
      <c r="U75" s="106" t="str">
        <f>IF([15]回答表!AD42="○",[15]回答表!B137,"")</f>
        <v/>
      </c>
      <c r="V75" s="107"/>
      <c r="W75" s="107"/>
      <c r="X75" s="107"/>
      <c r="Y75" s="107"/>
      <c r="Z75" s="107"/>
      <c r="AA75" s="107"/>
      <c r="AB75" s="107"/>
      <c r="AC75" s="107"/>
      <c r="AD75" s="107"/>
      <c r="AE75" s="107"/>
      <c r="AF75" s="107"/>
      <c r="AG75" s="107"/>
      <c r="AH75" s="107"/>
      <c r="AI75" s="107"/>
      <c r="AJ75" s="108"/>
      <c r="AK75" s="56"/>
      <c r="AL75" s="56"/>
      <c r="AM75" s="106" t="str">
        <f>IF([15]回答表!AD42="○",[15]回答表!B143,"")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IF([15]回答表!F17="水道事業",IF([15]回答表!X43="○","○",""),"")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IF([15]回答表!F17="水道事業",IF([15]回答表!X43="○",[15]回答表!B154,IF([15]回答表!AA43="○",[15]回答表!B201,"")),"")</f>
        <v/>
      </c>
      <c r="AN87" s="107"/>
      <c r="AO87" s="107"/>
      <c r="AP87" s="107"/>
      <c r="AQ87" s="107"/>
      <c r="AR87" s="107"/>
      <c r="AS87" s="107"/>
      <c r="AT87" s="107"/>
      <c r="AU87" s="107"/>
      <c r="AV87" s="107"/>
      <c r="AW87" s="107"/>
      <c r="AX87" s="107"/>
      <c r="AY87" s="107"/>
      <c r="AZ87" s="107"/>
      <c r="BA87" s="107"/>
      <c r="BB87" s="108"/>
      <c r="BC87" s="40"/>
      <c r="BD87" s="35"/>
      <c r="BE87" s="115" t="str">
        <f>IF([15]回答表!F17="水道事業",IF([15]回答表!X43="○",[15]回答表!B190,IF([15]回答表!AA43="○",[15]回答表!B238,"")),"")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IF([15]回答表!F17="水道事業",IF([15]回答表!X43="○",[15]回答表!J162,IF([15]回答表!AA43="○",[15]回答表!J209,"")),"")</f>
        <v/>
      </c>
      <c r="V89" s="119"/>
      <c r="W89" s="119"/>
      <c r="X89" s="119"/>
      <c r="Y89" s="119"/>
      <c r="Z89" s="119"/>
      <c r="AA89" s="119"/>
      <c r="AB89" s="120"/>
      <c r="AC89" s="118" t="str">
        <f>IF([15]回答表!F17="水道事業",IF([15]回答表!X43="○",[15]回答表!J169,IF([15]回答表!AA43="○",[15]回答表!J216,"")),"")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IF([15]回答表!F17="水道事業",IF([15]回答表!X43="○",[15]回答表!E190,IF([15]回答表!AA43="○",[15]回答表!E238,"")),"")</f>
        <v/>
      </c>
      <c r="BF90" s="83"/>
      <c r="BG90" s="83"/>
      <c r="BH90" s="83"/>
      <c r="BI90" s="82" t="str">
        <f>IF([15]回答表!F17="水道事業",IF([15]回答表!X43="○",[15]回答表!E191,IF([15]回答表!AA43="○",[15]回答表!E239,"")),"")</f>
        <v/>
      </c>
      <c r="BJ90" s="83"/>
      <c r="BK90" s="83"/>
      <c r="BL90" s="83"/>
      <c r="BM90" s="82" t="str">
        <f>IF([15]回答表!F17="水道事業",IF([15]回答表!X43="○",[15]回答表!E192,IF([15]回答表!AA43="○",[15]回答表!E240,"")),"")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IF([15]回答表!F17="水道事業",IF([15]回答表!AA43="○","○",""),"")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IF([15]回答表!F17="水道事業",IF([15]回答表!X43="○",[15]回答表!J172,IF([15]回答表!AA43="○",[15]回答表!J219,"")),"")</f>
        <v/>
      </c>
      <c r="V94" s="119"/>
      <c r="W94" s="119"/>
      <c r="X94" s="119"/>
      <c r="Y94" s="119"/>
      <c r="Z94" s="119"/>
      <c r="AA94" s="119"/>
      <c r="AB94" s="120"/>
      <c r="AC94" s="118" t="str">
        <f>IF([15]回答表!F17="水道事業",IF([15]回答表!X43="○",[15]回答表!J176,IF([15]回答表!AA43="○",[15]回答表!J223,"")),"")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IF([15]回答表!F17="水道事業",IF([15]回答表!AD43="○","○",""),"")</f>
        <v/>
      </c>
      <c r="O99" s="98"/>
      <c r="P99" s="98"/>
      <c r="Q99" s="99"/>
      <c r="R99" s="39"/>
      <c r="S99" s="39"/>
      <c r="T99" s="39"/>
      <c r="U99" s="106" t="str">
        <f>IF([15]回答表!F17="水道事業",IF([15]回答表!AD43="○",[15]回答表!B249,""),"")</f>
        <v/>
      </c>
      <c r="V99" s="107"/>
      <c r="W99" s="107"/>
      <c r="X99" s="107"/>
      <c r="Y99" s="107"/>
      <c r="Z99" s="107"/>
      <c r="AA99" s="107"/>
      <c r="AB99" s="107"/>
      <c r="AC99" s="107"/>
      <c r="AD99" s="107"/>
      <c r="AE99" s="107"/>
      <c r="AF99" s="107"/>
      <c r="AG99" s="107"/>
      <c r="AH99" s="107"/>
      <c r="AI99" s="107"/>
      <c r="AJ99" s="108"/>
      <c r="AK99" s="56"/>
      <c r="AL99" s="56"/>
      <c r="AM99" s="106" t="str">
        <f>IF([15]回答表!F17="水道事業",IF([15]回答表!AD43="○",[15]回答表!B255,""),"")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IF([15]回答表!F17="簡易水道事業",IF([15]回答表!X43="○","○",""),"")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IF([15]回答表!F17="簡易水道事業",IF([15]回答表!X43="○",[15]回答表!B154,IF([15]回答表!AA43="○",[15]回答表!B201,"")),"")</f>
        <v/>
      </c>
      <c r="AN111" s="107"/>
      <c r="AO111" s="107"/>
      <c r="AP111" s="107"/>
      <c r="AQ111" s="107"/>
      <c r="AR111" s="107"/>
      <c r="AS111" s="107"/>
      <c r="AT111" s="107"/>
      <c r="AU111" s="107"/>
      <c r="AV111" s="107"/>
      <c r="AW111" s="107"/>
      <c r="AX111" s="107"/>
      <c r="AY111" s="107"/>
      <c r="AZ111" s="107"/>
      <c r="BA111" s="107"/>
      <c r="BB111" s="108"/>
      <c r="BC111" s="40"/>
      <c r="BD111" s="35"/>
      <c r="BE111" s="115" t="str">
        <f>IF([15]回答表!F17="簡易水道事業",IF([15]回答表!X43="○",[15]回答表!B190,IF([15]回答表!AA43="○",[15]回答表!B238,"")),"")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IF([15]回答表!F17="簡易水道事業",IF([15]回答表!X43="○",[15]回答表!Y181,IF([15]回答表!AA43="○",[15]回答表!Y229,"")),"")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IF([15]回答表!F17="簡易水道事業",IF([15]回答表!X43="○",[15]回答表!E190,IF([15]回答表!AA43="○",[15]回答表!E238,"")),"")</f>
        <v/>
      </c>
      <c r="BF114" s="83"/>
      <c r="BG114" s="83"/>
      <c r="BH114" s="83"/>
      <c r="BI114" s="82" t="str">
        <f>IF([15]回答表!F17="簡易水道事業",IF([15]回答表!X43="○",[15]回答表!E191,IF([15]回答表!AA43="○",[15]回答表!E239,"")),"")</f>
        <v/>
      </c>
      <c r="BJ114" s="83"/>
      <c r="BK114" s="83"/>
      <c r="BL114" s="83"/>
      <c r="BM114" s="82" t="str">
        <f>IF([15]回答表!F17="簡易水道事業",IF([15]回答表!X43="○",[15]回答表!E192,IF([15]回答表!AA43="○",[15]回答表!E240,"")),"")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IF([15]回答表!F17="簡易水道事業",IF([15]回答表!AA43="○","○",""),"")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IF([15]回答表!F17="簡易水道事業",IF([15]回答表!X43="○",[15]回答表!Y182,IF([15]回答表!AA43="○",[15]回答表!Y230,"")),"")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IF([15]回答表!F17="簡易水道事業",IF([15]回答表!AD43="○","○",""),"")</f>
        <v/>
      </c>
      <c r="O123" s="98"/>
      <c r="P123" s="98"/>
      <c r="Q123" s="99"/>
      <c r="R123" s="39"/>
      <c r="S123" s="39"/>
      <c r="T123" s="39"/>
      <c r="U123" s="106" t="str">
        <f>IF([15]回答表!F17="簡易水道事業",IF([15]回答表!AD43="○",[15]回答表!B249,""),"")</f>
        <v/>
      </c>
      <c r="V123" s="107"/>
      <c r="W123" s="107"/>
      <c r="X123" s="107"/>
      <c r="Y123" s="107"/>
      <c r="Z123" s="107"/>
      <c r="AA123" s="107"/>
      <c r="AB123" s="107"/>
      <c r="AC123" s="107"/>
      <c r="AD123" s="107"/>
      <c r="AE123" s="107"/>
      <c r="AF123" s="107"/>
      <c r="AG123" s="107"/>
      <c r="AH123" s="107"/>
      <c r="AI123" s="107"/>
      <c r="AJ123" s="108"/>
      <c r="AK123" s="56"/>
      <c r="AL123" s="56"/>
      <c r="AM123" s="106" t="str">
        <f>IF([15]回答表!F17="簡易水道事業",IF([15]回答表!AD43="○",[15]回答表!B255,""),"")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IF([15]回答表!F17="下水道事業",IF([15]回答表!X43="○","○",""),"")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IF([15]回答表!F17="下水道事業",IF([15]回答表!X43="○",[15]回答表!B154,IF([15]回答表!AA43="○",[15]回答表!B201,"")),"")</f>
        <v/>
      </c>
      <c r="AN135" s="107"/>
      <c r="AO135" s="107"/>
      <c r="AP135" s="107"/>
      <c r="AQ135" s="107"/>
      <c r="AR135" s="107"/>
      <c r="AS135" s="107"/>
      <c r="AT135" s="107"/>
      <c r="AU135" s="107"/>
      <c r="AV135" s="107"/>
      <c r="AW135" s="107"/>
      <c r="AX135" s="107"/>
      <c r="AY135" s="107"/>
      <c r="AZ135" s="107"/>
      <c r="BA135" s="107"/>
      <c r="BB135" s="108"/>
      <c r="BC135" s="40"/>
      <c r="BD135" s="35"/>
      <c r="BE135" s="115" t="str">
        <f>IF([15]回答表!F17="下水道事業",IF([15]回答表!X43="○",[15]回答表!B190,IF([15]回答表!AA43="○",[15]回答表!B238,"")),"")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IF([15]回答表!F17="下水道事業",IF([15]回答表!X43="○",[15]回答表!Y184,IF([15]回答表!AA43="○",[15]回答表!Y232,"")),"")</f>
        <v/>
      </c>
      <c r="V137" s="119"/>
      <c r="W137" s="119"/>
      <c r="X137" s="119"/>
      <c r="Y137" s="119"/>
      <c r="Z137" s="119"/>
      <c r="AA137" s="119"/>
      <c r="AB137" s="120"/>
      <c r="AC137" s="118" t="str">
        <f>IF([15]回答表!F17="下水道事業",IF([15]回答表!X43="○",[15]回答表!Y185,IF([15]回答表!AA43="○",[15]回答表!Y233,"")),"")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IF([15]回答表!F17="下水道事業",IF([15]回答表!X43="○",[15]回答表!E190,IF([15]回答表!AA43="○",[15]回答表!E238,"")),"")</f>
        <v/>
      </c>
      <c r="BF138" s="83"/>
      <c r="BG138" s="83"/>
      <c r="BH138" s="83"/>
      <c r="BI138" s="82" t="str">
        <f>IF([15]回答表!F17="下水道事業",IF([15]回答表!X43="○",[15]回答表!E191,IF([15]回答表!AA43="○",[15]回答表!E239,"")),"")</f>
        <v/>
      </c>
      <c r="BJ138" s="83"/>
      <c r="BK138" s="83"/>
      <c r="BL138" s="83"/>
      <c r="BM138" s="82" t="str">
        <f>IF([15]回答表!F17="下水道事業",IF([15]回答表!X43="○",[15]回答表!E192,IF([15]回答表!AA43="○",[15]回答表!E240,"")),"")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IF([15]回答表!F17="下水道事業",IF([15]回答表!AA43="○","○",""),"")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IF([15]回答表!F17="下水道事業",IF([15]回答表!X43="○",[15]回答表!Y186,IF([15]回答表!AA43="○",[15]回答表!Y234,"")),"")</f>
        <v/>
      </c>
      <c r="V142" s="119"/>
      <c r="W142" s="119"/>
      <c r="X142" s="119"/>
      <c r="Y142" s="119"/>
      <c r="Z142" s="119"/>
      <c r="AA142" s="119"/>
      <c r="AB142" s="120"/>
      <c r="AC142" s="118" t="str">
        <f>IF([15]回答表!F17="下水道事業",IF([15]回答表!X43="○",[15]回答表!Y187,IF([15]回答表!AA43="○",[15]回答表!Y235,"")),"")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IF([15]回答表!F17="下水道事業",IF([15]回答表!AD43="○","○",""),"")</f>
        <v/>
      </c>
      <c r="O147" s="98"/>
      <c r="P147" s="98"/>
      <c r="Q147" s="99"/>
      <c r="R147" s="39"/>
      <c r="S147" s="39"/>
      <c r="T147" s="39"/>
      <c r="U147" s="106" t="str">
        <f>IF([15]回答表!F17="下水道事業",IF([15]回答表!AD43="○",[15]回答表!B249,""),"")</f>
        <v/>
      </c>
      <c r="V147" s="107"/>
      <c r="W147" s="107"/>
      <c r="X147" s="107"/>
      <c r="Y147" s="107"/>
      <c r="Z147" s="107"/>
      <c r="AA147" s="107"/>
      <c r="AB147" s="107"/>
      <c r="AC147" s="107"/>
      <c r="AD147" s="107"/>
      <c r="AE147" s="107"/>
      <c r="AF147" s="107"/>
      <c r="AG147" s="107"/>
      <c r="AH147" s="107"/>
      <c r="AI147" s="107"/>
      <c r="AJ147" s="108"/>
      <c r="AK147" s="56"/>
      <c r="AL147" s="56"/>
      <c r="AM147" s="106" t="str">
        <f>IF([15]回答表!F17="下水道事業",IF([15]回答表!AD43="○",[15]回答表!B255,""),"")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IF([15]回答表!BD17="○",IF([15]回答表!X43="○","○",""),"")</f>
        <v/>
      </c>
      <c r="O159" s="98"/>
      <c r="P159" s="98"/>
      <c r="Q159" s="99"/>
      <c r="R159" s="39"/>
      <c r="S159" s="39"/>
      <c r="T159" s="39"/>
      <c r="U159" s="106" t="str">
        <f>IF([15]回答表!BD17="○",IF([15]回答表!X43="○",[15]回答表!B154,IF([15]回答表!AA43="○",[15]回答表!B201,"")),"")</f>
        <v/>
      </c>
      <c r="V159" s="107"/>
      <c r="W159" s="107"/>
      <c r="X159" s="107"/>
      <c r="Y159" s="107"/>
      <c r="Z159" s="107"/>
      <c r="AA159" s="107"/>
      <c r="AB159" s="107"/>
      <c r="AC159" s="107"/>
      <c r="AD159" s="107"/>
      <c r="AE159" s="107"/>
      <c r="AF159" s="107"/>
      <c r="AG159" s="107"/>
      <c r="AH159" s="107"/>
      <c r="AI159" s="107"/>
      <c r="AJ159" s="108"/>
      <c r="AK159" s="50"/>
      <c r="AL159" s="50"/>
      <c r="AM159" s="115" t="str">
        <f>IF([15]回答表!BD17="○",IF([15]回答表!X43="○",[15]回答表!B190,IF([15]回答表!AA43="○",[15]回答表!B238,"")),"")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IF([15]回答表!BD17="○",IF([15]回答表!X43="○",[15]回答表!E190,IF([15]回答表!AA43="○",[15]回答表!E238,"")),"")</f>
        <v/>
      </c>
      <c r="AN162" s="83"/>
      <c r="AO162" s="83"/>
      <c r="AP162" s="83"/>
      <c r="AQ162" s="82" t="str">
        <f>IF([15]回答表!BD17="○",IF([15]回答表!X43="○",[15]回答表!E191,IF([15]回答表!AA43="○",[15]回答表!E239,"")),"")</f>
        <v/>
      </c>
      <c r="AR162" s="83"/>
      <c r="AS162" s="83"/>
      <c r="AT162" s="83"/>
      <c r="AU162" s="82" t="str">
        <f>IF([15]回答表!BD17="○",IF([15]回答表!X43="○",[15]回答表!E192,IF([15]回答表!AA43="○",[15]回答表!E240,"")),"")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IF([15]回答表!BD17="○",IF([15]回答表!AA43="○","○",""),"")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IF([15]回答表!BD17="○",IF([15]回答表!AD43="○","○",""),"")</f>
        <v/>
      </c>
      <c r="O171" s="98"/>
      <c r="P171" s="98"/>
      <c r="Q171" s="99"/>
      <c r="R171" s="39"/>
      <c r="S171" s="39"/>
      <c r="T171" s="39"/>
      <c r="U171" s="106" t="str">
        <f>IF([15]回答表!BD17="○",IF([15]回答表!AD43="○",[15]回答表!B249,""),"")</f>
        <v/>
      </c>
      <c r="V171" s="107"/>
      <c r="W171" s="107"/>
      <c r="X171" s="107"/>
      <c r="Y171" s="107"/>
      <c r="Z171" s="107"/>
      <c r="AA171" s="107"/>
      <c r="AB171" s="107"/>
      <c r="AC171" s="107"/>
      <c r="AD171" s="107"/>
      <c r="AE171" s="107"/>
      <c r="AF171" s="107"/>
      <c r="AG171" s="107"/>
      <c r="AH171" s="107"/>
      <c r="AI171" s="107"/>
      <c r="AJ171" s="108"/>
      <c r="AK171" s="56"/>
      <c r="AL171" s="56"/>
      <c r="AM171" s="106" t="str">
        <f>IF([15]回答表!BD17="○",IF([15]回答表!AD43="○",[15]回答表!B255,""),"")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IF([15]回答表!X44="○","○","")</f>
        <v/>
      </c>
      <c r="O183" s="98"/>
      <c r="P183" s="98"/>
      <c r="Q183" s="99"/>
      <c r="R183" s="39"/>
      <c r="S183" s="39"/>
      <c r="T183" s="39"/>
      <c r="U183" s="106" t="str">
        <f>IF([15]回答表!X44="○",[15]回答表!B266,IF([15]回答表!AA44="○",[15]回答表!B283,""))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IF([15]回答表!X44="○",[15]回答表!U272,IF([15]回答表!AA44="○",[15]回答表!U289,""))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IF([15]回答表!X44="○",[15]回答表!G272,IF([15]回答表!AA44="○",[15]回答表!G289,""))</f>
        <v/>
      </c>
      <c r="AN186" s="119"/>
      <c r="AO186" s="119"/>
      <c r="AP186" s="119"/>
      <c r="AQ186" s="119"/>
      <c r="AR186" s="119"/>
      <c r="AS186" s="119"/>
      <c r="AT186" s="120"/>
      <c r="AU186" s="118" t="str">
        <f>IF([15]回答表!X44="○",[15]回答表!G273,IF([15]回答表!AA44="○",[15]回答表!G290,""))</f>
        <v/>
      </c>
      <c r="AV186" s="119"/>
      <c r="AW186" s="119"/>
      <c r="AX186" s="119"/>
      <c r="AY186" s="119"/>
      <c r="AZ186" s="119"/>
      <c r="BA186" s="119"/>
      <c r="BB186" s="120"/>
      <c r="BC186" s="40"/>
      <c r="BD186" s="35"/>
      <c r="BE186" s="82" t="str">
        <f>IF([15]回答表!X44="○",[15]回答表!X272,IF([15]回答表!AA44="○",[15]回答表!X289,""))</f>
        <v/>
      </c>
      <c r="BF186" s="83"/>
      <c r="BG186" s="83"/>
      <c r="BH186" s="83"/>
      <c r="BI186" s="82" t="str">
        <f>IF([15]回答表!X44="○",[15]回答表!X273,IF([15]回答表!AA44="○",[15]回答表!X290,""))</f>
        <v/>
      </c>
      <c r="BJ186" s="83"/>
      <c r="BK186" s="83"/>
      <c r="BL186" s="86"/>
      <c r="BM186" s="82" t="str">
        <f>IF([15]回答表!X44="○",[15]回答表!X274,IF([15]回答表!AA44="○",[15]回答表!X291,""))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IF([15]回答表!AA44="○","○","")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IF([15]回答表!AD44="○","○","")</f>
        <v/>
      </c>
      <c r="O195" s="98"/>
      <c r="P195" s="98"/>
      <c r="Q195" s="99"/>
      <c r="R195" s="39"/>
      <c r="S195" s="39"/>
      <c r="T195" s="39"/>
      <c r="U195" s="106" t="str">
        <f>IF([15]回答表!AD44="○",[15]回答表!B296,"")</f>
        <v/>
      </c>
      <c r="V195" s="107"/>
      <c r="W195" s="107"/>
      <c r="X195" s="107"/>
      <c r="Y195" s="107"/>
      <c r="Z195" s="107"/>
      <c r="AA195" s="107"/>
      <c r="AB195" s="107"/>
      <c r="AC195" s="107"/>
      <c r="AD195" s="107"/>
      <c r="AE195" s="107"/>
      <c r="AF195" s="107"/>
      <c r="AG195" s="107"/>
      <c r="AH195" s="107"/>
      <c r="AI195" s="107"/>
      <c r="AJ195" s="108"/>
      <c r="AK195" s="61"/>
      <c r="AL195" s="61"/>
      <c r="AM195" s="106" t="str">
        <f>IF([15]回答表!AD44="○",[15]回答表!B302,"")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IF([15]回答表!X45="○","○","")</f>
        <v/>
      </c>
      <c r="O207" s="98"/>
      <c r="P207" s="98"/>
      <c r="Q207" s="99"/>
      <c r="R207" s="39"/>
      <c r="S207" s="39"/>
      <c r="T207" s="39"/>
      <c r="U207" s="106" t="str">
        <f>IF([15]回答表!X45="○",[15]回答表!B314,IF([15]回答表!AA45="○",[15]回答表!B337,""))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IF([15]回答表!X45="○",[15]回答表!B320,"")</f>
        <v/>
      </c>
      <c r="AO207" s="164"/>
      <c r="AP207" s="164"/>
      <c r="AQ207" s="164"/>
      <c r="AR207" s="164"/>
      <c r="AS207" s="164"/>
      <c r="AT207" s="164"/>
      <c r="AU207" s="164"/>
      <c r="AV207" s="164"/>
      <c r="AW207" s="164"/>
      <c r="AX207" s="164"/>
      <c r="AY207" s="164"/>
      <c r="AZ207" s="164"/>
      <c r="BA207" s="164"/>
      <c r="BB207" s="165"/>
      <c r="BC207" s="40"/>
      <c r="BD207" s="35"/>
      <c r="BE207" s="115" t="str">
        <f>IF([15]回答表!X45="○",[15]回答表!B326,IF([15]回答表!AA45="○",[15]回答表!B343,""))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IF([15]回答表!X45="○",[15]回答表!E326,IF([15]回答表!AA45="○",[15]回答表!E343,""))</f>
        <v/>
      </c>
      <c r="BF210" s="83"/>
      <c r="BG210" s="83"/>
      <c r="BH210" s="83"/>
      <c r="BI210" s="82" t="str">
        <f>IF([15]回答表!X45="○",[15]回答表!E327,IF([15]回答表!AA45="○",[15]回答表!E344,""))</f>
        <v/>
      </c>
      <c r="BJ210" s="83"/>
      <c r="BK210" s="83"/>
      <c r="BL210" s="86"/>
      <c r="BM210" s="82" t="str">
        <f>IF([15]回答表!X45="○",[15]回答表!E328,IF([15]回答表!AA45="○",[15]回答表!E345,""))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IF([15]回答表!AA45="○","○","")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IF([15]回答表!AD45="○","○","")</f>
        <v/>
      </c>
      <c r="O219" s="98"/>
      <c r="P219" s="98"/>
      <c r="Q219" s="99"/>
      <c r="R219" s="39"/>
      <c r="S219" s="39"/>
      <c r="T219" s="39"/>
      <c r="U219" s="106" t="str">
        <f>IF([15]回答表!AD45="○",[15]回答表!B350,"")</f>
        <v/>
      </c>
      <c r="V219" s="107"/>
      <c r="W219" s="107"/>
      <c r="X219" s="107"/>
      <c r="Y219" s="107"/>
      <c r="Z219" s="107"/>
      <c r="AA219" s="107"/>
      <c r="AB219" s="107"/>
      <c r="AC219" s="107"/>
      <c r="AD219" s="107"/>
      <c r="AE219" s="107"/>
      <c r="AF219" s="107"/>
      <c r="AG219" s="107"/>
      <c r="AH219" s="107"/>
      <c r="AI219" s="107"/>
      <c r="AJ219" s="108"/>
      <c r="AK219" s="61"/>
      <c r="AL219" s="61"/>
      <c r="AM219" s="106" t="str">
        <f>IF([15]回答表!AD45="○",[15]回答表!B356,"")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IF([15]回答表!X46="○","○","")</f>
        <v/>
      </c>
      <c r="O231" s="98"/>
      <c r="P231" s="98"/>
      <c r="Q231" s="99"/>
      <c r="R231" s="39"/>
      <c r="S231" s="39"/>
      <c r="T231" s="39"/>
      <c r="U231" s="106" t="str">
        <f>IF([15]回答表!X46="○",[15]回答表!B368,IF([15]回答表!AA46="○",[15]回答表!B382,""))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IF([15]回答表!X46="○",[15]回答表!BC375,IF([15]回答表!AA46="○",[15]回答表!BC389,""))</f>
        <v/>
      </c>
      <c r="AR231" s="150"/>
      <c r="AS231" s="150"/>
      <c r="AT231" s="150"/>
      <c r="AU231" s="155" t="s">
        <v>63</v>
      </c>
      <c r="AV231" s="156"/>
      <c r="AW231" s="156"/>
      <c r="AX231" s="157"/>
      <c r="AY231" s="150" t="str">
        <f>IF([15]回答表!X46="○",[15]回答表!BC380,IF([15]回答表!AA46="○",[15]回答表!BC394,""))</f>
        <v/>
      </c>
      <c r="AZ231" s="150"/>
      <c r="BA231" s="150"/>
      <c r="BB231" s="150"/>
      <c r="BC231" s="40"/>
      <c r="BD231" s="35"/>
      <c r="BE231" s="115" t="str">
        <f>IF([15]回答表!X46="○",[15]回答表!S374,IF([15]回答表!AA46="○",[15]回答表!S388,""))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IF([15]回答表!X46="○",[15]回答表!BC376,IF([15]回答表!AA46="○",[15]回答表!BC390,""))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IF([15]回答表!X46="○",[15]回答表!V374,IF([15]回答表!AA46="○",[15]回答表!V388,""))</f>
        <v/>
      </c>
      <c r="BF234" s="83"/>
      <c r="BG234" s="83"/>
      <c r="BH234" s="83"/>
      <c r="BI234" s="82" t="str">
        <f>IF([15]回答表!X46="○",[15]回答表!V375,IF([15]回答表!AA46="○",[15]回答表!V389,""))</f>
        <v/>
      </c>
      <c r="BJ234" s="83"/>
      <c r="BK234" s="83"/>
      <c r="BL234" s="86"/>
      <c r="BM234" s="82" t="str">
        <f>IF([15]回答表!X46="○",[15]回答表!V376,IF([15]回答表!AA46="○",[15]回答表!V390,""))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IF([15]回答表!X46="○",[15]回答表!BC377,IF([15]回答表!AA46="○",[15]回答表!BC391,""))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IF([15]回答表!X46="○",[15]回答表!BC381,IF([15]回答表!AA46="○",[15]回答表!BC395,""))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IF([15]回答表!AA46="○","○","")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IF([15]回答表!X46="○",[15]回答表!BC378,IF([15]回答表!AA46="○",[15]回答表!BC392,""))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IF([15]回答表!X46="○",[15]回答表!BC379,IF([15]回答表!AA46="○",[15]回答表!BC393,""))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IF([15]回答表!AD46="○","○","")</f>
        <v/>
      </c>
      <c r="O243" s="98"/>
      <c r="P243" s="98"/>
      <c r="Q243" s="99"/>
      <c r="R243" s="39"/>
      <c r="S243" s="39"/>
      <c r="T243" s="39"/>
      <c r="U243" s="106" t="str">
        <f>IF([15]回答表!AD46="○",[15]回答表!B396,"")</f>
        <v/>
      </c>
      <c r="V243" s="107"/>
      <c r="W243" s="107"/>
      <c r="X243" s="107"/>
      <c r="Y243" s="107"/>
      <c r="Z243" s="107"/>
      <c r="AA243" s="107"/>
      <c r="AB243" s="107"/>
      <c r="AC243" s="107"/>
      <c r="AD243" s="107"/>
      <c r="AE243" s="107"/>
      <c r="AF243" s="107"/>
      <c r="AG243" s="107"/>
      <c r="AH243" s="107"/>
      <c r="AI243" s="107"/>
      <c r="AJ243" s="108"/>
      <c r="AK243" s="56"/>
      <c r="AL243" s="56"/>
      <c r="AM243" s="106" t="str">
        <f>IF([15]回答表!AD46="○",[15]回答表!B402,"")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IF([15]回答表!X47="○","○","")</f>
        <v/>
      </c>
      <c r="O254" s="98"/>
      <c r="P254" s="98"/>
      <c r="Q254" s="99"/>
      <c r="R254" s="39"/>
      <c r="S254" s="39"/>
      <c r="T254" s="39"/>
      <c r="U254" s="106" t="str">
        <f>IF([15]回答表!X47="○",[15]回答表!B414,IF([15]回答表!AA47="○",[15]回答表!B431,""))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IF([15]回答表!X47="○",[15]回答表!B424,IF([15]回答表!AA47="○",[15]回答表!B441,""))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IF([15]回答表!X47="○",[15]回答表!G420,IF([15]回答表!AA47="○",[15]回答表!G437,""))</f>
        <v/>
      </c>
      <c r="AN256" s="119"/>
      <c r="AO256" s="119"/>
      <c r="AP256" s="119"/>
      <c r="AQ256" s="119"/>
      <c r="AR256" s="119"/>
      <c r="AS256" s="119"/>
      <c r="AT256" s="120"/>
      <c r="AU256" s="118" t="str">
        <f>IF([15]回答表!X47="○",[15]回答表!G421,IF([15]回答表!AA47="○",[15]回答表!G438,""))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IF([15]回答表!X47="○",[15]回答表!E424,IF([15]回答表!AA47="○",[15]回答表!E441,""))</f>
        <v/>
      </c>
      <c r="BF257" s="83"/>
      <c r="BG257" s="83"/>
      <c r="BH257" s="83"/>
      <c r="BI257" s="82" t="str">
        <f>IF([15]回答表!X47="○",[15]回答表!E425,IF([15]回答表!AA47="○",[15]回答表!E442,""))</f>
        <v/>
      </c>
      <c r="BJ257" s="83"/>
      <c r="BK257" s="83"/>
      <c r="BL257" s="86"/>
      <c r="BM257" s="82" t="str">
        <f>IF([15]回答表!X47="○",[15]回答表!E426,IF([15]回答表!AA47="○",[15]回答表!E443,""))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IF([15]回答表!AA47="○","○","")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IF([15]回答表!AD47="○","○","")</f>
        <v/>
      </c>
      <c r="O266" s="98"/>
      <c r="P266" s="98"/>
      <c r="Q266" s="99"/>
      <c r="R266" s="39"/>
      <c r="S266" s="39"/>
      <c r="T266" s="39"/>
      <c r="U266" s="106" t="str">
        <f>IF([15]回答表!AD47="○",[15]回答表!B448,"")</f>
        <v/>
      </c>
      <c r="V266" s="107"/>
      <c r="W266" s="107"/>
      <c r="X266" s="107"/>
      <c r="Y266" s="107"/>
      <c r="Z266" s="107"/>
      <c r="AA266" s="107"/>
      <c r="AB266" s="107"/>
      <c r="AC266" s="107"/>
      <c r="AD266" s="107"/>
      <c r="AE266" s="107"/>
      <c r="AF266" s="107"/>
      <c r="AG266" s="107"/>
      <c r="AH266" s="107"/>
      <c r="AI266" s="107"/>
      <c r="AJ266" s="108"/>
      <c r="AK266" s="50"/>
      <c r="AL266" s="50"/>
      <c r="AM266" s="106" t="str">
        <f>IF([15]回答表!AD47="○",[15]回答表!B454,"")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IF([15]回答表!R48="○",[15]回答表!B467,"")</f>
        <v>市ではスキー場運営について、令和２年度からの指定管理者制度への移行を目指し、令和元年度中に公募を行ったが応募がなかった。このため、説明会に参加された事業者に対し、応募できなかった理由等について聞き取りを行ったところ、「季節営業故に従業員や有資格者など人材確保が困難であることや、天候に著しく左右される事業であることなどを考慮し、事業展開は難しいと判断した。」との内容であった。その後、公募要件の見直しによる再公募を検討したものの、経費が膨れあがり、市としては財政的なメリットが皆無になることが判明したため、再公募を断念し今後も直営で継続することと判断したものである。（現在のスキー場運営は、安全統括管理者を市職員が兼務し、その他従業員を臨時職員とするなど、最少の経費で運営しているため。）
なお、スキー場を取り巻く環境は、県内人口の減少や少子高齢化による来場者数の減少のほか、設備の更新・改修費用の捻出など、非常に厳しいものがあるが、本市唯一の本格スキー場としてその役割は大きいため、今後とも住民ニーズの把握や事業効果の検証を通し、適正な設備投資と効率的な運営を念頭に直営で経営していくものである。</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3"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DFF5-5FCD-42D2-A7C6-2B35BEBF3263}">
  <sheetPr>
    <pageSetUpPr fitToPage="1"/>
  </sheetPr>
  <dimension ref="A1:CE298"/>
  <sheetViews>
    <sheetView showZeros="0" zoomScale="55" zoomScaleNormal="55" workbookViewId="0">
      <selection activeCell="BX47" sqref="BX47"/>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IF(COUNTIF([11]回答表!K15,"*")&gt;0,[11]回答表!K15,"")</f>
        <v>由利本荘市</v>
      </c>
      <c r="D11" s="246"/>
      <c r="E11" s="246"/>
      <c r="F11" s="246"/>
      <c r="G11" s="246"/>
      <c r="H11" s="246"/>
      <c r="I11" s="246"/>
      <c r="J11" s="246"/>
      <c r="K11" s="246"/>
      <c r="L11" s="246"/>
      <c r="M11" s="246"/>
      <c r="N11" s="246"/>
      <c r="O11" s="246"/>
      <c r="P11" s="246"/>
      <c r="Q11" s="246"/>
      <c r="R11" s="246"/>
      <c r="S11" s="246"/>
      <c r="T11" s="246"/>
      <c r="U11" s="253" t="str">
        <f>IF(COUNTIF([11]回答表!F17,"*")&gt;0,[11]回答表!F17,"")</f>
        <v>介護サービス事業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IF(COUNTIF([11]回答表!W17,"*")&gt;0,[11]回答表!W17,"")</f>
        <v>指定介護老人福祉施設</v>
      </c>
      <c r="AP11" s="248"/>
      <c r="AQ11" s="248"/>
      <c r="AR11" s="248"/>
      <c r="AS11" s="248"/>
      <c r="AT11" s="248"/>
      <c r="AU11" s="248"/>
      <c r="AV11" s="248"/>
      <c r="AW11" s="248"/>
      <c r="AX11" s="248"/>
      <c r="AY11" s="248"/>
      <c r="AZ11" s="248"/>
      <c r="BA11" s="248"/>
      <c r="BB11" s="248"/>
      <c r="BC11" s="248"/>
      <c r="BD11" s="248"/>
      <c r="BE11" s="249"/>
      <c r="BF11" s="252" t="str">
        <f>IF(COUNTIF([11]回答表!F19,"*")&gt;0,[11]回答表!F19,"")</f>
        <v>介護サービス事業特別会計</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IF([11]回答表!R41="○","○","")</f>
        <v/>
      </c>
      <c r="E24" s="122"/>
      <c r="F24" s="122"/>
      <c r="G24" s="122"/>
      <c r="H24" s="122"/>
      <c r="I24" s="122"/>
      <c r="J24" s="123"/>
      <c r="K24" s="121" t="str">
        <f>IF([11]回答表!R42="○","○","")</f>
        <v/>
      </c>
      <c r="L24" s="122"/>
      <c r="M24" s="122"/>
      <c r="N24" s="122"/>
      <c r="O24" s="122"/>
      <c r="P24" s="122"/>
      <c r="Q24" s="123"/>
      <c r="R24" s="121" t="str">
        <f>IF([11]回答表!R43="○","○","")</f>
        <v/>
      </c>
      <c r="S24" s="122"/>
      <c r="T24" s="122"/>
      <c r="U24" s="122"/>
      <c r="V24" s="122"/>
      <c r="W24" s="122"/>
      <c r="X24" s="123"/>
      <c r="Y24" s="121" t="str">
        <f>IF([11]回答表!R44="○","○","")</f>
        <v>○</v>
      </c>
      <c r="Z24" s="122"/>
      <c r="AA24" s="122"/>
      <c r="AB24" s="122"/>
      <c r="AC24" s="122"/>
      <c r="AD24" s="122"/>
      <c r="AE24" s="123"/>
      <c r="AF24" s="121" t="str">
        <f>IF([11]回答表!R45="○","○","")</f>
        <v/>
      </c>
      <c r="AG24" s="122"/>
      <c r="AH24" s="122"/>
      <c r="AI24" s="122"/>
      <c r="AJ24" s="122"/>
      <c r="AK24" s="122"/>
      <c r="AL24" s="123"/>
      <c r="AM24" s="121" t="str">
        <f>IF([11]回答表!R46="○","○","")</f>
        <v/>
      </c>
      <c r="AN24" s="122"/>
      <c r="AO24" s="122"/>
      <c r="AP24" s="122"/>
      <c r="AQ24" s="122"/>
      <c r="AR24" s="122"/>
      <c r="AS24" s="123"/>
      <c r="AT24" s="121" t="str">
        <f>IF([11]回答表!R47="○","○","")</f>
        <v/>
      </c>
      <c r="AU24" s="122"/>
      <c r="AV24" s="122"/>
      <c r="AW24" s="122"/>
      <c r="AX24" s="122"/>
      <c r="AY24" s="122"/>
      <c r="AZ24" s="123"/>
      <c r="BA24" s="19"/>
      <c r="BB24" s="118" t="str">
        <f>IF([11]回答表!R48="○","○","")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IF([11]回答表!X41="○","○","")</f>
        <v/>
      </c>
      <c r="O36" s="98"/>
      <c r="P36" s="98"/>
      <c r="Q36" s="99"/>
      <c r="R36" s="39"/>
      <c r="S36" s="39"/>
      <c r="T36" s="39"/>
      <c r="U36" s="106" t="str">
        <f>IF([11]回答表!X41="○",[11]回答表!B56,IF([11]回答表!AA41="○",[11]回答表!B76,""))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IF([11]回答表!X41="○",[11]回答表!S62,IF([11]回答表!AA41="○",[11]回答表!S82,""))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IF([11]回答表!X41="○",[11]回答表!G62,IF([11]回答表!AA41="○",[11]回答表!G82,""))</f>
        <v/>
      </c>
      <c r="AN38" s="119"/>
      <c r="AO38" s="119"/>
      <c r="AP38" s="119"/>
      <c r="AQ38" s="119"/>
      <c r="AR38" s="119"/>
      <c r="AS38" s="119"/>
      <c r="AT38" s="120"/>
      <c r="AU38" s="118" t="str">
        <f>IF([11]回答表!X41="○",[11]回答表!G63,IF([11]回答表!AA41="○",[11]回答表!G83,""))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IF([11]回答表!X41="○",[11]回答表!V62,IF([11]回答表!AA41="○",[11]回答表!V82,""))</f>
        <v/>
      </c>
      <c r="BF39" s="199"/>
      <c r="BG39" s="199"/>
      <c r="BH39" s="200"/>
      <c r="BI39" s="82" t="str">
        <f>IF([11]回答表!X41="○",[11]回答表!V63,IF([11]回答表!AA41="○",[11]回答表!V83,""))</f>
        <v/>
      </c>
      <c r="BJ39" s="199"/>
      <c r="BK39" s="199"/>
      <c r="BL39" s="200"/>
      <c r="BM39" s="82" t="str">
        <f>IF([11]回答表!X41="○",[11]回答表!V64,IF([11]回答表!AA41="○",[11]回答表!V84,""))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IF([11]回答表!X41="○",[11]回答表!O68,IF([11]回答表!AA41="○",[11]回答表!O88,""))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IF([11]回答表!X41="○",[11]回答表!O69,IF([11]回答表!AA41="○",[11]回答表!O89,""))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IF([11]回答表!AA41="○","○","")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IF([11]回答表!X41="○",[11]回答表!O70,IF([11]回答表!AA41="○",[11]回答表!O90,""))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IF([11]回答表!X41="○",[11]回答表!O71,IF([11]回答表!AA41="○",[11]回答表!O91,""))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IF([11]回答表!X41="○",[11]回答表!AG68,IF([11]回答表!AA41="○",[11]回答表!AG88,""))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IF([11]回答表!X41="○",[11]回答表!AG69,IF([11]回答表!AA41="○",[11]回答表!AG89,""))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IF([11]回答表!X41="○",[11]回答表!AG70,IF([11]回答表!AA41="○",[11]回答表!AG90,""))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IF([11]回答表!AD41="○","○","")</f>
        <v/>
      </c>
      <c r="O52" s="98"/>
      <c r="P52" s="98"/>
      <c r="Q52" s="99"/>
      <c r="R52" s="39"/>
      <c r="S52" s="39"/>
      <c r="T52" s="39"/>
      <c r="U52" s="106" t="str">
        <f>IF([11]回答表!AD41="○",[11]回答表!B96,"")</f>
        <v/>
      </c>
      <c r="V52" s="107"/>
      <c r="W52" s="107"/>
      <c r="X52" s="107"/>
      <c r="Y52" s="107"/>
      <c r="Z52" s="107"/>
      <c r="AA52" s="107"/>
      <c r="AB52" s="107"/>
      <c r="AC52" s="107"/>
      <c r="AD52" s="107"/>
      <c r="AE52" s="107"/>
      <c r="AF52" s="107"/>
      <c r="AG52" s="107"/>
      <c r="AH52" s="107"/>
      <c r="AI52" s="107"/>
      <c r="AJ52" s="108"/>
      <c r="AK52" s="56"/>
      <c r="AL52" s="56"/>
      <c r="AM52" s="106" t="str">
        <f>IF([11]回答表!AD41="○",[11]回答表!B101,"")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IF([11]回答表!X42="○","○","")</f>
        <v/>
      </c>
      <c r="O63" s="98"/>
      <c r="P63" s="98"/>
      <c r="Q63" s="99"/>
      <c r="R63" s="39"/>
      <c r="S63" s="39"/>
      <c r="T63" s="39"/>
      <c r="U63" s="106" t="str">
        <f>IF([11]回答表!X42="○",[11]回答表!B111,IF([11]回答表!AA42="○",[11]回答表!B124,""))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IF([11]回答表!X42="○",[11]回答表!S117,IF([11]回答表!AA42="○",[11]回答表!S130,""))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IF([11]回答表!X42="○",[11]回答表!J117,IF([11]回答表!AA42="○",[11]回答表!J130,""))</f>
        <v/>
      </c>
      <c r="AN66" s="119"/>
      <c r="AO66" s="119"/>
      <c r="AP66" s="119"/>
      <c r="AQ66" s="119"/>
      <c r="AR66" s="119"/>
      <c r="AS66" s="119"/>
      <c r="AT66" s="120"/>
      <c r="AU66" s="118" t="str">
        <f>IF([11]回答表!X42="○",[11]回答表!J118,IF([11]回答表!AA42="○",[11]回答表!J131,""))</f>
        <v/>
      </c>
      <c r="AV66" s="119"/>
      <c r="AW66" s="119"/>
      <c r="AX66" s="119"/>
      <c r="AY66" s="119"/>
      <c r="AZ66" s="119"/>
      <c r="BA66" s="119"/>
      <c r="BB66" s="120"/>
      <c r="BC66" s="40"/>
      <c r="BD66" s="35"/>
      <c r="BE66" s="82" t="str">
        <f>IF([11]回答表!X42="○",[11]回答表!V117,IF([11]回答表!AA42="○",[11]回答表!V130,""))</f>
        <v/>
      </c>
      <c r="BF66" s="83"/>
      <c r="BG66" s="83"/>
      <c r="BH66" s="83"/>
      <c r="BI66" s="82" t="str">
        <f>IF([11]回答表!X42="○",[11]回答表!V118,IF([11]回答表!AA42="○",[11]回答表!V131,""))</f>
        <v/>
      </c>
      <c r="BJ66" s="83"/>
      <c r="BK66" s="83"/>
      <c r="BL66" s="83"/>
      <c r="BM66" s="82" t="str">
        <f>IF([11]回答表!X42="○",[11]回答表!V119,IF([11]回答表!AA42="○",[11]回答表!V132,""))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IF([11]回答表!AD42="○","○","")</f>
        <v/>
      </c>
      <c r="O75" s="98"/>
      <c r="P75" s="98"/>
      <c r="Q75" s="99"/>
      <c r="R75" s="39"/>
      <c r="S75" s="39"/>
      <c r="T75" s="39"/>
      <c r="U75" s="106" t="str">
        <f>IF([11]回答表!AD42="○",[11]回答表!B137,"")</f>
        <v/>
      </c>
      <c r="V75" s="107"/>
      <c r="W75" s="107"/>
      <c r="X75" s="107"/>
      <c r="Y75" s="107"/>
      <c r="Z75" s="107"/>
      <c r="AA75" s="107"/>
      <c r="AB75" s="107"/>
      <c r="AC75" s="107"/>
      <c r="AD75" s="107"/>
      <c r="AE75" s="107"/>
      <c r="AF75" s="107"/>
      <c r="AG75" s="107"/>
      <c r="AH75" s="107"/>
      <c r="AI75" s="107"/>
      <c r="AJ75" s="108"/>
      <c r="AK75" s="56"/>
      <c r="AL75" s="56"/>
      <c r="AM75" s="106" t="str">
        <f>IF([11]回答表!AD42="○",[11]回答表!B143,"")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IF([11]回答表!F17="水道事業",IF([11]回答表!X43="○","○",""),"")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IF([11]回答表!F17="水道事業",IF([11]回答表!X43="○",[11]回答表!B154,IF([11]回答表!AA43="○",[11]回答表!B201,"")),"")</f>
        <v/>
      </c>
      <c r="AN87" s="107"/>
      <c r="AO87" s="107"/>
      <c r="AP87" s="107"/>
      <c r="AQ87" s="107"/>
      <c r="AR87" s="107"/>
      <c r="AS87" s="107"/>
      <c r="AT87" s="107"/>
      <c r="AU87" s="107"/>
      <c r="AV87" s="107"/>
      <c r="AW87" s="107"/>
      <c r="AX87" s="107"/>
      <c r="AY87" s="107"/>
      <c r="AZ87" s="107"/>
      <c r="BA87" s="107"/>
      <c r="BB87" s="108"/>
      <c r="BC87" s="40"/>
      <c r="BD87" s="35"/>
      <c r="BE87" s="115" t="str">
        <f>IF([11]回答表!F17="水道事業",IF([11]回答表!X43="○",[11]回答表!B190,IF([11]回答表!AA43="○",[11]回答表!B238,"")),"")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IF([11]回答表!F17="水道事業",IF([11]回答表!X43="○",[11]回答表!J162,IF([11]回答表!AA43="○",[11]回答表!J209,"")),"")</f>
        <v/>
      </c>
      <c r="V89" s="119"/>
      <c r="W89" s="119"/>
      <c r="X89" s="119"/>
      <c r="Y89" s="119"/>
      <c r="Z89" s="119"/>
      <c r="AA89" s="119"/>
      <c r="AB89" s="120"/>
      <c r="AC89" s="118" t="str">
        <f>IF([11]回答表!F17="水道事業",IF([11]回答表!X43="○",[11]回答表!J169,IF([11]回答表!AA43="○",[11]回答表!J216,"")),"")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IF([11]回答表!F17="水道事業",IF([11]回答表!X43="○",[11]回答表!E190,IF([11]回答表!AA43="○",[11]回答表!E238,"")),"")</f>
        <v/>
      </c>
      <c r="BF90" s="83"/>
      <c r="BG90" s="83"/>
      <c r="BH90" s="83"/>
      <c r="BI90" s="82" t="str">
        <f>IF([11]回答表!F17="水道事業",IF([11]回答表!X43="○",[11]回答表!E191,IF([11]回答表!AA43="○",[11]回答表!E239,"")),"")</f>
        <v/>
      </c>
      <c r="BJ90" s="83"/>
      <c r="BK90" s="83"/>
      <c r="BL90" s="83"/>
      <c r="BM90" s="82" t="str">
        <f>IF([11]回答表!F17="水道事業",IF([11]回答表!X43="○",[11]回答表!E192,IF([11]回答表!AA43="○",[11]回答表!E240,"")),"")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IF([11]回答表!F17="水道事業",IF([11]回答表!AA43="○","○",""),"")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IF([11]回答表!F17="水道事業",IF([11]回答表!X43="○",[11]回答表!J172,IF([11]回答表!AA43="○",[11]回答表!J219,"")),"")</f>
        <v/>
      </c>
      <c r="V94" s="119"/>
      <c r="W94" s="119"/>
      <c r="X94" s="119"/>
      <c r="Y94" s="119"/>
      <c r="Z94" s="119"/>
      <c r="AA94" s="119"/>
      <c r="AB94" s="120"/>
      <c r="AC94" s="118" t="str">
        <f>IF([11]回答表!F17="水道事業",IF([11]回答表!X43="○",[11]回答表!J176,IF([11]回答表!AA43="○",[11]回答表!J223,"")),"")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IF([11]回答表!F17="水道事業",IF([11]回答表!AD43="○","○",""),"")</f>
        <v/>
      </c>
      <c r="O99" s="98"/>
      <c r="P99" s="98"/>
      <c r="Q99" s="99"/>
      <c r="R99" s="39"/>
      <c r="S99" s="39"/>
      <c r="T99" s="39"/>
      <c r="U99" s="106" t="str">
        <f>IF([11]回答表!F17="水道事業",IF([11]回答表!AD43="○",[11]回答表!B249,""),"")</f>
        <v/>
      </c>
      <c r="V99" s="107"/>
      <c r="W99" s="107"/>
      <c r="X99" s="107"/>
      <c r="Y99" s="107"/>
      <c r="Z99" s="107"/>
      <c r="AA99" s="107"/>
      <c r="AB99" s="107"/>
      <c r="AC99" s="107"/>
      <c r="AD99" s="107"/>
      <c r="AE99" s="107"/>
      <c r="AF99" s="107"/>
      <c r="AG99" s="107"/>
      <c r="AH99" s="107"/>
      <c r="AI99" s="107"/>
      <c r="AJ99" s="108"/>
      <c r="AK99" s="56"/>
      <c r="AL99" s="56"/>
      <c r="AM99" s="106" t="str">
        <f>IF([11]回答表!F17="水道事業",IF([11]回答表!AD43="○",[11]回答表!B255,""),"")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IF([11]回答表!F17="簡易水道事業",IF([11]回答表!X43="○","○",""),"")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IF([11]回答表!F17="簡易水道事業",IF([11]回答表!X43="○",[11]回答表!B154,IF([11]回答表!AA43="○",[11]回答表!B201,"")),"")</f>
        <v/>
      </c>
      <c r="AN111" s="107"/>
      <c r="AO111" s="107"/>
      <c r="AP111" s="107"/>
      <c r="AQ111" s="107"/>
      <c r="AR111" s="107"/>
      <c r="AS111" s="107"/>
      <c r="AT111" s="107"/>
      <c r="AU111" s="107"/>
      <c r="AV111" s="107"/>
      <c r="AW111" s="107"/>
      <c r="AX111" s="107"/>
      <c r="AY111" s="107"/>
      <c r="AZ111" s="107"/>
      <c r="BA111" s="107"/>
      <c r="BB111" s="108"/>
      <c r="BC111" s="40"/>
      <c r="BD111" s="35"/>
      <c r="BE111" s="115" t="str">
        <f>IF([11]回答表!F17="簡易水道事業",IF([11]回答表!X43="○",[11]回答表!B190,IF([11]回答表!AA43="○",[11]回答表!B238,"")),"")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IF([11]回答表!F17="簡易水道事業",IF([11]回答表!X43="○",[11]回答表!Y181,IF([11]回答表!AA43="○",[11]回答表!Y229,"")),"")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IF([11]回答表!F17="簡易水道事業",IF([11]回答表!X43="○",[11]回答表!E190,IF([11]回答表!AA43="○",[11]回答表!E238,"")),"")</f>
        <v/>
      </c>
      <c r="BF114" s="83"/>
      <c r="BG114" s="83"/>
      <c r="BH114" s="83"/>
      <c r="BI114" s="82" t="str">
        <f>IF([11]回答表!F17="簡易水道事業",IF([11]回答表!X43="○",[11]回答表!E191,IF([11]回答表!AA43="○",[11]回答表!E239,"")),"")</f>
        <v/>
      </c>
      <c r="BJ114" s="83"/>
      <c r="BK114" s="83"/>
      <c r="BL114" s="83"/>
      <c r="BM114" s="82" t="str">
        <f>IF([11]回答表!F17="簡易水道事業",IF([11]回答表!X43="○",[11]回答表!E192,IF([11]回答表!AA43="○",[11]回答表!E240,"")),"")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IF([11]回答表!F17="簡易水道事業",IF([11]回答表!AA43="○","○",""),"")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IF([11]回答表!F17="簡易水道事業",IF([11]回答表!X43="○",[11]回答表!Y182,IF([11]回答表!AA43="○",[11]回答表!Y230,"")),"")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IF([11]回答表!F17="簡易水道事業",IF([11]回答表!AD43="○","○",""),"")</f>
        <v/>
      </c>
      <c r="O123" s="98"/>
      <c r="P123" s="98"/>
      <c r="Q123" s="99"/>
      <c r="R123" s="39"/>
      <c r="S123" s="39"/>
      <c r="T123" s="39"/>
      <c r="U123" s="106" t="str">
        <f>IF([11]回答表!F17="簡易水道事業",IF([11]回答表!AD43="○",[11]回答表!B249,""),"")</f>
        <v/>
      </c>
      <c r="V123" s="107"/>
      <c r="W123" s="107"/>
      <c r="X123" s="107"/>
      <c r="Y123" s="107"/>
      <c r="Z123" s="107"/>
      <c r="AA123" s="107"/>
      <c r="AB123" s="107"/>
      <c r="AC123" s="107"/>
      <c r="AD123" s="107"/>
      <c r="AE123" s="107"/>
      <c r="AF123" s="107"/>
      <c r="AG123" s="107"/>
      <c r="AH123" s="107"/>
      <c r="AI123" s="107"/>
      <c r="AJ123" s="108"/>
      <c r="AK123" s="56"/>
      <c r="AL123" s="56"/>
      <c r="AM123" s="106" t="str">
        <f>IF([11]回答表!F17="簡易水道事業",IF([11]回答表!AD43="○",[11]回答表!B255,""),"")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IF([11]回答表!F17="下水道事業",IF([11]回答表!X43="○","○",""),"")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IF([11]回答表!F17="下水道事業",IF([11]回答表!X43="○",[11]回答表!B154,IF([11]回答表!AA43="○",[11]回答表!B201,"")),"")</f>
        <v/>
      </c>
      <c r="AN135" s="107"/>
      <c r="AO135" s="107"/>
      <c r="AP135" s="107"/>
      <c r="AQ135" s="107"/>
      <c r="AR135" s="107"/>
      <c r="AS135" s="107"/>
      <c r="AT135" s="107"/>
      <c r="AU135" s="107"/>
      <c r="AV135" s="107"/>
      <c r="AW135" s="107"/>
      <c r="AX135" s="107"/>
      <c r="AY135" s="107"/>
      <c r="AZ135" s="107"/>
      <c r="BA135" s="107"/>
      <c r="BB135" s="108"/>
      <c r="BC135" s="40"/>
      <c r="BD135" s="35"/>
      <c r="BE135" s="115" t="str">
        <f>IF([11]回答表!F17="下水道事業",IF([11]回答表!X43="○",[11]回答表!B190,IF([11]回答表!AA43="○",[11]回答表!B238,"")),"")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IF([11]回答表!F17="下水道事業",IF([11]回答表!X43="○",[11]回答表!Y184,IF([11]回答表!AA43="○",[11]回答表!Y232,"")),"")</f>
        <v/>
      </c>
      <c r="V137" s="119"/>
      <c r="W137" s="119"/>
      <c r="X137" s="119"/>
      <c r="Y137" s="119"/>
      <c r="Z137" s="119"/>
      <c r="AA137" s="119"/>
      <c r="AB137" s="120"/>
      <c r="AC137" s="118" t="str">
        <f>IF([11]回答表!F17="下水道事業",IF([11]回答表!X43="○",[11]回答表!Y185,IF([11]回答表!AA43="○",[11]回答表!Y233,"")),"")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IF([11]回答表!F17="下水道事業",IF([11]回答表!X43="○",[11]回答表!E190,IF([11]回答表!AA43="○",[11]回答表!E238,"")),"")</f>
        <v/>
      </c>
      <c r="BF138" s="83"/>
      <c r="BG138" s="83"/>
      <c r="BH138" s="83"/>
      <c r="BI138" s="82" t="str">
        <f>IF([11]回答表!F17="下水道事業",IF([11]回答表!X43="○",[11]回答表!E191,IF([11]回答表!AA43="○",[11]回答表!E239,"")),"")</f>
        <v/>
      </c>
      <c r="BJ138" s="83"/>
      <c r="BK138" s="83"/>
      <c r="BL138" s="83"/>
      <c r="BM138" s="82" t="str">
        <f>IF([11]回答表!F17="下水道事業",IF([11]回答表!X43="○",[11]回答表!E192,IF([11]回答表!AA43="○",[11]回答表!E240,"")),"")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IF([11]回答表!F17="下水道事業",IF([11]回答表!AA43="○","○",""),"")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IF([11]回答表!F17="下水道事業",IF([11]回答表!X43="○",[11]回答表!Y186,IF([11]回答表!AA43="○",[11]回答表!Y234,"")),"")</f>
        <v/>
      </c>
      <c r="V142" s="119"/>
      <c r="W142" s="119"/>
      <c r="X142" s="119"/>
      <c r="Y142" s="119"/>
      <c r="Z142" s="119"/>
      <c r="AA142" s="119"/>
      <c r="AB142" s="120"/>
      <c r="AC142" s="118" t="str">
        <f>IF([11]回答表!F17="下水道事業",IF([11]回答表!X43="○",[11]回答表!Y187,IF([11]回答表!AA43="○",[11]回答表!Y235,"")),"")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IF([11]回答表!F17="下水道事業",IF([11]回答表!AD43="○","○",""),"")</f>
        <v/>
      </c>
      <c r="O147" s="98"/>
      <c r="P147" s="98"/>
      <c r="Q147" s="99"/>
      <c r="R147" s="39"/>
      <c r="S147" s="39"/>
      <c r="T147" s="39"/>
      <c r="U147" s="106" t="str">
        <f>IF([11]回答表!F17="下水道事業",IF([11]回答表!AD43="○",[11]回答表!B249,""),"")</f>
        <v/>
      </c>
      <c r="V147" s="107"/>
      <c r="W147" s="107"/>
      <c r="X147" s="107"/>
      <c r="Y147" s="107"/>
      <c r="Z147" s="107"/>
      <c r="AA147" s="107"/>
      <c r="AB147" s="107"/>
      <c r="AC147" s="107"/>
      <c r="AD147" s="107"/>
      <c r="AE147" s="107"/>
      <c r="AF147" s="107"/>
      <c r="AG147" s="107"/>
      <c r="AH147" s="107"/>
      <c r="AI147" s="107"/>
      <c r="AJ147" s="108"/>
      <c r="AK147" s="56"/>
      <c r="AL147" s="56"/>
      <c r="AM147" s="106" t="str">
        <f>IF([11]回答表!F17="下水道事業",IF([11]回答表!AD43="○",[11]回答表!B255,""),"")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IF([11]回答表!BD17="○",IF([11]回答表!X43="○","○",""),"")</f>
        <v/>
      </c>
      <c r="O159" s="98"/>
      <c r="P159" s="98"/>
      <c r="Q159" s="99"/>
      <c r="R159" s="39"/>
      <c r="S159" s="39"/>
      <c r="T159" s="39"/>
      <c r="U159" s="106" t="str">
        <f>IF([11]回答表!BD17="○",IF([11]回答表!X43="○",[11]回答表!B154,IF([11]回答表!AA43="○",[11]回答表!B201,"")),"")</f>
        <v/>
      </c>
      <c r="V159" s="107"/>
      <c r="W159" s="107"/>
      <c r="X159" s="107"/>
      <c r="Y159" s="107"/>
      <c r="Z159" s="107"/>
      <c r="AA159" s="107"/>
      <c r="AB159" s="107"/>
      <c r="AC159" s="107"/>
      <c r="AD159" s="107"/>
      <c r="AE159" s="107"/>
      <c r="AF159" s="107"/>
      <c r="AG159" s="107"/>
      <c r="AH159" s="107"/>
      <c r="AI159" s="107"/>
      <c r="AJ159" s="108"/>
      <c r="AK159" s="50"/>
      <c r="AL159" s="50"/>
      <c r="AM159" s="115" t="str">
        <f>IF([11]回答表!BD17="○",IF([11]回答表!X43="○",[11]回答表!B190,IF([11]回答表!AA43="○",[11]回答表!B238,"")),"")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IF([11]回答表!BD17="○",IF([11]回答表!X43="○",[11]回答表!E190,IF([11]回答表!AA43="○",[11]回答表!E238,"")),"")</f>
        <v/>
      </c>
      <c r="AN162" s="83"/>
      <c r="AO162" s="83"/>
      <c r="AP162" s="83"/>
      <c r="AQ162" s="82" t="str">
        <f>IF([11]回答表!BD17="○",IF([11]回答表!X43="○",[11]回答表!E191,IF([11]回答表!AA43="○",[11]回答表!E239,"")),"")</f>
        <v/>
      </c>
      <c r="AR162" s="83"/>
      <c r="AS162" s="83"/>
      <c r="AT162" s="83"/>
      <c r="AU162" s="82" t="str">
        <f>IF([11]回答表!BD17="○",IF([11]回答表!X43="○",[11]回答表!E192,IF([11]回答表!AA43="○",[11]回答表!E240,"")),"")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IF([11]回答表!BD17="○",IF([11]回答表!AA43="○","○",""),"")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IF([11]回答表!BD17="○",IF([11]回答表!AD43="○","○",""),"")</f>
        <v/>
      </c>
      <c r="O171" s="98"/>
      <c r="P171" s="98"/>
      <c r="Q171" s="99"/>
      <c r="R171" s="39"/>
      <c r="S171" s="39"/>
      <c r="T171" s="39"/>
      <c r="U171" s="106" t="str">
        <f>IF([11]回答表!BD17="○",IF([11]回答表!AD43="○",[11]回答表!B249,""),"")</f>
        <v/>
      </c>
      <c r="V171" s="107"/>
      <c r="W171" s="107"/>
      <c r="X171" s="107"/>
      <c r="Y171" s="107"/>
      <c r="Z171" s="107"/>
      <c r="AA171" s="107"/>
      <c r="AB171" s="107"/>
      <c r="AC171" s="107"/>
      <c r="AD171" s="107"/>
      <c r="AE171" s="107"/>
      <c r="AF171" s="107"/>
      <c r="AG171" s="107"/>
      <c r="AH171" s="107"/>
      <c r="AI171" s="107"/>
      <c r="AJ171" s="108"/>
      <c r="AK171" s="56"/>
      <c r="AL171" s="56"/>
      <c r="AM171" s="106" t="str">
        <f>IF([11]回答表!BD17="○",IF([11]回答表!AD43="○",[11]回答表!B255,""),"")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IF([11]回答表!X44="○","○","")</f>
        <v>○</v>
      </c>
      <c r="O183" s="98"/>
      <c r="P183" s="98"/>
      <c r="Q183" s="99"/>
      <c r="R183" s="39"/>
      <c r="S183" s="39"/>
      <c r="T183" s="39"/>
      <c r="U183" s="269" t="str">
        <f>IF([11]回答表!X44="○",[11]回答表!B266,IF([11]回答表!AA44="○",[11]回答表!B283,""))</f>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
      <c r="V183" s="270"/>
      <c r="W183" s="270"/>
      <c r="X183" s="270"/>
      <c r="Y183" s="270"/>
      <c r="Z183" s="270"/>
      <c r="AA183" s="270"/>
      <c r="AB183" s="270"/>
      <c r="AC183" s="270"/>
      <c r="AD183" s="270"/>
      <c r="AE183" s="270"/>
      <c r="AF183" s="270"/>
      <c r="AG183" s="270"/>
      <c r="AH183" s="270"/>
      <c r="AI183" s="270"/>
      <c r="AJ183" s="271"/>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IF([11]回答表!X44="○",[11]回答表!U272,IF([11]回答表!AA44="○",[11]回答表!U289,""))</f>
        <v>平成</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272"/>
      <c r="V184" s="273"/>
      <c r="W184" s="273"/>
      <c r="X184" s="273"/>
      <c r="Y184" s="273"/>
      <c r="Z184" s="273"/>
      <c r="AA184" s="273"/>
      <c r="AB184" s="273"/>
      <c r="AC184" s="273"/>
      <c r="AD184" s="273"/>
      <c r="AE184" s="273"/>
      <c r="AF184" s="273"/>
      <c r="AG184" s="273"/>
      <c r="AH184" s="273"/>
      <c r="AI184" s="273"/>
      <c r="AJ184" s="274"/>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272"/>
      <c r="V185" s="273"/>
      <c r="W185" s="273"/>
      <c r="X185" s="273"/>
      <c r="Y185" s="273"/>
      <c r="Z185" s="273"/>
      <c r="AA185" s="273"/>
      <c r="AB185" s="273"/>
      <c r="AC185" s="273"/>
      <c r="AD185" s="273"/>
      <c r="AE185" s="273"/>
      <c r="AF185" s="273"/>
      <c r="AG185" s="273"/>
      <c r="AH185" s="273"/>
      <c r="AI185" s="273"/>
      <c r="AJ185" s="274"/>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272"/>
      <c r="V186" s="273"/>
      <c r="W186" s="273"/>
      <c r="X186" s="273"/>
      <c r="Y186" s="273"/>
      <c r="Z186" s="273"/>
      <c r="AA186" s="273"/>
      <c r="AB186" s="273"/>
      <c r="AC186" s="273"/>
      <c r="AD186" s="273"/>
      <c r="AE186" s="273"/>
      <c r="AF186" s="273"/>
      <c r="AG186" s="273"/>
      <c r="AH186" s="273"/>
      <c r="AI186" s="273"/>
      <c r="AJ186" s="274"/>
      <c r="AK186" s="50"/>
      <c r="AL186" s="50"/>
      <c r="AM186" s="118">
        <f>IF([11]回答表!X44="○",[11]回答表!G272,IF([11]回答表!AA44="○",[11]回答表!G289,""))</f>
        <v>0</v>
      </c>
      <c r="AN186" s="119"/>
      <c r="AO186" s="119"/>
      <c r="AP186" s="119"/>
      <c r="AQ186" s="119"/>
      <c r="AR186" s="119"/>
      <c r="AS186" s="119"/>
      <c r="AT186" s="120"/>
      <c r="AU186" s="118" t="str">
        <f>IF([11]回答表!X44="○",[11]回答表!G273,IF([11]回答表!AA44="○",[11]回答表!G290,""))</f>
        <v>○</v>
      </c>
      <c r="AV186" s="119"/>
      <c r="AW186" s="119"/>
      <c r="AX186" s="119"/>
      <c r="AY186" s="119"/>
      <c r="AZ186" s="119"/>
      <c r="BA186" s="119"/>
      <c r="BB186" s="120"/>
      <c r="BC186" s="40"/>
      <c r="BD186" s="35"/>
      <c r="BE186" s="82">
        <f>IF([11]回答表!X44="○",[11]回答表!X272,IF([11]回答表!AA44="○",[11]回答表!X289,""))</f>
        <v>28</v>
      </c>
      <c r="BF186" s="83"/>
      <c r="BG186" s="83"/>
      <c r="BH186" s="83"/>
      <c r="BI186" s="82">
        <f>IF([11]回答表!X44="○",[11]回答表!X273,IF([11]回答表!AA44="○",[11]回答表!X290,""))</f>
        <v>4</v>
      </c>
      <c r="BJ186" s="83"/>
      <c r="BK186" s="83"/>
      <c r="BL186" s="86"/>
      <c r="BM186" s="82">
        <f>IF([11]回答表!X44="○",[11]回答表!X274,IF([11]回答表!AA44="○",[11]回答表!X291,""))</f>
        <v>1</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272"/>
      <c r="V187" s="273"/>
      <c r="W187" s="273"/>
      <c r="X187" s="273"/>
      <c r="Y187" s="273"/>
      <c r="Z187" s="273"/>
      <c r="AA187" s="273"/>
      <c r="AB187" s="273"/>
      <c r="AC187" s="273"/>
      <c r="AD187" s="273"/>
      <c r="AE187" s="273"/>
      <c r="AF187" s="273"/>
      <c r="AG187" s="273"/>
      <c r="AH187" s="273"/>
      <c r="AI187" s="273"/>
      <c r="AJ187" s="274"/>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272"/>
      <c r="V188" s="273"/>
      <c r="W188" s="273"/>
      <c r="X188" s="273"/>
      <c r="Y188" s="273"/>
      <c r="Z188" s="273"/>
      <c r="AA188" s="273"/>
      <c r="AB188" s="273"/>
      <c r="AC188" s="273"/>
      <c r="AD188" s="273"/>
      <c r="AE188" s="273"/>
      <c r="AF188" s="273"/>
      <c r="AG188" s="273"/>
      <c r="AH188" s="273"/>
      <c r="AI188" s="273"/>
      <c r="AJ188" s="274"/>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IF([11]回答表!AA44="○","○","")</f>
        <v/>
      </c>
      <c r="O189" s="98"/>
      <c r="P189" s="98"/>
      <c r="Q189" s="99"/>
      <c r="R189" s="39"/>
      <c r="S189" s="39"/>
      <c r="T189" s="39"/>
      <c r="U189" s="272"/>
      <c r="V189" s="273"/>
      <c r="W189" s="273"/>
      <c r="X189" s="273"/>
      <c r="Y189" s="273"/>
      <c r="Z189" s="273"/>
      <c r="AA189" s="273"/>
      <c r="AB189" s="273"/>
      <c r="AC189" s="273"/>
      <c r="AD189" s="273"/>
      <c r="AE189" s="273"/>
      <c r="AF189" s="273"/>
      <c r="AG189" s="273"/>
      <c r="AH189" s="273"/>
      <c r="AI189" s="273"/>
      <c r="AJ189" s="274"/>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272"/>
      <c r="V190" s="273"/>
      <c r="W190" s="273"/>
      <c r="X190" s="273"/>
      <c r="Y190" s="273"/>
      <c r="Z190" s="273"/>
      <c r="AA190" s="273"/>
      <c r="AB190" s="273"/>
      <c r="AC190" s="273"/>
      <c r="AD190" s="273"/>
      <c r="AE190" s="273"/>
      <c r="AF190" s="273"/>
      <c r="AG190" s="273"/>
      <c r="AH190" s="273"/>
      <c r="AI190" s="273"/>
      <c r="AJ190" s="274"/>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272"/>
      <c r="V191" s="273"/>
      <c r="W191" s="273"/>
      <c r="X191" s="273"/>
      <c r="Y191" s="273"/>
      <c r="Z191" s="273"/>
      <c r="AA191" s="273"/>
      <c r="AB191" s="273"/>
      <c r="AC191" s="273"/>
      <c r="AD191" s="273"/>
      <c r="AE191" s="273"/>
      <c r="AF191" s="273"/>
      <c r="AG191" s="273"/>
      <c r="AH191" s="273"/>
      <c r="AI191" s="273"/>
      <c r="AJ191" s="274"/>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275"/>
      <c r="V192" s="276"/>
      <c r="W192" s="276"/>
      <c r="X192" s="276"/>
      <c r="Y192" s="276"/>
      <c r="Z192" s="276"/>
      <c r="AA192" s="276"/>
      <c r="AB192" s="276"/>
      <c r="AC192" s="276"/>
      <c r="AD192" s="276"/>
      <c r="AE192" s="276"/>
      <c r="AF192" s="276"/>
      <c r="AG192" s="276"/>
      <c r="AH192" s="276"/>
      <c r="AI192" s="276"/>
      <c r="AJ192" s="277"/>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IF([11]回答表!AD44="○","○","")</f>
        <v/>
      </c>
      <c r="O195" s="98"/>
      <c r="P195" s="98"/>
      <c r="Q195" s="99"/>
      <c r="R195" s="39"/>
      <c r="S195" s="39"/>
      <c r="T195" s="39"/>
      <c r="U195" s="106" t="str">
        <f>IF([11]回答表!AD44="○",[11]回答表!B296,"")</f>
        <v/>
      </c>
      <c r="V195" s="107"/>
      <c r="W195" s="107"/>
      <c r="X195" s="107"/>
      <c r="Y195" s="107"/>
      <c r="Z195" s="107"/>
      <c r="AA195" s="107"/>
      <c r="AB195" s="107"/>
      <c r="AC195" s="107"/>
      <c r="AD195" s="107"/>
      <c r="AE195" s="107"/>
      <c r="AF195" s="107"/>
      <c r="AG195" s="107"/>
      <c r="AH195" s="107"/>
      <c r="AI195" s="107"/>
      <c r="AJ195" s="108"/>
      <c r="AK195" s="61"/>
      <c r="AL195" s="61"/>
      <c r="AM195" s="106" t="str">
        <f>IF([11]回答表!AD44="○",[11]回答表!B302,"")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IF([11]回答表!X45="○","○","")</f>
        <v/>
      </c>
      <c r="O207" s="98"/>
      <c r="P207" s="98"/>
      <c r="Q207" s="99"/>
      <c r="R207" s="39"/>
      <c r="S207" s="39"/>
      <c r="T207" s="39"/>
      <c r="U207" s="106" t="str">
        <f>IF([11]回答表!X45="○",[11]回答表!B314,IF([11]回答表!AA45="○",[11]回答表!B337,""))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IF([11]回答表!X45="○",[11]回答表!B320,"")</f>
        <v/>
      </c>
      <c r="AO207" s="164"/>
      <c r="AP207" s="164"/>
      <c r="AQ207" s="164"/>
      <c r="AR207" s="164"/>
      <c r="AS207" s="164"/>
      <c r="AT207" s="164"/>
      <c r="AU207" s="164"/>
      <c r="AV207" s="164"/>
      <c r="AW207" s="164"/>
      <c r="AX207" s="164"/>
      <c r="AY207" s="164"/>
      <c r="AZ207" s="164"/>
      <c r="BA207" s="164"/>
      <c r="BB207" s="165"/>
      <c r="BC207" s="40"/>
      <c r="BD207" s="35"/>
      <c r="BE207" s="115" t="str">
        <f>IF([11]回答表!X45="○",[11]回答表!B326,IF([11]回答表!AA45="○",[11]回答表!B343,""))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IF([11]回答表!X45="○",[11]回答表!E326,IF([11]回答表!AA45="○",[11]回答表!E343,""))</f>
        <v/>
      </c>
      <c r="BF210" s="83"/>
      <c r="BG210" s="83"/>
      <c r="BH210" s="83"/>
      <c r="BI210" s="82" t="str">
        <f>IF([11]回答表!X45="○",[11]回答表!E327,IF([11]回答表!AA45="○",[11]回答表!E344,""))</f>
        <v/>
      </c>
      <c r="BJ210" s="83"/>
      <c r="BK210" s="83"/>
      <c r="BL210" s="86"/>
      <c r="BM210" s="82" t="str">
        <f>IF([11]回答表!X45="○",[11]回答表!E328,IF([11]回答表!AA45="○",[11]回答表!E345,""))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IF([11]回答表!AD45="○","○","")</f>
        <v/>
      </c>
      <c r="O219" s="98"/>
      <c r="P219" s="98"/>
      <c r="Q219" s="99"/>
      <c r="R219" s="39"/>
      <c r="S219" s="39"/>
      <c r="T219" s="39"/>
      <c r="U219" s="106" t="str">
        <f>IF([11]回答表!AD45="○",[11]回答表!B350,"")</f>
        <v/>
      </c>
      <c r="V219" s="107"/>
      <c r="W219" s="107"/>
      <c r="X219" s="107"/>
      <c r="Y219" s="107"/>
      <c r="Z219" s="107"/>
      <c r="AA219" s="107"/>
      <c r="AB219" s="107"/>
      <c r="AC219" s="107"/>
      <c r="AD219" s="107"/>
      <c r="AE219" s="107"/>
      <c r="AF219" s="107"/>
      <c r="AG219" s="107"/>
      <c r="AH219" s="107"/>
      <c r="AI219" s="107"/>
      <c r="AJ219" s="108"/>
      <c r="AK219" s="61"/>
      <c r="AL219" s="61"/>
      <c r="AM219" s="106" t="str">
        <f>IF([11]回答表!AD45="○",[11]回答表!B356,"")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IF([11]回答表!X46="○","○","")</f>
        <v/>
      </c>
      <c r="O231" s="98"/>
      <c r="P231" s="98"/>
      <c r="Q231" s="99"/>
      <c r="R231" s="39"/>
      <c r="S231" s="39"/>
      <c r="T231" s="39"/>
      <c r="U231" s="106" t="str">
        <f>IF([11]回答表!X46="○",[11]回答表!B368,IF([11]回答表!AA46="○",[11]回答表!B382,""))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IF([11]回答表!X46="○",[11]回答表!BC375,IF([11]回答表!AA46="○",[11]回答表!BC389,""))</f>
        <v/>
      </c>
      <c r="AR231" s="150"/>
      <c r="AS231" s="150"/>
      <c r="AT231" s="150"/>
      <c r="AU231" s="155" t="s">
        <v>63</v>
      </c>
      <c r="AV231" s="156"/>
      <c r="AW231" s="156"/>
      <c r="AX231" s="157"/>
      <c r="AY231" s="150" t="str">
        <f>IF([11]回答表!X46="○",[11]回答表!BC380,IF([11]回答表!AA46="○",[11]回答表!BC394,""))</f>
        <v/>
      </c>
      <c r="AZ231" s="150"/>
      <c r="BA231" s="150"/>
      <c r="BB231" s="150"/>
      <c r="BC231" s="40"/>
      <c r="BD231" s="35"/>
      <c r="BE231" s="115" t="str">
        <f>IF([11]回答表!X46="○",[11]回答表!S374,IF([11]回答表!AA46="○",[11]回答表!S388,""))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IF([11]回答表!X46="○",[11]回答表!BC376,IF([11]回答表!AA46="○",[11]回答表!BC390,""))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IF([11]回答表!X46="○",[11]回答表!V374,IF([11]回答表!AA46="○",[11]回答表!V388,""))</f>
        <v/>
      </c>
      <c r="BF234" s="83"/>
      <c r="BG234" s="83"/>
      <c r="BH234" s="83"/>
      <c r="BI234" s="82" t="str">
        <f>IF([11]回答表!X46="○",[11]回答表!V375,IF([11]回答表!AA46="○",[11]回答表!V389,""))</f>
        <v/>
      </c>
      <c r="BJ234" s="83"/>
      <c r="BK234" s="83"/>
      <c r="BL234" s="86"/>
      <c r="BM234" s="82" t="str">
        <f>IF([11]回答表!X46="○",[11]回答表!V376,IF([11]回答表!AA46="○",[11]回答表!V390,""))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IF([11]回答表!X46="○",[11]回答表!BC377,IF([11]回答表!AA46="○",[11]回答表!BC391,""))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IF([11]回答表!X46="○",[11]回答表!BC381,IF([11]回答表!AA46="○",[11]回答表!BC395,""))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IF([11]回答表!X46="○",[11]回答表!BC378,IF([11]回答表!AA46="○",[11]回答表!BC392,""))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IF([11]回答表!X46="○",[11]回答表!BC379,IF([11]回答表!AA46="○",[11]回答表!BC393,""))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IF([11]回答表!AD46="○","○","")</f>
        <v/>
      </c>
      <c r="O243" s="98"/>
      <c r="P243" s="98"/>
      <c r="Q243" s="99"/>
      <c r="R243" s="39"/>
      <c r="S243" s="39"/>
      <c r="T243" s="39"/>
      <c r="U243" s="106" t="str">
        <f>IF([11]回答表!AD46="○",[11]回答表!B396,"")</f>
        <v/>
      </c>
      <c r="V243" s="107"/>
      <c r="W243" s="107"/>
      <c r="X243" s="107"/>
      <c r="Y243" s="107"/>
      <c r="Z243" s="107"/>
      <c r="AA243" s="107"/>
      <c r="AB243" s="107"/>
      <c r="AC243" s="107"/>
      <c r="AD243" s="107"/>
      <c r="AE243" s="107"/>
      <c r="AF243" s="107"/>
      <c r="AG243" s="107"/>
      <c r="AH243" s="107"/>
      <c r="AI243" s="107"/>
      <c r="AJ243" s="108"/>
      <c r="AK243" s="56"/>
      <c r="AL243" s="56"/>
      <c r="AM243" s="106" t="str">
        <f>IF([11]回答表!AD46="○",[11]回答表!B402,"")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IF([11]回答表!X47="○","○","")</f>
        <v/>
      </c>
      <c r="O254" s="98"/>
      <c r="P254" s="98"/>
      <c r="Q254" s="99"/>
      <c r="R254" s="39"/>
      <c r="S254" s="39"/>
      <c r="T254" s="39"/>
      <c r="U254" s="106" t="str">
        <f>IF([11]回答表!X47="○",[11]回答表!B414,IF([11]回答表!AA47="○",[11]回答表!B431,""))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IF([11]回答表!X47="○",[11]回答表!B424,IF([11]回答表!AA47="○",[11]回答表!B441,""))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IF([11]回答表!X47="○",[11]回答表!G420,IF([11]回答表!AA47="○",[11]回答表!G437,""))</f>
        <v/>
      </c>
      <c r="AN256" s="119"/>
      <c r="AO256" s="119"/>
      <c r="AP256" s="119"/>
      <c r="AQ256" s="119"/>
      <c r="AR256" s="119"/>
      <c r="AS256" s="119"/>
      <c r="AT256" s="120"/>
      <c r="AU256" s="118" t="str">
        <f>IF([11]回答表!X47="○",[11]回答表!G421,IF([11]回答表!AA47="○",[11]回答表!G438,""))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IF([11]回答表!X47="○",[11]回答表!E424,IF([11]回答表!AA47="○",[11]回答表!E441,""))</f>
        <v/>
      </c>
      <c r="BF257" s="83"/>
      <c r="BG257" s="83"/>
      <c r="BH257" s="83"/>
      <c r="BI257" s="82" t="str">
        <f>IF([11]回答表!X47="○",[11]回答表!E425,IF([11]回答表!AA47="○",[11]回答表!E442,""))</f>
        <v/>
      </c>
      <c r="BJ257" s="83"/>
      <c r="BK257" s="83"/>
      <c r="BL257" s="86"/>
      <c r="BM257" s="82" t="str">
        <f>IF([11]回答表!X47="○",[11]回答表!E426,IF([11]回答表!AA47="○",[11]回答表!E443,""))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IF([11]回答表!AD47="○","○","")</f>
        <v/>
      </c>
      <c r="O266" s="98"/>
      <c r="P266" s="98"/>
      <c r="Q266" s="99"/>
      <c r="R266" s="39"/>
      <c r="S266" s="39"/>
      <c r="T266" s="39"/>
      <c r="U266" s="106" t="str">
        <f>IF([11]回答表!AD47="○",[11]回答表!B448,"")</f>
        <v/>
      </c>
      <c r="V266" s="107"/>
      <c r="W266" s="107"/>
      <c r="X266" s="107"/>
      <c r="Y266" s="107"/>
      <c r="Z266" s="107"/>
      <c r="AA266" s="107"/>
      <c r="AB266" s="107"/>
      <c r="AC266" s="107"/>
      <c r="AD266" s="107"/>
      <c r="AE266" s="107"/>
      <c r="AF266" s="107"/>
      <c r="AG266" s="107"/>
      <c r="AH266" s="107"/>
      <c r="AI266" s="107"/>
      <c r="AJ266" s="108"/>
      <c r="AK266" s="50"/>
      <c r="AL266" s="50"/>
      <c r="AM266" s="106" t="str">
        <f>IF([11]回答表!AD47="○",[11]回答表!B454,"")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IF([11]回答表!R48="○",[11]回答表!B467,"")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D243:M246"/>
    <mergeCell ref="N243:Q246"/>
    <mergeCell ref="U243:AJ246"/>
    <mergeCell ref="AR105:BB106"/>
    <mergeCell ref="D107:Q108"/>
    <mergeCell ref="R107:BB108"/>
    <mergeCell ref="D111:M114"/>
    <mergeCell ref="N111:Q114"/>
    <mergeCell ref="D99:M102"/>
    <mergeCell ref="N99:Q102"/>
    <mergeCell ref="U99:AJ102"/>
    <mergeCell ref="AM99:BP102"/>
    <mergeCell ref="BI111:BL113"/>
    <mergeCell ref="U111:AJ112"/>
    <mergeCell ref="U116:AJ117"/>
    <mergeCell ref="U118:AJ120"/>
    <mergeCell ref="U113:AJ115"/>
    <mergeCell ref="AM111:BB120"/>
    <mergeCell ref="BE111:BH113"/>
    <mergeCell ref="BE114:BH117"/>
    <mergeCell ref="D117:M120"/>
    <mergeCell ref="N117:Q120"/>
    <mergeCell ref="BE118:BH120"/>
    <mergeCell ref="C11:T13"/>
    <mergeCell ref="BE261:BH263"/>
    <mergeCell ref="BI261:BL263"/>
    <mergeCell ref="BM261:BP263"/>
    <mergeCell ref="D266:M269"/>
    <mergeCell ref="N266:Q269"/>
    <mergeCell ref="U266:AJ269"/>
    <mergeCell ref="AM266:BP269"/>
    <mergeCell ref="BE254:BH256"/>
    <mergeCell ref="BI254:BL256"/>
    <mergeCell ref="AM243:BP246"/>
    <mergeCell ref="AY236:BB240"/>
    <mergeCell ref="D237:M240"/>
    <mergeCell ref="N237:Q240"/>
    <mergeCell ref="AM237:AP238"/>
    <mergeCell ref="AQ237:AT238"/>
    <mergeCell ref="BE238:BH240"/>
    <mergeCell ref="BM238:BP240"/>
    <mergeCell ref="BE234:BH237"/>
    <mergeCell ref="BI234:BL237"/>
    <mergeCell ref="BI238:BL240"/>
    <mergeCell ref="AM239:AP240"/>
    <mergeCell ref="AQ239:AT240"/>
    <mergeCell ref="D123:M126"/>
    <mergeCell ref="AR249:BB249"/>
    <mergeCell ref="D250:Q251"/>
    <mergeCell ref="R250:BB251"/>
    <mergeCell ref="D254:M257"/>
    <mergeCell ref="N254:Q257"/>
    <mergeCell ref="U254:AJ263"/>
    <mergeCell ref="BM254:BP256"/>
    <mergeCell ref="AM256:AT258"/>
    <mergeCell ref="AU256:BB258"/>
    <mergeCell ref="BE257:BH260"/>
    <mergeCell ref="BI257:BL260"/>
    <mergeCell ref="BM257:BP260"/>
    <mergeCell ref="AM254:AT255"/>
    <mergeCell ref="AU254:BB255"/>
    <mergeCell ref="D260:M263"/>
    <mergeCell ref="N260:Q263"/>
    <mergeCell ref="AO43:BB43"/>
    <mergeCell ref="N231:Q234"/>
    <mergeCell ref="U231:AJ240"/>
    <mergeCell ref="AM231:AP232"/>
    <mergeCell ref="AQ231:AT232"/>
    <mergeCell ref="AU231:AX235"/>
    <mergeCell ref="AQ235:AT236"/>
    <mergeCell ref="AU236:AX240"/>
    <mergeCell ref="N219:Q222"/>
    <mergeCell ref="N123:Q126"/>
    <mergeCell ref="U123:AJ126"/>
    <mergeCell ref="AM123:BP126"/>
    <mergeCell ref="U219:AJ222"/>
    <mergeCell ref="D83:Q84"/>
    <mergeCell ref="R83:BB84"/>
    <mergeCell ref="AM235:AP236"/>
    <mergeCell ref="AM46:AN46"/>
    <mergeCell ref="AM47:AN47"/>
    <mergeCell ref="AM48:AN48"/>
    <mergeCell ref="AC89:AJ91"/>
    <mergeCell ref="U92:AB93"/>
    <mergeCell ref="AC92:AJ93"/>
    <mergeCell ref="BM234:BP237"/>
    <mergeCell ref="D213:M216"/>
    <mergeCell ref="N213:Q216"/>
    <mergeCell ref="AR201:BB202"/>
    <mergeCell ref="D203:Q204"/>
    <mergeCell ref="R203:BB204"/>
    <mergeCell ref="D207:M210"/>
    <mergeCell ref="N207:Q210"/>
    <mergeCell ref="U207:AJ216"/>
    <mergeCell ref="AN207:BB216"/>
    <mergeCell ref="AM219:BP222"/>
    <mergeCell ref="AR225:BB226"/>
    <mergeCell ref="D227:Q228"/>
    <mergeCell ref="R227:BB228"/>
    <mergeCell ref="AY231:BB235"/>
    <mergeCell ref="BE231:BH233"/>
    <mergeCell ref="BI231:BL233"/>
    <mergeCell ref="BM231:BP233"/>
    <mergeCell ref="AM233:AP234"/>
    <mergeCell ref="AQ233:AT234"/>
    <mergeCell ref="D231:M234"/>
    <mergeCell ref="D219:M222"/>
    <mergeCell ref="D195:M198"/>
    <mergeCell ref="N195:Q198"/>
    <mergeCell ref="U195:AJ198"/>
    <mergeCell ref="AM195:BP198"/>
    <mergeCell ref="BI183:BL185"/>
    <mergeCell ref="BM183:BP185"/>
    <mergeCell ref="AM186:AT188"/>
    <mergeCell ref="AU186:BB188"/>
    <mergeCell ref="BE186:BH189"/>
    <mergeCell ref="BI186:BL189"/>
    <mergeCell ref="AR177:BB178"/>
    <mergeCell ref="D179:Q180"/>
    <mergeCell ref="R179:BB180"/>
    <mergeCell ref="AQ162:AT165"/>
    <mergeCell ref="AU162:AX165"/>
    <mergeCell ref="D165:M168"/>
    <mergeCell ref="N165:Q168"/>
    <mergeCell ref="AM166:AP168"/>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BE142:BH144"/>
    <mergeCell ref="BI142:BL144"/>
    <mergeCell ref="BM142:BP144"/>
    <mergeCell ref="D147:M150"/>
    <mergeCell ref="N147:Q150"/>
    <mergeCell ref="U147:AJ150"/>
    <mergeCell ref="AQ166:AT168"/>
    <mergeCell ref="AU166:AX168"/>
    <mergeCell ref="D159:M162"/>
    <mergeCell ref="N159:Q162"/>
    <mergeCell ref="U159:AJ168"/>
    <mergeCell ref="AM159:AP161"/>
    <mergeCell ref="AQ159:AT161"/>
    <mergeCell ref="AU159:AX161"/>
    <mergeCell ref="AM162:AP165"/>
    <mergeCell ref="D141:M144"/>
    <mergeCell ref="N141:Q144"/>
    <mergeCell ref="U142:AB144"/>
    <mergeCell ref="AC142:AJ144"/>
    <mergeCell ref="AM147:BP150"/>
    <mergeCell ref="AR153:BB154"/>
    <mergeCell ref="D155:Q156"/>
    <mergeCell ref="R155:BB156"/>
    <mergeCell ref="AR129:BB130"/>
    <mergeCell ref="D131:Q132"/>
    <mergeCell ref="R131:BB132"/>
    <mergeCell ref="D135:M138"/>
    <mergeCell ref="N135:Q138"/>
    <mergeCell ref="U135:AB136"/>
    <mergeCell ref="U137:AB139"/>
    <mergeCell ref="AC137:AJ139"/>
    <mergeCell ref="BE138:BH141"/>
    <mergeCell ref="BI138:BL141"/>
    <mergeCell ref="BM138:BP141"/>
    <mergeCell ref="U140:AB141"/>
    <mergeCell ref="AC140:AJ141"/>
    <mergeCell ref="AC135:AJ136"/>
    <mergeCell ref="AM135:BB144"/>
    <mergeCell ref="D87:M90"/>
    <mergeCell ref="N87:Q90"/>
    <mergeCell ref="U87:AB88"/>
    <mergeCell ref="AC87:AJ88"/>
    <mergeCell ref="AM87:BB96"/>
    <mergeCell ref="D93:M96"/>
    <mergeCell ref="N93:Q96"/>
    <mergeCell ref="U94:AB96"/>
    <mergeCell ref="AC94:AJ96"/>
    <mergeCell ref="U89:AB91"/>
    <mergeCell ref="BM70:BP72"/>
    <mergeCell ref="D44:M47"/>
    <mergeCell ref="N44:Q47"/>
    <mergeCell ref="D63:M66"/>
    <mergeCell ref="N63:Q66"/>
    <mergeCell ref="U63:AJ72"/>
    <mergeCell ref="D75:M78"/>
    <mergeCell ref="N75:Q78"/>
    <mergeCell ref="U75:AJ78"/>
    <mergeCell ref="AM75:BP78"/>
    <mergeCell ref="BE63:BH65"/>
    <mergeCell ref="BI63:BL65"/>
    <mergeCell ref="BM63:BP65"/>
    <mergeCell ref="AM66:AT68"/>
    <mergeCell ref="AU66:BB68"/>
    <mergeCell ref="BE66:BH69"/>
    <mergeCell ref="U8:AN10"/>
    <mergeCell ref="U11:AN13"/>
    <mergeCell ref="AO11:BE13"/>
    <mergeCell ref="AO8:BE10"/>
    <mergeCell ref="AM63:AT65"/>
    <mergeCell ref="AU63:BB65"/>
    <mergeCell ref="D69:M72"/>
    <mergeCell ref="N69:Q72"/>
    <mergeCell ref="AO44:BB44"/>
    <mergeCell ref="AO45:BB45"/>
    <mergeCell ref="AO46:BB46"/>
    <mergeCell ref="AO47:BB47"/>
    <mergeCell ref="AO48:BB48"/>
    <mergeCell ref="AM44:AN44"/>
    <mergeCell ref="BE39:BH42"/>
    <mergeCell ref="BE43:BH45"/>
    <mergeCell ref="D59:Q60"/>
    <mergeCell ref="R59:BB60"/>
    <mergeCell ref="AM42:AN42"/>
    <mergeCell ref="AM43:AN43"/>
    <mergeCell ref="AM45:AN45"/>
    <mergeCell ref="N36:Q39"/>
    <mergeCell ref="BE70:BH72"/>
    <mergeCell ref="AO42:BB42"/>
    <mergeCell ref="C8:T10"/>
    <mergeCell ref="BM114:BP117"/>
    <mergeCell ref="BI118:BL120"/>
    <mergeCell ref="BM118:BP120"/>
    <mergeCell ref="D24:J26"/>
    <mergeCell ref="K24:Q26"/>
    <mergeCell ref="D52:M55"/>
    <mergeCell ref="N52:Q55"/>
    <mergeCell ref="AR31:BB31"/>
    <mergeCell ref="Y23:AE23"/>
    <mergeCell ref="AF23:AL23"/>
    <mergeCell ref="AM23:AS23"/>
    <mergeCell ref="AT23:AZ23"/>
    <mergeCell ref="R24:X26"/>
    <mergeCell ref="Y24:AE26"/>
    <mergeCell ref="AF24:AL26"/>
    <mergeCell ref="BB20:BJ23"/>
    <mergeCell ref="BB24:BJ26"/>
    <mergeCell ref="U36:AJ47"/>
    <mergeCell ref="AM36:AT37"/>
    <mergeCell ref="BF8:BP10"/>
    <mergeCell ref="BF11:BP13"/>
    <mergeCell ref="AM24:AS26"/>
    <mergeCell ref="AT24:AZ26"/>
    <mergeCell ref="D18:AZ19"/>
    <mergeCell ref="D20:J23"/>
    <mergeCell ref="K20:Q23"/>
    <mergeCell ref="R20:X23"/>
    <mergeCell ref="Y20:AZ22"/>
    <mergeCell ref="D32:Q33"/>
    <mergeCell ref="R32:BB33"/>
    <mergeCell ref="AU36:BB37"/>
    <mergeCell ref="BE36:BH38"/>
    <mergeCell ref="D36:M39"/>
    <mergeCell ref="C275:BQ277"/>
    <mergeCell ref="D279:BP297"/>
    <mergeCell ref="BE87:BH89"/>
    <mergeCell ref="BI87:BL89"/>
    <mergeCell ref="BM87:BP89"/>
    <mergeCell ref="BM39:BP42"/>
    <mergeCell ref="BM43:BP45"/>
    <mergeCell ref="AR58:BB58"/>
    <mergeCell ref="AR81:BB82"/>
    <mergeCell ref="U52:AJ55"/>
    <mergeCell ref="AM52:BP55"/>
    <mergeCell ref="BI36:BL38"/>
    <mergeCell ref="BM36:BP38"/>
    <mergeCell ref="AM38:AT40"/>
    <mergeCell ref="AU38:BB40"/>
    <mergeCell ref="BE214:BH216"/>
    <mergeCell ref="BI214:BL216"/>
    <mergeCell ref="BM214:BP216"/>
    <mergeCell ref="BI39:BL42"/>
    <mergeCell ref="BI43:BL45"/>
    <mergeCell ref="BI66:BL69"/>
    <mergeCell ref="BM66:BP69"/>
    <mergeCell ref="BI70:BL72"/>
    <mergeCell ref="BM111:BP113"/>
    <mergeCell ref="BI114:BL117"/>
    <mergeCell ref="BE207:BH209"/>
    <mergeCell ref="BI207:BL209"/>
    <mergeCell ref="BM207:BP209"/>
    <mergeCell ref="BE210:BH213"/>
    <mergeCell ref="BI210:BL213"/>
    <mergeCell ref="BM210:BP213"/>
    <mergeCell ref="BE90:BH93"/>
    <mergeCell ref="BI90:BL93"/>
    <mergeCell ref="BM90:BP93"/>
    <mergeCell ref="BE94:BH96"/>
    <mergeCell ref="BI94:BL96"/>
    <mergeCell ref="BM94:BP96"/>
    <mergeCell ref="BE135:BH137"/>
    <mergeCell ref="BI135:BL137"/>
    <mergeCell ref="BM135:BP137"/>
    <mergeCell ref="BI190:BL192"/>
    <mergeCell ref="BM190:BP192"/>
  </mergeCells>
  <phoneticPr fontId="2"/>
  <conditionalFormatting sqref="A29:XFD30 A28:BI28 BR28:XFD28">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D744-FBEA-477E-8805-13ABD553BF1E}">
  <sheetPr>
    <pageSetUpPr fitToPage="1"/>
  </sheetPr>
  <dimension ref="A1:CE298"/>
  <sheetViews>
    <sheetView showZeros="0" zoomScale="55" zoomScaleNormal="55" workbookViewId="0">
      <selection activeCell="CE220" sqref="CE220"/>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IF(COUNTIF([10]回答表!K15,"*")&gt;0,[10]回答表!K15,"")</f>
        <v>由利本荘市</v>
      </c>
      <c r="D11" s="246"/>
      <c r="E11" s="246"/>
      <c r="F11" s="246"/>
      <c r="G11" s="246"/>
      <c r="H11" s="246"/>
      <c r="I11" s="246"/>
      <c r="J11" s="246"/>
      <c r="K11" s="246"/>
      <c r="L11" s="246"/>
      <c r="M11" s="246"/>
      <c r="N11" s="246"/>
      <c r="O11" s="246"/>
      <c r="P11" s="246"/>
      <c r="Q11" s="246"/>
      <c r="R11" s="246"/>
      <c r="S11" s="246"/>
      <c r="T11" s="246"/>
      <c r="U11" s="253" t="str">
        <f>IF(COUNTIF([10]回答表!F17,"*")&gt;0,[10]回答表!F17,"")</f>
        <v>介護サービス事業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IF(COUNTIF([10]回答表!W17,"*")&gt;0,[10]回答表!W17,"")</f>
        <v>老人デイサービスセンター</v>
      </c>
      <c r="AP11" s="248"/>
      <c r="AQ11" s="248"/>
      <c r="AR11" s="248"/>
      <c r="AS11" s="248"/>
      <c r="AT11" s="248"/>
      <c r="AU11" s="248"/>
      <c r="AV11" s="248"/>
      <c r="AW11" s="248"/>
      <c r="AX11" s="248"/>
      <c r="AY11" s="248"/>
      <c r="AZ11" s="248"/>
      <c r="BA11" s="248"/>
      <c r="BB11" s="248"/>
      <c r="BC11" s="248"/>
      <c r="BD11" s="248"/>
      <c r="BE11" s="249"/>
      <c r="BF11" s="252" t="str">
        <f>IF(COUNTIF([10]回答表!F19,"*")&gt;0,[10]回答表!F19,"")</f>
        <v>介護サービス事業特別会計</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IF([10]回答表!R41="○","○","")</f>
        <v/>
      </c>
      <c r="E24" s="122"/>
      <c r="F24" s="122"/>
      <c r="G24" s="122"/>
      <c r="H24" s="122"/>
      <c r="I24" s="122"/>
      <c r="J24" s="123"/>
      <c r="K24" s="121" t="str">
        <f>IF([10]回答表!R42="○","○","")</f>
        <v/>
      </c>
      <c r="L24" s="122"/>
      <c r="M24" s="122"/>
      <c r="N24" s="122"/>
      <c r="O24" s="122"/>
      <c r="P24" s="122"/>
      <c r="Q24" s="123"/>
      <c r="R24" s="121" t="str">
        <f>IF([10]回答表!R43="○","○","")</f>
        <v/>
      </c>
      <c r="S24" s="122"/>
      <c r="T24" s="122"/>
      <c r="U24" s="122"/>
      <c r="V24" s="122"/>
      <c r="W24" s="122"/>
      <c r="X24" s="123"/>
      <c r="Y24" s="121" t="str">
        <f>IF([10]回答表!R44="○","○","")</f>
        <v>○</v>
      </c>
      <c r="Z24" s="122"/>
      <c r="AA24" s="122"/>
      <c r="AB24" s="122"/>
      <c r="AC24" s="122"/>
      <c r="AD24" s="122"/>
      <c r="AE24" s="123"/>
      <c r="AF24" s="121" t="str">
        <f>IF([10]回答表!R45="○","○","")</f>
        <v/>
      </c>
      <c r="AG24" s="122"/>
      <c r="AH24" s="122"/>
      <c r="AI24" s="122"/>
      <c r="AJ24" s="122"/>
      <c r="AK24" s="122"/>
      <c r="AL24" s="123"/>
      <c r="AM24" s="121" t="str">
        <f>IF([10]回答表!R46="○","○","")</f>
        <v/>
      </c>
      <c r="AN24" s="122"/>
      <c r="AO24" s="122"/>
      <c r="AP24" s="122"/>
      <c r="AQ24" s="122"/>
      <c r="AR24" s="122"/>
      <c r="AS24" s="123"/>
      <c r="AT24" s="121" t="str">
        <f>IF([10]回答表!R47="○","○","")</f>
        <v/>
      </c>
      <c r="AU24" s="122"/>
      <c r="AV24" s="122"/>
      <c r="AW24" s="122"/>
      <c r="AX24" s="122"/>
      <c r="AY24" s="122"/>
      <c r="AZ24" s="123"/>
      <c r="BA24" s="19"/>
      <c r="BB24" s="118" t="str">
        <f>IF([10]回答表!R48="○","○","")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IF([10]回答表!X41="○","○","")</f>
        <v/>
      </c>
      <c r="O36" s="98"/>
      <c r="P36" s="98"/>
      <c r="Q36" s="99"/>
      <c r="R36" s="39"/>
      <c r="S36" s="39"/>
      <c r="T36" s="39"/>
      <c r="U36" s="106" t="str">
        <f>IF([10]回答表!X41="○",[10]回答表!B56,IF([10]回答表!AA41="○",[10]回答表!B76,""))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IF([10]回答表!X41="○",[10]回答表!S62,IF([10]回答表!AA41="○",[10]回答表!S82,""))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IF([10]回答表!X41="○",[10]回答表!G62,IF([10]回答表!AA41="○",[10]回答表!G82,""))</f>
        <v/>
      </c>
      <c r="AN38" s="119"/>
      <c r="AO38" s="119"/>
      <c r="AP38" s="119"/>
      <c r="AQ38" s="119"/>
      <c r="AR38" s="119"/>
      <c r="AS38" s="119"/>
      <c r="AT38" s="120"/>
      <c r="AU38" s="118" t="str">
        <f>IF([10]回答表!X41="○",[10]回答表!G63,IF([10]回答表!AA41="○",[10]回答表!G83,""))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IF([10]回答表!X41="○",[10]回答表!V62,IF([10]回答表!AA41="○",[10]回答表!V82,""))</f>
        <v/>
      </c>
      <c r="BF39" s="199"/>
      <c r="BG39" s="199"/>
      <c r="BH39" s="200"/>
      <c r="BI39" s="82" t="str">
        <f>IF([10]回答表!X41="○",[10]回答表!V63,IF([10]回答表!AA41="○",[10]回答表!V83,""))</f>
        <v/>
      </c>
      <c r="BJ39" s="199"/>
      <c r="BK39" s="199"/>
      <c r="BL39" s="200"/>
      <c r="BM39" s="82" t="str">
        <f>IF([10]回答表!X41="○",[10]回答表!V64,IF([10]回答表!AA41="○",[10]回答表!V84,""))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IF([10]回答表!X41="○",[10]回答表!O68,IF([10]回答表!AA41="○",[10]回答表!O88,""))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IF([10]回答表!X41="○",[10]回答表!O69,IF([10]回答表!AA41="○",[10]回答表!O89,""))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IF([10]回答表!AA41="○","○","")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IF([10]回答表!X41="○",[10]回答表!O70,IF([10]回答表!AA41="○",[10]回答表!O90,""))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IF([10]回答表!X41="○",[10]回答表!O71,IF([10]回答表!AA41="○",[10]回答表!O91,""))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IF([10]回答表!X41="○",[10]回答表!AG68,IF([10]回答表!AA41="○",[10]回答表!AG88,""))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IF([10]回答表!X41="○",[10]回答表!AG69,IF([10]回答表!AA41="○",[10]回答表!AG89,""))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IF([10]回答表!X41="○",[10]回答表!AG70,IF([10]回答表!AA41="○",[10]回答表!AG90,""))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IF([10]回答表!AD41="○","○","")</f>
        <v/>
      </c>
      <c r="O52" s="98"/>
      <c r="P52" s="98"/>
      <c r="Q52" s="99"/>
      <c r="R52" s="39"/>
      <c r="S52" s="39"/>
      <c r="T52" s="39"/>
      <c r="U52" s="106" t="str">
        <f>IF([10]回答表!AD41="○",[10]回答表!B96,"")</f>
        <v/>
      </c>
      <c r="V52" s="107"/>
      <c r="W52" s="107"/>
      <c r="X52" s="107"/>
      <c r="Y52" s="107"/>
      <c r="Z52" s="107"/>
      <c r="AA52" s="107"/>
      <c r="AB52" s="107"/>
      <c r="AC52" s="107"/>
      <c r="AD52" s="107"/>
      <c r="AE52" s="107"/>
      <c r="AF52" s="107"/>
      <c r="AG52" s="107"/>
      <c r="AH52" s="107"/>
      <c r="AI52" s="107"/>
      <c r="AJ52" s="108"/>
      <c r="AK52" s="56"/>
      <c r="AL52" s="56"/>
      <c r="AM52" s="106" t="str">
        <f>IF([10]回答表!AD41="○",[10]回答表!B101,"")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IF([10]回答表!X42="○","○","")</f>
        <v/>
      </c>
      <c r="O63" s="98"/>
      <c r="P63" s="98"/>
      <c r="Q63" s="99"/>
      <c r="R63" s="39"/>
      <c r="S63" s="39"/>
      <c r="T63" s="39"/>
      <c r="U63" s="106" t="str">
        <f>IF([10]回答表!X42="○",[10]回答表!B111,IF([10]回答表!AA42="○",[10]回答表!B124,""))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IF([10]回答表!X42="○",[10]回答表!S117,IF([10]回答表!AA42="○",[10]回答表!S130,""))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IF([10]回答表!X42="○",[10]回答表!J117,IF([10]回答表!AA42="○",[10]回答表!J130,""))</f>
        <v/>
      </c>
      <c r="AN66" s="119"/>
      <c r="AO66" s="119"/>
      <c r="AP66" s="119"/>
      <c r="AQ66" s="119"/>
      <c r="AR66" s="119"/>
      <c r="AS66" s="119"/>
      <c r="AT66" s="120"/>
      <c r="AU66" s="118" t="str">
        <f>IF([10]回答表!X42="○",[10]回答表!J118,IF([10]回答表!AA42="○",[10]回答表!J131,""))</f>
        <v/>
      </c>
      <c r="AV66" s="119"/>
      <c r="AW66" s="119"/>
      <c r="AX66" s="119"/>
      <c r="AY66" s="119"/>
      <c r="AZ66" s="119"/>
      <c r="BA66" s="119"/>
      <c r="BB66" s="120"/>
      <c r="BC66" s="40"/>
      <c r="BD66" s="35"/>
      <c r="BE66" s="82" t="str">
        <f>IF([10]回答表!X42="○",[10]回答表!V117,IF([10]回答表!AA42="○",[10]回答表!V130,""))</f>
        <v/>
      </c>
      <c r="BF66" s="83"/>
      <c r="BG66" s="83"/>
      <c r="BH66" s="83"/>
      <c r="BI66" s="82" t="str">
        <f>IF([10]回答表!X42="○",[10]回答表!V118,IF([10]回答表!AA42="○",[10]回答表!V131,""))</f>
        <v/>
      </c>
      <c r="BJ66" s="83"/>
      <c r="BK66" s="83"/>
      <c r="BL66" s="83"/>
      <c r="BM66" s="82" t="str">
        <f>IF([10]回答表!X42="○",[10]回答表!V119,IF([10]回答表!AA42="○",[10]回答表!V132,""))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IF([10]回答表!AA42="○","○","")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IF([10]回答表!AD42="○","○","")</f>
        <v/>
      </c>
      <c r="O75" s="98"/>
      <c r="P75" s="98"/>
      <c r="Q75" s="99"/>
      <c r="R75" s="39"/>
      <c r="S75" s="39"/>
      <c r="T75" s="39"/>
      <c r="U75" s="106" t="str">
        <f>IF([10]回答表!AD42="○",[10]回答表!B137,"")</f>
        <v/>
      </c>
      <c r="V75" s="107"/>
      <c r="W75" s="107"/>
      <c r="X75" s="107"/>
      <c r="Y75" s="107"/>
      <c r="Z75" s="107"/>
      <c r="AA75" s="107"/>
      <c r="AB75" s="107"/>
      <c r="AC75" s="107"/>
      <c r="AD75" s="107"/>
      <c r="AE75" s="107"/>
      <c r="AF75" s="107"/>
      <c r="AG75" s="107"/>
      <c r="AH75" s="107"/>
      <c r="AI75" s="107"/>
      <c r="AJ75" s="108"/>
      <c r="AK75" s="56"/>
      <c r="AL75" s="56"/>
      <c r="AM75" s="106" t="str">
        <f>IF([10]回答表!AD42="○",[10]回答表!B143,"")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IF([10]回答表!F17="水道事業",IF([10]回答表!X43="○","○",""),"")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IF([10]回答表!F17="水道事業",IF([10]回答表!X43="○",[10]回答表!B154,IF([10]回答表!AA43="○",[10]回答表!B201,"")),"")</f>
        <v/>
      </c>
      <c r="AN87" s="107"/>
      <c r="AO87" s="107"/>
      <c r="AP87" s="107"/>
      <c r="AQ87" s="107"/>
      <c r="AR87" s="107"/>
      <c r="AS87" s="107"/>
      <c r="AT87" s="107"/>
      <c r="AU87" s="107"/>
      <c r="AV87" s="107"/>
      <c r="AW87" s="107"/>
      <c r="AX87" s="107"/>
      <c r="AY87" s="107"/>
      <c r="AZ87" s="107"/>
      <c r="BA87" s="107"/>
      <c r="BB87" s="108"/>
      <c r="BC87" s="40"/>
      <c r="BD87" s="35"/>
      <c r="BE87" s="115" t="str">
        <f>IF([10]回答表!F17="水道事業",IF([10]回答表!X43="○",[10]回答表!B190,IF([10]回答表!AA43="○",[10]回答表!B238,"")),"")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IF([10]回答表!F17="水道事業",IF([10]回答表!X43="○",[10]回答表!J162,IF([10]回答表!AA43="○",[10]回答表!J209,"")),"")</f>
        <v/>
      </c>
      <c r="V89" s="119"/>
      <c r="W89" s="119"/>
      <c r="X89" s="119"/>
      <c r="Y89" s="119"/>
      <c r="Z89" s="119"/>
      <c r="AA89" s="119"/>
      <c r="AB89" s="120"/>
      <c r="AC89" s="118" t="str">
        <f>IF([10]回答表!F17="水道事業",IF([10]回答表!X43="○",[10]回答表!J169,IF([10]回答表!AA43="○",[10]回答表!J216,"")),"")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IF([10]回答表!F17="水道事業",IF([10]回答表!X43="○",[10]回答表!E190,IF([10]回答表!AA43="○",[10]回答表!E238,"")),"")</f>
        <v/>
      </c>
      <c r="BF90" s="83"/>
      <c r="BG90" s="83"/>
      <c r="BH90" s="83"/>
      <c r="BI90" s="82" t="str">
        <f>IF([10]回答表!F17="水道事業",IF([10]回答表!X43="○",[10]回答表!E191,IF([10]回答表!AA43="○",[10]回答表!E239,"")),"")</f>
        <v/>
      </c>
      <c r="BJ90" s="83"/>
      <c r="BK90" s="83"/>
      <c r="BL90" s="83"/>
      <c r="BM90" s="82" t="str">
        <f>IF([10]回答表!F17="水道事業",IF([10]回答表!X43="○",[10]回答表!E192,IF([10]回答表!AA43="○",[10]回答表!E240,"")),"")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IF([10]回答表!F17="水道事業",IF([10]回答表!AA43="○","○",""),"")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IF([10]回答表!F17="水道事業",IF([10]回答表!X43="○",[10]回答表!J172,IF([10]回答表!AA43="○",[10]回答表!J219,"")),"")</f>
        <v/>
      </c>
      <c r="V94" s="119"/>
      <c r="W94" s="119"/>
      <c r="X94" s="119"/>
      <c r="Y94" s="119"/>
      <c r="Z94" s="119"/>
      <c r="AA94" s="119"/>
      <c r="AB94" s="120"/>
      <c r="AC94" s="118" t="str">
        <f>IF([10]回答表!F17="水道事業",IF([10]回答表!X43="○",[10]回答表!J176,IF([10]回答表!AA43="○",[10]回答表!J223,"")),"")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IF([10]回答表!F17="水道事業",IF([10]回答表!AD43="○","○",""),"")</f>
        <v/>
      </c>
      <c r="O99" s="98"/>
      <c r="P99" s="98"/>
      <c r="Q99" s="99"/>
      <c r="R99" s="39"/>
      <c r="S99" s="39"/>
      <c r="T99" s="39"/>
      <c r="U99" s="106" t="str">
        <f>IF([10]回答表!F17="水道事業",IF([10]回答表!AD43="○",[10]回答表!B249,""),"")</f>
        <v/>
      </c>
      <c r="V99" s="107"/>
      <c r="W99" s="107"/>
      <c r="X99" s="107"/>
      <c r="Y99" s="107"/>
      <c r="Z99" s="107"/>
      <c r="AA99" s="107"/>
      <c r="AB99" s="107"/>
      <c r="AC99" s="107"/>
      <c r="AD99" s="107"/>
      <c r="AE99" s="107"/>
      <c r="AF99" s="107"/>
      <c r="AG99" s="107"/>
      <c r="AH99" s="107"/>
      <c r="AI99" s="107"/>
      <c r="AJ99" s="108"/>
      <c r="AK99" s="56"/>
      <c r="AL99" s="56"/>
      <c r="AM99" s="106" t="str">
        <f>IF([10]回答表!F17="水道事業",IF([10]回答表!AD43="○",[10]回答表!B255,""),"")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IF([10]回答表!F17="簡易水道事業",IF([10]回答表!X43="○","○",""),"")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IF([10]回答表!F17="簡易水道事業",IF([10]回答表!X43="○",[10]回答表!B154,IF([10]回答表!AA43="○",[10]回答表!B201,"")),"")</f>
        <v/>
      </c>
      <c r="AN111" s="107"/>
      <c r="AO111" s="107"/>
      <c r="AP111" s="107"/>
      <c r="AQ111" s="107"/>
      <c r="AR111" s="107"/>
      <c r="AS111" s="107"/>
      <c r="AT111" s="107"/>
      <c r="AU111" s="107"/>
      <c r="AV111" s="107"/>
      <c r="AW111" s="107"/>
      <c r="AX111" s="107"/>
      <c r="AY111" s="107"/>
      <c r="AZ111" s="107"/>
      <c r="BA111" s="107"/>
      <c r="BB111" s="108"/>
      <c r="BC111" s="40"/>
      <c r="BD111" s="35"/>
      <c r="BE111" s="115" t="str">
        <f>IF([10]回答表!F17="簡易水道事業",IF([10]回答表!X43="○",[10]回答表!B190,IF([10]回答表!AA43="○",[10]回答表!B238,"")),"")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IF([10]回答表!F17="簡易水道事業",IF([10]回答表!X43="○",[10]回答表!Y181,IF([10]回答表!AA43="○",[10]回答表!Y229,"")),"")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IF([10]回答表!F17="簡易水道事業",IF([10]回答表!X43="○",[10]回答表!E190,IF([10]回答表!AA43="○",[10]回答表!E238,"")),"")</f>
        <v/>
      </c>
      <c r="BF114" s="83"/>
      <c r="BG114" s="83"/>
      <c r="BH114" s="83"/>
      <c r="BI114" s="82" t="str">
        <f>IF([10]回答表!F17="簡易水道事業",IF([10]回答表!X43="○",[10]回答表!E191,IF([10]回答表!AA43="○",[10]回答表!E239,"")),"")</f>
        <v/>
      </c>
      <c r="BJ114" s="83"/>
      <c r="BK114" s="83"/>
      <c r="BL114" s="83"/>
      <c r="BM114" s="82" t="str">
        <f>IF([10]回答表!F17="簡易水道事業",IF([10]回答表!X43="○",[10]回答表!E192,IF([10]回答表!AA43="○",[10]回答表!E240,"")),"")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IF([10]回答表!F17="簡易水道事業",IF([10]回答表!AA43="○","○",""),"")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IF([10]回答表!F17="簡易水道事業",IF([10]回答表!X43="○",[10]回答表!Y182,IF([10]回答表!AA43="○",[10]回答表!Y230,"")),"")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IF([10]回答表!F17="簡易水道事業",IF([10]回答表!AD43="○","○",""),"")</f>
        <v/>
      </c>
      <c r="O123" s="98"/>
      <c r="P123" s="98"/>
      <c r="Q123" s="99"/>
      <c r="R123" s="39"/>
      <c r="S123" s="39"/>
      <c r="T123" s="39"/>
      <c r="U123" s="106" t="str">
        <f>IF([10]回答表!F17="簡易水道事業",IF([10]回答表!AD43="○",[10]回答表!B249,""),"")</f>
        <v/>
      </c>
      <c r="V123" s="107"/>
      <c r="W123" s="107"/>
      <c r="X123" s="107"/>
      <c r="Y123" s="107"/>
      <c r="Z123" s="107"/>
      <c r="AA123" s="107"/>
      <c r="AB123" s="107"/>
      <c r="AC123" s="107"/>
      <c r="AD123" s="107"/>
      <c r="AE123" s="107"/>
      <c r="AF123" s="107"/>
      <c r="AG123" s="107"/>
      <c r="AH123" s="107"/>
      <c r="AI123" s="107"/>
      <c r="AJ123" s="108"/>
      <c r="AK123" s="56"/>
      <c r="AL123" s="56"/>
      <c r="AM123" s="106" t="str">
        <f>IF([10]回答表!F17="簡易水道事業",IF([10]回答表!AD43="○",[10]回答表!B255,""),"")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IF([10]回答表!F17="下水道事業",IF([10]回答表!X43="○","○",""),"")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IF([10]回答表!F17="下水道事業",IF([10]回答表!X43="○",[10]回答表!B154,IF([10]回答表!AA43="○",[10]回答表!B201,"")),"")</f>
        <v/>
      </c>
      <c r="AN135" s="107"/>
      <c r="AO135" s="107"/>
      <c r="AP135" s="107"/>
      <c r="AQ135" s="107"/>
      <c r="AR135" s="107"/>
      <c r="AS135" s="107"/>
      <c r="AT135" s="107"/>
      <c r="AU135" s="107"/>
      <c r="AV135" s="107"/>
      <c r="AW135" s="107"/>
      <c r="AX135" s="107"/>
      <c r="AY135" s="107"/>
      <c r="AZ135" s="107"/>
      <c r="BA135" s="107"/>
      <c r="BB135" s="108"/>
      <c r="BC135" s="40"/>
      <c r="BD135" s="35"/>
      <c r="BE135" s="115" t="str">
        <f>IF([10]回答表!F17="下水道事業",IF([10]回答表!X43="○",[10]回答表!B190,IF([10]回答表!AA43="○",[10]回答表!B238,"")),"")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IF([10]回答表!F17="下水道事業",IF([10]回答表!X43="○",[10]回答表!Y184,IF([10]回答表!AA43="○",[10]回答表!Y232,"")),"")</f>
        <v/>
      </c>
      <c r="V137" s="119"/>
      <c r="W137" s="119"/>
      <c r="X137" s="119"/>
      <c r="Y137" s="119"/>
      <c r="Z137" s="119"/>
      <c r="AA137" s="119"/>
      <c r="AB137" s="120"/>
      <c r="AC137" s="118" t="str">
        <f>IF([10]回答表!F17="下水道事業",IF([10]回答表!X43="○",[10]回答表!Y185,IF([10]回答表!AA43="○",[10]回答表!Y233,"")),"")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IF([10]回答表!F17="下水道事業",IF([10]回答表!X43="○",[10]回答表!E190,IF([10]回答表!AA43="○",[10]回答表!E238,"")),"")</f>
        <v/>
      </c>
      <c r="BF138" s="83"/>
      <c r="BG138" s="83"/>
      <c r="BH138" s="83"/>
      <c r="BI138" s="82" t="str">
        <f>IF([10]回答表!F17="下水道事業",IF([10]回答表!X43="○",[10]回答表!E191,IF([10]回答表!AA43="○",[10]回答表!E239,"")),"")</f>
        <v/>
      </c>
      <c r="BJ138" s="83"/>
      <c r="BK138" s="83"/>
      <c r="BL138" s="83"/>
      <c r="BM138" s="82" t="str">
        <f>IF([10]回答表!F17="下水道事業",IF([10]回答表!X43="○",[10]回答表!E192,IF([10]回答表!AA43="○",[10]回答表!E240,"")),"")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IF([10]回答表!F17="下水道事業",IF([10]回答表!AA43="○","○",""),"")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IF([10]回答表!F17="下水道事業",IF([10]回答表!X43="○",[10]回答表!Y186,IF([10]回答表!AA43="○",[10]回答表!Y234,"")),"")</f>
        <v/>
      </c>
      <c r="V142" s="119"/>
      <c r="W142" s="119"/>
      <c r="X142" s="119"/>
      <c r="Y142" s="119"/>
      <c r="Z142" s="119"/>
      <c r="AA142" s="119"/>
      <c r="AB142" s="120"/>
      <c r="AC142" s="118" t="str">
        <f>IF([10]回答表!F17="下水道事業",IF([10]回答表!X43="○",[10]回答表!Y187,IF([10]回答表!AA43="○",[10]回答表!Y235,"")),"")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IF([10]回答表!F17="下水道事業",IF([10]回答表!AD43="○","○",""),"")</f>
        <v/>
      </c>
      <c r="O147" s="98"/>
      <c r="P147" s="98"/>
      <c r="Q147" s="99"/>
      <c r="R147" s="39"/>
      <c r="S147" s="39"/>
      <c r="T147" s="39"/>
      <c r="U147" s="106" t="str">
        <f>IF([10]回答表!F17="下水道事業",IF([10]回答表!AD43="○",[10]回答表!B249,""),"")</f>
        <v/>
      </c>
      <c r="V147" s="107"/>
      <c r="W147" s="107"/>
      <c r="X147" s="107"/>
      <c r="Y147" s="107"/>
      <c r="Z147" s="107"/>
      <c r="AA147" s="107"/>
      <c r="AB147" s="107"/>
      <c r="AC147" s="107"/>
      <c r="AD147" s="107"/>
      <c r="AE147" s="107"/>
      <c r="AF147" s="107"/>
      <c r="AG147" s="107"/>
      <c r="AH147" s="107"/>
      <c r="AI147" s="107"/>
      <c r="AJ147" s="108"/>
      <c r="AK147" s="56"/>
      <c r="AL147" s="56"/>
      <c r="AM147" s="106" t="str">
        <f>IF([10]回答表!F17="下水道事業",IF([10]回答表!AD43="○",[10]回答表!B255,""),"")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IF([10]回答表!BD17="○",IF([10]回答表!X43="○","○",""),"")</f>
        <v/>
      </c>
      <c r="O159" s="98"/>
      <c r="P159" s="98"/>
      <c r="Q159" s="99"/>
      <c r="R159" s="39"/>
      <c r="S159" s="39"/>
      <c r="T159" s="39"/>
      <c r="U159" s="106" t="str">
        <f>IF([10]回答表!BD17="○",IF([10]回答表!X43="○",[10]回答表!B154,IF([10]回答表!AA43="○",[10]回答表!B201,"")),"")</f>
        <v/>
      </c>
      <c r="V159" s="107"/>
      <c r="W159" s="107"/>
      <c r="X159" s="107"/>
      <c r="Y159" s="107"/>
      <c r="Z159" s="107"/>
      <c r="AA159" s="107"/>
      <c r="AB159" s="107"/>
      <c r="AC159" s="107"/>
      <c r="AD159" s="107"/>
      <c r="AE159" s="107"/>
      <c r="AF159" s="107"/>
      <c r="AG159" s="107"/>
      <c r="AH159" s="107"/>
      <c r="AI159" s="107"/>
      <c r="AJ159" s="108"/>
      <c r="AK159" s="50"/>
      <c r="AL159" s="50"/>
      <c r="AM159" s="115" t="str">
        <f>IF([10]回答表!BD17="○",IF([10]回答表!X43="○",[10]回答表!B190,IF([10]回答表!AA43="○",[10]回答表!B238,"")),"")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IF([10]回答表!BD17="○",IF([10]回答表!X43="○",[10]回答表!E190,IF([10]回答表!AA43="○",[10]回答表!E238,"")),"")</f>
        <v/>
      </c>
      <c r="AN162" s="83"/>
      <c r="AO162" s="83"/>
      <c r="AP162" s="83"/>
      <c r="AQ162" s="82" t="str">
        <f>IF([10]回答表!BD17="○",IF([10]回答表!X43="○",[10]回答表!E191,IF([10]回答表!AA43="○",[10]回答表!E239,"")),"")</f>
        <v/>
      </c>
      <c r="AR162" s="83"/>
      <c r="AS162" s="83"/>
      <c r="AT162" s="83"/>
      <c r="AU162" s="82" t="str">
        <f>IF([10]回答表!BD17="○",IF([10]回答表!X43="○",[10]回答表!E192,IF([10]回答表!AA43="○",[10]回答表!E240,"")),"")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IF([10]回答表!BD17="○",IF([10]回答表!AA43="○","○",""),"")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IF([10]回答表!BD17="○",IF([10]回答表!AD43="○","○",""),"")</f>
        <v/>
      </c>
      <c r="O171" s="98"/>
      <c r="P171" s="98"/>
      <c r="Q171" s="99"/>
      <c r="R171" s="39"/>
      <c r="S171" s="39"/>
      <c r="T171" s="39"/>
      <c r="U171" s="106" t="str">
        <f>IF([10]回答表!BD17="○",IF([10]回答表!AD43="○",[10]回答表!B249,""),"")</f>
        <v/>
      </c>
      <c r="V171" s="107"/>
      <c r="W171" s="107"/>
      <c r="X171" s="107"/>
      <c r="Y171" s="107"/>
      <c r="Z171" s="107"/>
      <c r="AA171" s="107"/>
      <c r="AB171" s="107"/>
      <c r="AC171" s="107"/>
      <c r="AD171" s="107"/>
      <c r="AE171" s="107"/>
      <c r="AF171" s="107"/>
      <c r="AG171" s="107"/>
      <c r="AH171" s="107"/>
      <c r="AI171" s="107"/>
      <c r="AJ171" s="108"/>
      <c r="AK171" s="56"/>
      <c r="AL171" s="56"/>
      <c r="AM171" s="106" t="str">
        <f>IF([10]回答表!BD17="○",IF([10]回答表!AD43="○",[10]回答表!B255,""),"")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IF([10]回答表!X44="○","○","")</f>
        <v>○</v>
      </c>
      <c r="O183" s="98"/>
      <c r="P183" s="98"/>
      <c r="Q183" s="99"/>
      <c r="R183" s="39"/>
      <c r="S183" s="39"/>
      <c r="T183" s="39"/>
      <c r="U183" s="269" t="str">
        <f>IF([10]回答表!X44="○",[10]回答表!B266,IF([10]回答表!AA44="○",[10]回答表!B283,""))</f>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
      <c r="V183" s="270"/>
      <c r="W183" s="270"/>
      <c r="X183" s="270"/>
      <c r="Y183" s="270"/>
      <c r="Z183" s="270"/>
      <c r="AA183" s="270"/>
      <c r="AB183" s="270"/>
      <c r="AC183" s="270"/>
      <c r="AD183" s="270"/>
      <c r="AE183" s="270"/>
      <c r="AF183" s="270"/>
      <c r="AG183" s="270"/>
      <c r="AH183" s="270"/>
      <c r="AI183" s="270"/>
      <c r="AJ183" s="271"/>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IF([10]回答表!X44="○",[10]回答表!U272,IF([10]回答表!AA44="○",[10]回答表!U289,""))</f>
        <v>平成</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272"/>
      <c r="V184" s="273"/>
      <c r="W184" s="273"/>
      <c r="X184" s="273"/>
      <c r="Y184" s="273"/>
      <c r="Z184" s="273"/>
      <c r="AA184" s="273"/>
      <c r="AB184" s="273"/>
      <c r="AC184" s="273"/>
      <c r="AD184" s="273"/>
      <c r="AE184" s="273"/>
      <c r="AF184" s="273"/>
      <c r="AG184" s="273"/>
      <c r="AH184" s="273"/>
      <c r="AI184" s="273"/>
      <c r="AJ184" s="274"/>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272"/>
      <c r="V185" s="273"/>
      <c r="W185" s="273"/>
      <c r="X185" s="273"/>
      <c r="Y185" s="273"/>
      <c r="Z185" s="273"/>
      <c r="AA185" s="273"/>
      <c r="AB185" s="273"/>
      <c r="AC185" s="273"/>
      <c r="AD185" s="273"/>
      <c r="AE185" s="273"/>
      <c r="AF185" s="273"/>
      <c r="AG185" s="273"/>
      <c r="AH185" s="273"/>
      <c r="AI185" s="273"/>
      <c r="AJ185" s="274"/>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272"/>
      <c r="V186" s="273"/>
      <c r="W186" s="273"/>
      <c r="X186" s="273"/>
      <c r="Y186" s="273"/>
      <c r="Z186" s="273"/>
      <c r="AA186" s="273"/>
      <c r="AB186" s="273"/>
      <c r="AC186" s="273"/>
      <c r="AD186" s="273"/>
      <c r="AE186" s="273"/>
      <c r="AF186" s="273"/>
      <c r="AG186" s="273"/>
      <c r="AH186" s="273"/>
      <c r="AI186" s="273"/>
      <c r="AJ186" s="274"/>
      <c r="AK186" s="50"/>
      <c r="AL186" s="50"/>
      <c r="AM186" s="118">
        <f>IF([10]回答表!X44="○",[10]回答表!G272,IF([10]回答表!AA44="○",[10]回答表!G289,""))</f>
        <v>0</v>
      </c>
      <c r="AN186" s="119"/>
      <c r="AO186" s="119"/>
      <c r="AP186" s="119"/>
      <c r="AQ186" s="119"/>
      <c r="AR186" s="119"/>
      <c r="AS186" s="119"/>
      <c r="AT186" s="120"/>
      <c r="AU186" s="118" t="str">
        <f>IF([10]回答表!X44="○",[10]回答表!G273,IF([10]回答表!AA44="○",[10]回答表!G290,""))</f>
        <v>○</v>
      </c>
      <c r="AV186" s="119"/>
      <c r="AW186" s="119"/>
      <c r="AX186" s="119"/>
      <c r="AY186" s="119"/>
      <c r="AZ186" s="119"/>
      <c r="BA186" s="119"/>
      <c r="BB186" s="120"/>
      <c r="BC186" s="40"/>
      <c r="BD186" s="35"/>
      <c r="BE186" s="82">
        <f>IF([10]回答表!X44="○",[10]回答表!X272,IF([10]回答表!AA44="○",[10]回答表!X289,""))</f>
        <v>28</v>
      </c>
      <c r="BF186" s="83"/>
      <c r="BG186" s="83"/>
      <c r="BH186" s="83"/>
      <c r="BI186" s="82">
        <f>IF([10]回答表!X44="○",[10]回答表!X273,IF([10]回答表!AA44="○",[10]回答表!X290,""))</f>
        <v>4</v>
      </c>
      <c r="BJ186" s="83"/>
      <c r="BK186" s="83"/>
      <c r="BL186" s="86"/>
      <c r="BM186" s="82">
        <f>IF([10]回答表!X44="○",[10]回答表!X274,IF([10]回答表!AA44="○",[10]回答表!X291,""))</f>
        <v>1</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272"/>
      <c r="V187" s="273"/>
      <c r="W187" s="273"/>
      <c r="X187" s="273"/>
      <c r="Y187" s="273"/>
      <c r="Z187" s="273"/>
      <c r="AA187" s="273"/>
      <c r="AB187" s="273"/>
      <c r="AC187" s="273"/>
      <c r="AD187" s="273"/>
      <c r="AE187" s="273"/>
      <c r="AF187" s="273"/>
      <c r="AG187" s="273"/>
      <c r="AH187" s="273"/>
      <c r="AI187" s="273"/>
      <c r="AJ187" s="274"/>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272"/>
      <c r="V188" s="273"/>
      <c r="W188" s="273"/>
      <c r="X188" s="273"/>
      <c r="Y188" s="273"/>
      <c r="Z188" s="273"/>
      <c r="AA188" s="273"/>
      <c r="AB188" s="273"/>
      <c r="AC188" s="273"/>
      <c r="AD188" s="273"/>
      <c r="AE188" s="273"/>
      <c r="AF188" s="273"/>
      <c r="AG188" s="273"/>
      <c r="AH188" s="273"/>
      <c r="AI188" s="273"/>
      <c r="AJ188" s="274"/>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IF([10]回答表!AA44="○","○","")</f>
        <v/>
      </c>
      <c r="O189" s="98"/>
      <c r="P189" s="98"/>
      <c r="Q189" s="99"/>
      <c r="R189" s="39"/>
      <c r="S189" s="39"/>
      <c r="T189" s="39"/>
      <c r="U189" s="272"/>
      <c r="V189" s="273"/>
      <c r="W189" s="273"/>
      <c r="X189" s="273"/>
      <c r="Y189" s="273"/>
      <c r="Z189" s="273"/>
      <c r="AA189" s="273"/>
      <c r="AB189" s="273"/>
      <c r="AC189" s="273"/>
      <c r="AD189" s="273"/>
      <c r="AE189" s="273"/>
      <c r="AF189" s="273"/>
      <c r="AG189" s="273"/>
      <c r="AH189" s="273"/>
      <c r="AI189" s="273"/>
      <c r="AJ189" s="274"/>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272"/>
      <c r="V190" s="273"/>
      <c r="W190" s="273"/>
      <c r="X190" s="273"/>
      <c r="Y190" s="273"/>
      <c r="Z190" s="273"/>
      <c r="AA190" s="273"/>
      <c r="AB190" s="273"/>
      <c r="AC190" s="273"/>
      <c r="AD190" s="273"/>
      <c r="AE190" s="273"/>
      <c r="AF190" s="273"/>
      <c r="AG190" s="273"/>
      <c r="AH190" s="273"/>
      <c r="AI190" s="273"/>
      <c r="AJ190" s="274"/>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272"/>
      <c r="V191" s="273"/>
      <c r="W191" s="273"/>
      <c r="X191" s="273"/>
      <c r="Y191" s="273"/>
      <c r="Z191" s="273"/>
      <c r="AA191" s="273"/>
      <c r="AB191" s="273"/>
      <c r="AC191" s="273"/>
      <c r="AD191" s="273"/>
      <c r="AE191" s="273"/>
      <c r="AF191" s="273"/>
      <c r="AG191" s="273"/>
      <c r="AH191" s="273"/>
      <c r="AI191" s="273"/>
      <c r="AJ191" s="274"/>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275"/>
      <c r="V192" s="276"/>
      <c r="W192" s="276"/>
      <c r="X192" s="276"/>
      <c r="Y192" s="276"/>
      <c r="Z192" s="276"/>
      <c r="AA192" s="276"/>
      <c r="AB192" s="276"/>
      <c r="AC192" s="276"/>
      <c r="AD192" s="276"/>
      <c r="AE192" s="276"/>
      <c r="AF192" s="276"/>
      <c r="AG192" s="276"/>
      <c r="AH192" s="276"/>
      <c r="AI192" s="276"/>
      <c r="AJ192" s="277"/>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IF([10]回答表!AD44="○","○","")</f>
        <v/>
      </c>
      <c r="O195" s="98"/>
      <c r="P195" s="98"/>
      <c r="Q195" s="99"/>
      <c r="R195" s="39"/>
      <c r="S195" s="39"/>
      <c r="T195" s="39"/>
      <c r="U195" s="106" t="str">
        <f>IF([10]回答表!AD44="○",[10]回答表!B296,"")</f>
        <v/>
      </c>
      <c r="V195" s="107"/>
      <c r="W195" s="107"/>
      <c r="X195" s="107"/>
      <c r="Y195" s="107"/>
      <c r="Z195" s="107"/>
      <c r="AA195" s="107"/>
      <c r="AB195" s="107"/>
      <c r="AC195" s="107"/>
      <c r="AD195" s="107"/>
      <c r="AE195" s="107"/>
      <c r="AF195" s="107"/>
      <c r="AG195" s="107"/>
      <c r="AH195" s="107"/>
      <c r="AI195" s="107"/>
      <c r="AJ195" s="108"/>
      <c r="AK195" s="61"/>
      <c r="AL195" s="61"/>
      <c r="AM195" s="106" t="str">
        <f>IF([10]回答表!AD44="○",[10]回答表!B302,"")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IF([10]回答表!X45="○","○","")</f>
        <v/>
      </c>
      <c r="O207" s="98"/>
      <c r="P207" s="98"/>
      <c r="Q207" s="99"/>
      <c r="R207" s="39"/>
      <c r="S207" s="39"/>
      <c r="T207" s="39"/>
      <c r="U207" s="106" t="str">
        <f>IF([10]回答表!X45="○",[10]回答表!B314,IF([10]回答表!AA45="○",[10]回答表!B337,""))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IF([10]回答表!X45="○",[10]回答表!B320,"")</f>
        <v/>
      </c>
      <c r="AO207" s="164"/>
      <c r="AP207" s="164"/>
      <c r="AQ207" s="164"/>
      <c r="AR207" s="164"/>
      <c r="AS207" s="164"/>
      <c r="AT207" s="164"/>
      <c r="AU207" s="164"/>
      <c r="AV207" s="164"/>
      <c r="AW207" s="164"/>
      <c r="AX207" s="164"/>
      <c r="AY207" s="164"/>
      <c r="AZ207" s="164"/>
      <c r="BA207" s="164"/>
      <c r="BB207" s="165"/>
      <c r="BC207" s="40"/>
      <c r="BD207" s="35"/>
      <c r="BE207" s="115" t="str">
        <f>IF([10]回答表!X45="○",[10]回答表!B326,IF([10]回答表!AA45="○",[10]回答表!B343,""))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IF([10]回答表!X45="○",[10]回答表!E326,IF([10]回答表!AA45="○",[10]回答表!E343,""))</f>
        <v/>
      </c>
      <c r="BF210" s="83"/>
      <c r="BG210" s="83"/>
      <c r="BH210" s="83"/>
      <c r="BI210" s="82" t="str">
        <f>IF([10]回答表!X45="○",[10]回答表!E327,IF([10]回答表!AA45="○",[10]回答表!E344,""))</f>
        <v/>
      </c>
      <c r="BJ210" s="83"/>
      <c r="BK210" s="83"/>
      <c r="BL210" s="86"/>
      <c r="BM210" s="82" t="str">
        <f>IF([10]回答表!X45="○",[10]回答表!E328,IF([10]回答表!AA45="○",[10]回答表!E345,""))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IF([10]回答表!AA45="○","○","")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IF([10]回答表!AD45="○","○","")</f>
        <v/>
      </c>
      <c r="O219" s="98"/>
      <c r="P219" s="98"/>
      <c r="Q219" s="99"/>
      <c r="R219" s="39"/>
      <c r="S219" s="39"/>
      <c r="T219" s="39"/>
      <c r="U219" s="106" t="str">
        <f>IF([10]回答表!AD45="○",[10]回答表!B350,"")</f>
        <v/>
      </c>
      <c r="V219" s="107"/>
      <c r="W219" s="107"/>
      <c r="X219" s="107"/>
      <c r="Y219" s="107"/>
      <c r="Z219" s="107"/>
      <c r="AA219" s="107"/>
      <c r="AB219" s="107"/>
      <c r="AC219" s="107"/>
      <c r="AD219" s="107"/>
      <c r="AE219" s="107"/>
      <c r="AF219" s="107"/>
      <c r="AG219" s="107"/>
      <c r="AH219" s="107"/>
      <c r="AI219" s="107"/>
      <c r="AJ219" s="108"/>
      <c r="AK219" s="61"/>
      <c r="AL219" s="61"/>
      <c r="AM219" s="106" t="str">
        <f>IF([10]回答表!AD45="○",[10]回答表!B356,"")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IF([10]回答表!X46="○","○","")</f>
        <v/>
      </c>
      <c r="O231" s="98"/>
      <c r="P231" s="98"/>
      <c r="Q231" s="99"/>
      <c r="R231" s="39"/>
      <c r="S231" s="39"/>
      <c r="T231" s="39"/>
      <c r="U231" s="106" t="str">
        <f>IF([10]回答表!X46="○",[10]回答表!B368,IF([10]回答表!AA46="○",[10]回答表!B382,""))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IF([10]回答表!X46="○",[10]回答表!BC375,IF([10]回答表!AA46="○",[10]回答表!BC389,""))</f>
        <v/>
      </c>
      <c r="AR231" s="150"/>
      <c r="AS231" s="150"/>
      <c r="AT231" s="150"/>
      <c r="AU231" s="155" t="s">
        <v>63</v>
      </c>
      <c r="AV231" s="156"/>
      <c r="AW231" s="156"/>
      <c r="AX231" s="157"/>
      <c r="AY231" s="150" t="str">
        <f>IF([10]回答表!X46="○",[10]回答表!BC380,IF([10]回答表!AA46="○",[10]回答表!BC394,""))</f>
        <v/>
      </c>
      <c r="AZ231" s="150"/>
      <c r="BA231" s="150"/>
      <c r="BB231" s="150"/>
      <c r="BC231" s="40"/>
      <c r="BD231" s="35"/>
      <c r="BE231" s="115" t="str">
        <f>IF([10]回答表!X46="○",[10]回答表!S374,IF([10]回答表!AA46="○",[10]回答表!S388,""))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IF([10]回答表!X46="○",[10]回答表!BC376,IF([10]回答表!AA46="○",[10]回答表!BC390,""))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IF([10]回答表!X46="○",[10]回答表!V374,IF([10]回答表!AA46="○",[10]回答表!V388,""))</f>
        <v/>
      </c>
      <c r="BF234" s="83"/>
      <c r="BG234" s="83"/>
      <c r="BH234" s="83"/>
      <c r="BI234" s="82" t="str">
        <f>IF([10]回答表!X46="○",[10]回答表!V375,IF([10]回答表!AA46="○",[10]回答表!V389,""))</f>
        <v/>
      </c>
      <c r="BJ234" s="83"/>
      <c r="BK234" s="83"/>
      <c r="BL234" s="86"/>
      <c r="BM234" s="82" t="str">
        <f>IF([10]回答表!X46="○",[10]回答表!V376,IF([10]回答表!AA46="○",[10]回答表!V390,""))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IF([10]回答表!X46="○",[10]回答表!BC377,IF([10]回答表!AA46="○",[10]回答表!BC391,""))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IF([10]回答表!X46="○",[10]回答表!BC381,IF([10]回答表!AA46="○",[10]回答表!BC395,""))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IF([10]回答表!AA46="○","○","")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IF([10]回答表!X46="○",[10]回答表!BC378,IF([10]回答表!AA46="○",[10]回答表!BC392,""))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IF([10]回答表!X46="○",[10]回答表!BC379,IF([10]回答表!AA46="○",[10]回答表!BC393,""))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IF([10]回答表!AD46="○","○","")</f>
        <v/>
      </c>
      <c r="O243" s="98"/>
      <c r="P243" s="98"/>
      <c r="Q243" s="99"/>
      <c r="R243" s="39"/>
      <c r="S243" s="39"/>
      <c r="T243" s="39"/>
      <c r="U243" s="106" t="str">
        <f>IF([10]回答表!AD46="○",[10]回答表!B396,"")</f>
        <v/>
      </c>
      <c r="V243" s="107"/>
      <c r="W243" s="107"/>
      <c r="X243" s="107"/>
      <c r="Y243" s="107"/>
      <c r="Z243" s="107"/>
      <c r="AA243" s="107"/>
      <c r="AB243" s="107"/>
      <c r="AC243" s="107"/>
      <c r="AD243" s="107"/>
      <c r="AE243" s="107"/>
      <c r="AF243" s="107"/>
      <c r="AG243" s="107"/>
      <c r="AH243" s="107"/>
      <c r="AI243" s="107"/>
      <c r="AJ243" s="108"/>
      <c r="AK243" s="56"/>
      <c r="AL243" s="56"/>
      <c r="AM243" s="106" t="str">
        <f>IF([10]回答表!AD46="○",[10]回答表!B402,"")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IF([10]回答表!X47="○","○","")</f>
        <v/>
      </c>
      <c r="O254" s="98"/>
      <c r="P254" s="98"/>
      <c r="Q254" s="99"/>
      <c r="R254" s="39"/>
      <c r="S254" s="39"/>
      <c r="T254" s="39"/>
      <c r="U254" s="106" t="str">
        <f>IF([10]回答表!X47="○",[10]回答表!B414,IF([10]回答表!AA47="○",[10]回答表!B431,""))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IF([10]回答表!X47="○",[10]回答表!B424,IF([10]回答表!AA47="○",[10]回答表!B441,""))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IF([10]回答表!X47="○",[10]回答表!G420,IF([10]回答表!AA47="○",[10]回答表!G437,""))</f>
        <v/>
      </c>
      <c r="AN256" s="119"/>
      <c r="AO256" s="119"/>
      <c r="AP256" s="119"/>
      <c r="AQ256" s="119"/>
      <c r="AR256" s="119"/>
      <c r="AS256" s="119"/>
      <c r="AT256" s="120"/>
      <c r="AU256" s="118" t="str">
        <f>IF([10]回答表!X47="○",[10]回答表!G421,IF([10]回答表!AA47="○",[10]回答表!G438,""))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IF([10]回答表!X47="○",[10]回答表!E424,IF([10]回答表!AA47="○",[10]回答表!E441,""))</f>
        <v/>
      </c>
      <c r="BF257" s="83"/>
      <c r="BG257" s="83"/>
      <c r="BH257" s="83"/>
      <c r="BI257" s="82" t="str">
        <f>IF([10]回答表!X47="○",[10]回答表!E425,IF([10]回答表!AA47="○",[10]回答表!E442,""))</f>
        <v/>
      </c>
      <c r="BJ257" s="83"/>
      <c r="BK257" s="83"/>
      <c r="BL257" s="86"/>
      <c r="BM257" s="82" t="str">
        <f>IF([10]回答表!X47="○",[10]回答表!E426,IF([10]回答表!AA47="○",[10]回答表!E443,""))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IF([10]回答表!AA47="○","○","")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IF([10]回答表!AD47="○","○","")</f>
        <v/>
      </c>
      <c r="O266" s="98"/>
      <c r="P266" s="98"/>
      <c r="Q266" s="99"/>
      <c r="R266" s="39"/>
      <c r="S266" s="39"/>
      <c r="T266" s="39"/>
      <c r="U266" s="106" t="str">
        <f>IF([10]回答表!AD47="○",[10]回答表!B448,"")</f>
        <v/>
      </c>
      <c r="V266" s="107"/>
      <c r="W266" s="107"/>
      <c r="X266" s="107"/>
      <c r="Y266" s="107"/>
      <c r="Z266" s="107"/>
      <c r="AA266" s="107"/>
      <c r="AB266" s="107"/>
      <c r="AC266" s="107"/>
      <c r="AD266" s="107"/>
      <c r="AE266" s="107"/>
      <c r="AF266" s="107"/>
      <c r="AG266" s="107"/>
      <c r="AH266" s="107"/>
      <c r="AI266" s="107"/>
      <c r="AJ266" s="108"/>
      <c r="AK266" s="50"/>
      <c r="AL266" s="50"/>
      <c r="AM266" s="106" t="str">
        <f>IF([10]回答表!AD47="○",[10]回答表!B454,"")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IF([10]回答表!R48="○",[10]回答表!B467,"")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F0B4-3463-4E80-970F-F1F18F7A2E23}">
  <sheetPr>
    <pageSetUpPr fitToPage="1"/>
  </sheetPr>
  <dimension ref="A1:CE298"/>
  <sheetViews>
    <sheetView showZeros="0" zoomScale="55" zoomScaleNormal="55" workbookViewId="0">
      <selection activeCell="BU61" sqref="BU61"/>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IF(COUNTIF([12]回答表!K15,"*")&gt;0,[12]回答表!K15,"")</f>
        <v>由利本荘市</v>
      </c>
      <c r="D11" s="246"/>
      <c r="E11" s="246"/>
      <c r="F11" s="246"/>
      <c r="G11" s="246"/>
      <c r="H11" s="246"/>
      <c r="I11" s="246"/>
      <c r="J11" s="246"/>
      <c r="K11" s="246"/>
      <c r="L11" s="246"/>
      <c r="M11" s="246"/>
      <c r="N11" s="246"/>
      <c r="O11" s="246"/>
      <c r="P11" s="246"/>
      <c r="Q11" s="246"/>
      <c r="R11" s="246"/>
      <c r="S11" s="246"/>
      <c r="T11" s="246"/>
      <c r="U11" s="253" t="str">
        <f>IF(COUNTIF([12]回答表!F17,"*")&gt;0,[12]回答表!F17,"")</f>
        <v>介護サービス事業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IF(COUNTIF([12]回答表!W17,"*")&gt;0,[12]回答表!W17,"")</f>
        <v>老人短期入所施設</v>
      </c>
      <c r="AP11" s="248"/>
      <c r="AQ11" s="248"/>
      <c r="AR11" s="248"/>
      <c r="AS11" s="248"/>
      <c r="AT11" s="248"/>
      <c r="AU11" s="248"/>
      <c r="AV11" s="248"/>
      <c r="AW11" s="248"/>
      <c r="AX11" s="248"/>
      <c r="AY11" s="248"/>
      <c r="AZ11" s="248"/>
      <c r="BA11" s="248"/>
      <c r="BB11" s="248"/>
      <c r="BC11" s="248"/>
      <c r="BD11" s="248"/>
      <c r="BE11" s="249"/>
      <c r="BF11" s="252" t="str">
        <f>IF(COUNTIF([12]回答表!F19,"*")&gt;0,[12]回答表!F19,"")</f>
        <v>介護サービス事業特別会計</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IF([12]回答表!R41="○","○","")</f>
        <v/>
      </c>
      <c r="E24" s="122"/>
      <c r="F24" s="122"/>
      <c r="G24" s="122"/>
      <c r="H24" s="122"/>
      <c r="I24" s="122"/>
      <c r="J24" s="123"/>
      <c r="K24" s="121" t="str">
        <f>IF([12]回答表!R42="○","○","")</f>
        <v/>
      </c>
      <c r="L24" s="122"/>
      <c r="M24" s="122"/>
      <c r="N24" s="122"/>
      <c r="O24" s="122"/>
      <c r="P24" s="122"/>
      <c r="Q24" s="123"/>
      <c r="R24" s="121" t="str">
        <f>IF([12]回答表!R43="○","○","")</f>
        <v/>
      </c>
      <c r="S24" s="122"/>
      <c r="T24" s="122"/>
      <c r="U24" s="122"/>
      <c r="V24" s="122"/>
      <c r="W24" s="122"/>
      <c r="X24" s="123"/>
      <c r="Y24" s="121" t="str">
        <f>IF([12]回答表!R44="○","○","")</f>
        <v>○</v>
      </c>
      <c r="Z24" s="122"/>
      <c r="AA24" s="122"/>
      <c r="AB24" s="122"/>
      <c r="AC24" s="122"/>
      <c r="AD24" s="122"/>
      <c r="AE24" s="123"/>
      <c r="AF24" s="121" t="str">
        <f>IF([12]回答表!R45="○","○","")</f>
        <v/>
      </c>
      <c r="AG24" s="122"/>
      <c r="AH24" s="122"/>
      <c r="AI24" s="122"/>
      <c r="AJ24" s="122"/>
      <c r="AK24" s="122"/>
      <c r="AL24" s="123"/>
      <c r="AM24" s="121" t="str">
        <f>IF([12]回答表!R46="○","○","")</f>
        <v/>
      </c>
      <c r="AN24" s="122"/>
      <c r="AO24" s="122"/>
      <c r="AP24" s="122"/>
      <c r="AQ24" s="122"/>
      <c r="AR24" s="122"/>
      <c r="AS24" s="123"/>
      <c r="AT24" s="121" t="str">
        <f>IF([12]回答表!R47="○","○","")</f>
        <v/>
      </c>
      <c r="AU24" s="122"/>
      <c r="AV24" s="122"/>
      <c r="AW24" s="122"/>
      <c r="AX24" s="122"/>
      <c r="AY24" s="122"/>
      <c r="AZ24" s="123"/>
      <c r="BA24" s="19"/>
      <c r="BB24" s="118" t="str">
        <f>IF([12]回答表!R48="○","○","")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IF([12]回答表!X41="○","○","")</f>
        <v/>
      </c>
      <c r="O36" s="98"/>
      <c r="P36" s="98"/>
      <c r="Q36" s="99"/>
      <c r="R36" s="39"/>
      <c r="S36" s="39"/>
      <c r="T36" s="39"/>
      <c r="U36" s="106" t="str">
        <f>IF([12]回答表!X41="○",[12]回答表!B56,IF([12]回答表!AA41="○",[12]回答表!B76,""))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IF([12]回答表!X41="○",[12]回答表!S62,IF([12]回答表!AA41="○",[12]回答表!S82,""))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IF([12]回答表!X41="○",[12]回答表!G62,IF([12]回答表!AA41="○",[12]回答表!G82,""))</f>
        <v/>
      </c>
      <c r="AN38" s="119"/>
      <c r="AO38" s="119"/>
      <c r="AP38" s="119"/>
      <c r="AQ38" s="119"/>
      <c r="AR38" s="119"/>
      <c r="AS38" s="119"/>
      <c r="AT38" s="120"/>
      <c r="AU38" s="118" t="str">
        <f>IF([12]回答表!X41="○",[12]回答表!G63,IF([12]回答表!AA41="○",[12]回答表!G83,""))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IF([12]回答表!X41="○",[12]回答表!V62,IF([12]回答表!AA41="○",[12]回答表!V82,""))</f>
        <v/>
      </c>
      <c r="BF39" s="199"/>
      <c r="BG39" s="199"/>
      <c r="BH39" s="200"/>
      <c r="BI39" s="82" t="str">
        <f>IF([12]回答表!X41="○",[12]回答表!V63,IF([12]回答表!AA41="○",[12]回答表!V83,""))</f>
        <v/>
      </c>
      <c r="BJ39" s="199"/>
      <c r="BK39" s="199"/>
      <c r="BL39" s="200"/>
      <c r="BM39" s="82" t="str">
        <f>IF([12]回答表!X41="○",[12]回答表!V64,IF([12]回答表!AA41="○",[12]回答表!V84,""))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IF([12]回答表!X41="○",[12]回答表!O68,IF([12]回答表!AA41="○",[12]回答表!O88,""))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IF([12]回答表!X41="○",[12]回答表!O69,IF([12]回答表!AA41="○",[12]回答表!O89,""))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IF([12]回答表!X41="○",[12]回答表!O70,IF([12]回答表!AA41="○",[12]回答表!O90,""))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IF([12]回答表!X41="○",[12]回答表!O71,IF([12]回答表!AA41="○",[12]回答表!O91,""))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IF([12]回答表!X41="○",[12]回答表!AG68,IF([12]回答表!AA41="○",[12]回答表!AG88,""))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IF([12]回答表!X41="○",[12]回答表!AG69,IF([12]回答表!AA41="○",[12]回答表!AG89,""))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IF([12]回答表!X41="○",[12]回答表!AG70,IF([12]回答表!AA41="○",[12]回答表!AG90,""))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IF([12]回答表!AD41="○","○","")</f>
        <v/>
      </c>
      <c r="O52" s="98"/>
      <c r="P52" s="98"/>
      <c r="Q52" s="99"/>
      <c r="R52" s="39"/>
      <c r="S52" s="39"/>
      <c r="T52" s="39"/>
      <c r="U52" s="106" t="str">
        <f>IF([12]回答表!AD41="○",[12]回答表!B96,"")</f>
        <v/>
      </c>
      <c r="V52" s="107"/>
      <c r="W52" s="107"/>
      <c r="X52" s="107"/>
      <c r="Y52" s="107"/>
      <c r="Z52" s="107"/>
      <c r="AA52" s="107"/>
      <c r="AB52" s="107"/>
      <c r="AC52" s="107"/>
      <c r="AD52" s="107"/>
      <c r="AE52" s="107"/>
      <c r="AF52" s="107"/>
      <c r="AG52" s="107"/>
      <c r="AH52" s="107"/>
      <c r="AI52" s="107"/>
      <c r="AJ52" s="108"/>
      <c r="AK52" s="56"/>
      <c r="AL52" s="56"/>
      <c r="AM52" s="106" t="str">
        <f>IF([12]回答表!AD41="○",[12]回答表!B101,"")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IF([12]回答表!X42="○","○","")</f>
        <v/>
      </c>
      <c r="O63" s="98"/>
      <c r="P63" s="98"/>
      <c r="Q63" s="99"/>
      <c r="R63" s="39"/>
      <c r="S63" s="39"/>
      <c r="T63" s="39"/>
      <c r="U63" s="106" t="str">
        <f>IF([12]回答表!X42="○",[12]回答表!B111,IF([12]回答表!AA42="○",[12]回答表!B124,""))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IF([12]回答表!X42="○",[12]回答表!S117,IF([12]回答表!AA42="○",[12]回答表!S130,""))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IF([12]回答表!X42="○",[12]回答表!J117,IF([12]回答表!AA42="○",[12]回答表!J130,""))</f>
        <v/>
      </c>
      <c r="AN66" s="119"/>
      <c r="AO66" s="119"/>
      <c r="AP66" s="119"/>
      <c r="AQ66" s="119"/>
      <c r="AR66" s="119"/>
      <c r="AS66" s="119"/>
      <c r="AT66" s="120"/>
      <c r="AU66" s="118" t="str">
        <f>IF([12]回答表!X42="○",[12]回答表!J118,IF([12]回答表!AA42="○",[12]回答表!J131,""))</f>
        <v/>
      </c>
      <c r="AV66" s="119"/>
      <c r="AW66" s="119"/>
      <c r="AX66" s="119"/>
      <c r="AY66" s="119"/>
      <c r="AZ66" s="119"/>
      <c r="BA66" s="119"/>
      <c r="BB66" s="120"/>
      <c r="BC66" s="40"/>
      <c r="BD66" s="35"/>
      <c r="BE66" s="82" t="str">
        <f>IF([12]回答表!X42="○",[12]回答表!V117,IF([12]回答表!AA42="○",[12]回答表!V130,""))</f>
        <v/>
      </c>
      <c r="BF66" s="83"/>
      <c r="BG66" s="83"/>
      <c r="BH66" s="83"/>
      <c r="BI66" s="82" t="str">
        <f>IF([12]回答表!X42="○",[12]回答表!V118,IF([12]回答表!AA42="○",[12]回答表!V131,""))</f>
        <v/>
      </c>
      <c r="BJ66" s="83"/>
      <c r="BK66" s="83"/>
      <c r="BL66" s="83"/>
      <c r="BM66" s="82" t="str">
        <f>IF([12]回答表!X42="○",[12]回答表!V119,IF([12]回答表!AA42="○",[12]回答表!V132,""))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IF([12]回答表!AD42="○","○","")</f>
        <v/>
      </c>
      <c r="O75" s="98"/>
      <c r="P75" s="98"/>
      <c r="Q75" s="99"/>
      <c r="R75" s="39"/>
      <c r="S75" s="39"/>
      <c r="T75" s="39"/>
      <c r="U75" s="106" t="str">
        <f>IF([12]回答表!AD42="○",[12]回答表!B137,"")</f>
        <v/>
      </c>
      <c r="V75" s="107"/>
      <c r="W75" s="107"/>
      <c r="X75" s="107"/>
      <c r="Y75" s="107"/>
      <c r="Z75" s="107"/>
      <c r="AA75" s="107"/>
      <c r="AB75" s="107"/>
      <c r="AC75" s="107"/>
      <c r="AD75" s="107"/>
      <c r="AE75" s="107"/>
      <c r="AF75" s="107"/>
      <c r="AG75" s="107"/>
      <c r="AH75" s="107"/>
      <c r="AI75" s="107"/>
      <c r="AJ75" s="108"/>
      <c r="AK75" s="56"/>
      <c r="AL75" s="56"/>
      <c r="AM75" s="106" t="str">
        <f>IF([12]回答表!AD42="○",[12]回答表!B143,"")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IF([12]回答表!F17="水道事業",IF([12]回答表!X43="○","○",""),"")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IF([12]回答表!F17="水道事業",IF([12]回答表!X43="○",[12]回答表!B154,IF([12]回答表!AA43="○",[12]回答表!B201,"")),"")</f>
        <v/>
      </c>
      <c r="AN87" s="107"/>
      <c r="AO87" s="107"/>
      <c r="AP87" s="107"/>
      <c r="AQ87" s="107"/>
      <c r="AR87" s="107"/>
      <c r="AS87" s="107"/>
      <c r="AT87" s="107"/>
      <c r="AU87" s="107"/>
      <c r="AV87" s="107"/>
      <c r="AW87" s="107"/>
      <c r="AX87" s="107"/>
      <c r="AY87" s="107"/>
      <c r="AZ87" s="107"/>
      <c r="BA87" s="107"/>
      <c r="BB87" s="108"/>
      <c r="BC87" s="40"/>
      <c r="BD87" s="35"/>
      <c r="BE87" s="115" t="str">
        <f>IF([12]回答表!F17="水道事業",IF([12]回答表!X43="○",[12]回答表!B190,IF([12]回答表!AA43="○",[12]回答表!B238,"")),"")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IF([12]回答表!F17="水道事業",IF([12]回答表!X43="○",[12]回答表!J162,IF([12]回答表!AA43="○",[12]回答表!J209,"")),"")</f>
        <v/>
      </c>
      <c r="V89" s="119"/>
      <c r="W89" s="119"/>
      <c r="X89" s="119"/>
      <c r="Y89" s="119"/>
      <c r="Z89" s="119"/>
      <c r="AA89" s="119"/>
      <c r="AB89" s="120"/>
      <c r="AC89" s="118" t="str">
        <f>IF([12]回答表!F17="水道事業",IF([12]回答表!X43="○",[12]回答表!J169,IF([12]回答表!AA43="○",[12]回答表!J216,"")),"")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IF([12]回答表!F17="水道事業",IF([12]回答表!X43="○",[12]回答表!E190,IF([12]回答表!AA43="○",[12]回答表!E238,"")),"")</f>
        <v/>
      </c>
      <c r="BF90" s="83"/>
      <c r="BG90" s="83"/>
      <c r="BH90" s="83"/>
      <c r="BI90" s="82" t="str">
        <f>IF([12]回答表!F17="水道事業",IF([12]回答表!X43="○",[12]回答表!E191,IF([12]回答表!AA43="○",[12]回答表!E239,"")),"")</f>
        <v/>
      </c>
      <c r="BJ90" s="83"/>
      <c r="BK90" s="83"/>
      <c r="BL90" s="83"/>
      <c r="BM90" s="82" t="str">
        <f>IF([12]回答表!F17="水道事業",IF([12]回答表!X43="○",[12]回答表!E192,IF([12]回答表!AA43="○",[12]回答表!E240,"")),"")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IF([12]回答表!F17="水道事業",IF([12]回答表!AA43="○","○",""),"")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IF([12]回答表!F17="水道事業",IF([12]回答表!X43="○",[12]回答表!J172,IF([12]回答表!AA43="○",[12]回答表!J219,"")),"")</f>
        <v/>
      </c>
      <c r="V94" s="119"/>
      <c r="W94" s="119"/>
      <c r="X94" s="119"/>
      <c r="Y94" s="119"/>
      <c r="Z94" s="119"/>
      <c r="AA94" s="119"/>
      <c r="AB94" s="120"/>
      <c r="AC94" s="118" t="str">
        <f>IF([12]回答表!F17="水道事業",IF([12]回答表!X43="○",[12]回答表!J176,IF([12]回答表!AA43="○",[12]回答表!J223,"")),"")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IF([12]回答表!F17="水道事業",IF([12]回答表!AD43="○","○",""),"")</f>
        <v/>
      </c>
      <c r="O99" s="98"/>
      <c r="P99" s="98"/>
      <c r="Q99" s="99"/>
      <c r="R99" s="39"/>
      <c r="S99" s="39"/>
      <c r="T99" s="39"/>
      <c r="U99" s="106" t="str">
        <f>IF([12]回答表!F17="水道事業",IF([12]回答表!AD43="○",[12]回答表!B249,""),"")</f>
        <v/>
      </c>
      <c r="V99" s="107"/>
      <c r="W99" s="107"/>
      <c r="X99" s="107"/>
      <c r="Y99" s="107"/>
      <c r="Z99" s="107"/>
      <c r="AA99" s="107"/>
      <c r="AB99" s="107"/>
      <c r="AC99" s="107"/>
      <c r="AD99" s="107"/>
      <c r="AE99" s="107"/>
      <c r="AF99" s="107"/>
      <c r="AG99" s="107"/>
      <c r="AH99" s="107"/>
      <c r="AI99" s="107"/>
      <c r="AJ99" s="108"/>
      <c r="AK99" s="56"/>
      <c r="AL99" s="56"/>
      <c r="AM99" s="106" t="str">
        <f>IF([12]回答表!F17="水道事業",IF([12]回答表!AD43="○",[12]回答表!B255,""),"")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IF([12]回答表!F17="簡易水道事業",IF([12]回答表!X43="○","○",""),"")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IF([12]回答表!F17="簡易水道事業",IF([12]回答表!X43="○",[12]回答表!B154,IF([12]回答表!AA43="○",[12]回答表!B201,"")),"")</f>
        <v/>
      </c>
      <c r="AN111" s="107"/>
      <c r="AO111" s="107"/>
      <c r="AP111" s="107"/>
      <c r="AQ111" s="107"/>
      <c r="AR111" s="107"/>
      <c r="AS111" s="107"/>
      <c r="AT111" s="107"/>
      <c r="AU111" s="107"/>
      <c r="AV111" s="107"/>
      <c r="AW111" s="107"/>
      <c r="AX111" s="107"/>
      <c r="AY111" s="107"/>
      <c r="AZ111" s="107"/>
      <c r="BA111" s="107"/>
      <c r="BB111" s="108"/>
      <c r="BC111" s="40"/>
      <c r="BD111" s="35"/>
      <c r="BE111" s="115" t="str">
        <f>IF([12]回答表!F17="簡易水道事業",IF([12]回答表!X43="○",[12]回答表!B190,IF([12]回答表!AA43="○",[12]回答表!B238,"")),"")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IF([12]回答表!F17="簡易水道事業",IF([12]回答表!X43="○",[12]回答表!Y181,IF([12]回答表!AA43="○",[12]回答表!Y229,"")),"")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IF([12]回答表!F17="簡易水道事業",IF([12]回答表!X43="○",[12]回答表!E190,IF([12]回答表!AA43="○",[12]回答表!E238,"")),"")</f>
        <v/>
      </c>
      <c r="BF114" s="83"/>
      <c r="BG114" s="83"/>
      <c r="BH114" s="83"/>
      <c r="BI114" s="82" t="str">
        <f>IF([12]回答表!F17="簡易水道事業",IF([12]回答表!X43="○",[12]回答表!E191,IF([12]回答表!AA43="○",[12]回答表!E239,"")),"")</f>
        <v/>
      </c>
      <c r="BJ114" s="83"/>
      <c r="BK114" s="83"/>
      <c r="BL114" s="83"/>
      <c r="BM114" s="82" t="str">
        <f>IF([12]回答表!F17="簡易水道事業",IF([12]回答表!X43="○",[12]回答表!E192,IF([12]回答表!AA43="○",[12]回答表!E240,"")),"")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IF([12]回答表!F17="簡易水道事業",IF([12]回答表!AA43="○","○",""),"")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IF([12]回答表!F17="簡易水道事業",IF([12]回答表!X43="○",[12]回答表!Y182,IF([12]回答表!AA43="○",[12]回答表!Y230,"")),"")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IF([12]回答表!F17="簡易水道事業",IF([12]回答表!AD43="○","○",""),"")</f>
        <v/>
      </c>
      <c r="O123" s="98"/>
      <c r="P123" s="98"/>
      <c r="Q123" s="99"/>
      <c r="R123" s="39"/>
      <c r="S123" s="39"/>
      <c r="T123" s="39"/>
      <c r="U123" s="106" t="str">
        <f>IF([12]回答表!F17="簡易水道事業",IF([12]回答表!AD43="○",[12]回答表!B249,""),"")</f>
        <v/>
      </c>
      <c r="V123" s="107"/>
      <c r="W123" s="107"/>
      <c r="X123" s="107"/>
      <c r="Y123" s="107"/>
      <c r="Z123" s="107"/>
      <c r="AA123" s="107"/>
      <c r="AB123" s="107"/>
      <c r="AC123" s="107"/>
      <c r="AD123" s="107"/>
      <c r="AE123" s="107"/>
      <c r="AF123" s="107"/>
      <c r="AG123" s="107"/>
      <c r="AH123" s="107"/>
      <c r="AI123" s="107"/>
      <c r="AJ123" s="108"/>
      <c r="AK123" s="56"/>
      <c r="AL123" s="56"/>
      <c r="AM123" s="106" t="str">
        <f>IF([12]回答表!F17="簡易水道事業",IF([12]回答表!AD43="○",[12]回答表!B255,""),"")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IF([12]回答表!F17="下水道事業",IF([12]回答表!X43="○","○",""),"")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IF([12]回答表!F17="下水道事業",IF([12]回答表!X43="○",[12]回答表!B154,IF([12]回答表!AA43="○",[12]回答表!B201,"")),"")</f>
        <v/>
      </c>
      <c r="AN135" s="107"/>
      <c r="AO135" s="107"/>
      <c r="AP135" s="107"/>
      <c r="AQ135" s="107"/>
      <c r="AR135" s="107"/>
      <c r="AS135" s="107"/>
      <c r="AT135" s="107"/>
      <c r="AU135" s="107"/>
      <c r="AV135" s="107"/>
      <c r="AW135" s="107"/>
      <c r="AX135" s="107"/>
      <c r="AY135" s="107"/>
      <c r="AZ135" s="107"/>
      <c r="BA135" s="107"/>
      <c r="BB135" s="108"/>
      <c r="BC135" s="40"/>
      <c r="BD135" s="35"/>
      <c r="BE135" s="115" t="str">
        <f>IF([12]回答表!F17="下水道事業",IF([12]回答表!X43="○",[12]回答表!B190,IF([12]回答表!AA43="○",[12]回答表!B238,"")),"")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IF([12]回答表!F17="下水道事業",IF([12]回答表!X43="○",[12]回答表!Y184,IF([12]回答表!AA43="○",[12]回答表!Y232,"")),"")</f>
        <v/>
      </c>
      <c r="V137" s="119"/>
      <c r="W137" s="119"/>
      <c r="X137" s="119"/>
      <c r="Y137" s="119"/>
      <c r="Z137" s="119"/>
      <c r="AA137" s="119"/>
      <c r="AB137" s="120"/>
      <c r="AC137" s="118" t="str">
        <f>IF([12]回答表!F17="下水道事業",IF([12]回答表!X43="○",[12]回答表!Y185,IF([12]回答表!AA43="○",[12]回答表!Y233,"")),"")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IF([12]回答表!F17="下水道事業",IF([12]回答表!X43="○",[12]回答表!E190,IF([12]回答表!AA43="○",[12]回答表!E238,"")),"")</f>
        <v/>
      </c>
      <c r="BF138" s="83"/>
      <c r="BG138" s="83"/>
      <c r="BH138" s="83"/>
      <c r="BI138" s="82" t="str">
        <f>IF([12]回答表!F17="下水道事業",IF([12]回答表!X43="○",[12]回答表!E191,IF([12]回答表!AA43="○",[12]回答表!E239,"")),"")</f>
        <v/>
      </c>
      <c r="BJ138" s="83"/>
      <c r="BK138" s="83"/>
      <c r="BL138" s="83"/>
      <c r="BM138" s="82" t="str">
        <f>IF([12]回答表!F17="下水道事業",IF([12]回答表!X43="○",[12]回答表!E192,IF([12]回答表!AA43="○",[12]回答表!E240,"")),"")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IF([12]回答表!F17="下水道事業",IF([12]回答表!AA43="○","○",""),"")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IF([12]回答表!F17="下水道事業",IF([12]回答表!X43="○",[12]回答表!Y186,IF([12]回答表!AA43="○",[12]回答表!Y234,"")),"")</f>
        <v/>
      </c>
      <c r="V142" s="119"/>
      <c r="W142" s="119"/>
      <c r="X142" s="119"/>
      <c r="Y142" s="119"/>
      <c r="Z142" s="119"/>
      <c r="AA142" s="119"/>
      <c r="AB142" s="120"/>
      <c r="AC142" s="118" t="str">
        <f>IF([12]回答表!F17="下水道事業",IF([12]回答表!X43="○",[12]回答表!Y187,IF([12]回答表!AA43="○",[12]回答表!Y235,"")),"")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IF([12]回答表!F17="下水道事業",IF([12]回答表!AD43="○","○",""),"")</f>
        <v/>
      </c>
      <c r="O147" s="98"/>
      <c r="P147" s="98"/>
      <c r="Q147" s="99"/>
      <c r="R147" s="39"/>
      <c r="S147" s="39"/>
      <c r="T147" s="39"/>
      <c r="U147" s="106" t="str">
        <f>IF([12]回答表!F17="下水道事業",IF([12]回答表!AD43="○",[12]回答表!B249,""),"")</f>
        <v/>
      </c>
      <c r="V147" s="107"/>
      <c r="W147" s="107"/>
      <c r="X147" s="107"/>
      <c r="Y147" s="107"/>
      <c r="Z147" s="107"/>
      <c r="AA147" s="107"/>
      <c r="AB147" s="107"/>
      <c r="AC147" s="107"/>
      <c r="AD147" s="107"/>
      <c r="AE147" s="107"/>
      <c r="AF147" s="107"/>
      <c r="AG147" s="107"/>
      <c r="AH147" s="107"/>
      <c r="AI147" s="107"/>
      <c r="AJ147" s="108"/>
      <c r="AK147" s="56"/>
      <c r="AL147" s="56"/>
      <c r="AM147" s="106" t="str">
        <f>IF([12]回答表!F17="下水道事業",IF([12]回答表!AD43="○",[12]回答表!B255,""),"")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IF([12]回答表!BD17="○",IF([12]回答表!X43="○","○",""),"")</f>
        <v/>
      </c>
      <c r="O159" s="98"/>
      <c r="P159" s="98"/>
      <c r="Q159" s="99"/>
      <c r="R159" s="39"/>
      <c r="S159" s="39"/>
      <c r="T159" s="39"/>
      <c r="U159" s="106" t="str">
        <f>IF([12]回答表!BD17="○",IF([12]回答表!X43="○",[12]回答表!B154,IF([12]回答表!AA43="○",[12]回答表!B201,"")),"")</f>
        <v/>
      </c>
      <c r="V159" s="107"/>
      <c r="W159" s="107"/>
      <c r="X159" s="107"/>
      <c r="Y159" s="107"/>
      <c r="Z159" s="107"/>
      <c r="AA159" s="107"/>
      <c r="AB159" s="107"/>
      <c r="AC159" s="107"/>
      <c r="AD159" s="107"/>
      <c r="AE159" s="107"/>
      <c r="AF159" s="107"/>
      <c r="AG159" s="107"/>
      <c r="AH159" s="107"/>
      <c r="AI159" s="107"/>
      <c r="AJ159" s="108"/>
      <c r="AK159" s="50"/>
      <c r="AL159" s="50"/>
      <c r="AM159" s="115" t="str">
        <f>IF([12]回答表!BD17="○",IF([12]回答表!X43="○",[12]回答表!B190,IF([12]回答表!AA43="○",[12]回答表!B238,"")),"")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IF([12]回答表!BD17="○",IF([12]回答表!X43="○",[12]回答表!E190,IF([12]回答表!AA43="○",[12]回答表!E238,"")),"")</f>
        <v/>
      </c>
      <c r="AN162" s="83"/>
      <c r="AO162" s="83"/>
      <c r="AP162" s="83"/>
      <c r="AQ162" s="82" t="str">
        <f>IF([12]回答表!BD17="○",IF([12]回答表!X43="○",[12]回答表!E191,IF([12]回答表!AA43="○",[12]回答表!E239,"")),"")</f>
        <v/>
      </c>
      <c r="AR162" s="83"/>
      <c r="AS162" s="83"/>
      <c r="AT162" s="83"/>
      <c r="AU162" s="82" t="str">
        <f>IF([12]回答表!BD17="○",IF([12]回答表!X43="○",[12]回答表!E192,IF([12]回答表!AA43="○",[12]回答表!E240,"")),"")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IF([12]回答表!BD17="○",IF([12]回答表!AA43="○","○",""),"")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IF([12]回答表!BD17="○",IF([12]回答表!AD43="○","○",""),"")</f>
        <v/>
      </c>
      <c r="O171" s="98"/>
      <c r="P171" s="98"/>
      <c r="Q171" s="99"/>
      <c r="R171" s="39"/>
      <c r="S171" s="39"/>
      <c r="T171" s="39"/>
      <c r="U171" s="106" t="str">
        <f>IF([12]回答表!BD17="○",IF([12]回答表!AD43="○",[12]回答表!B249,""),"")</f>
        <v/>
      </c>
      <c r="V171" s="107"/>
      <c r="W171" s="107"/>
      <c r="X171" s="107"/>
      <c r="Y171" s="107"/>
      <c r="Z171" s="107"/>
      <c r="AA171" s="107"/>
      <c r="AB171" s="107"/>
      <c r="AC171" s="107"/>
      <c r="AD171" s="107"/>
      <c r="AE171" s="107"/>
      <c r="AF171" s="107"/>
      <c r="AG171" s="107"/>
      <c r="AH171" s="107"/>
      <c r="AI171" s="107"/>
      <c r="AJ171" s="108"/>
      <c r="AK171" s="56"/>
      <c r="AL171" s="56"/>
      <c r="AM171" s="106" t="str">
        <f>IF([12]回答表!BD17="○",IF([12]回答表!AD43="○",[12]回答表!B255,""),"")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IF([12]回答表!X44="○","○","")</f>
        <v>○</v>
      </c>
      <c r="O183" s="98"/>
      <c r="P183" s="98"/>
      <c r="Q183" s="99"/>
      <c r="R183" s="39"/>
      <c r="S183" s="39"/>
      <c r="T183" s="39"/>
      <c r="U183" s="269" t="str">
        <f>IF([12]回答表!X44="○",[12]回答表!B266,IF([12]回答表!AA44="○",[12]回答表!B283,""))</f>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
      <c r="V183" s="270"/>
      <c r="W183" s="270"/>
      <c r="X183" s="270"/>
      <c r="Y183" s="270"/>
      <c r="Z183" s="270"/>
      <c r="AA183" s="270"/>
      <c r="AB183" s="270"/>
      <c r="AC183" s="270"/>
      <c r="AD183" s="270"/>
      <c r="AE183" s="270"/>
      <c r="AF183" s="270"/>
      <c r="AG183" s="270"/>
      <c r="AH183" s="270"/>
      <c r="AI183" s="270"/>
      <c r="AJ183" s="271"/>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IF([12]回答表!X44="○",[12]回答表!U272,IF([12]回答表!AA44="○",[12]回答表!U289,""))</f>
        <v>平成</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272"/>
      <c r="V184" s="273"/>
      <c r="W184" s="273"/>
      <c r="X184" s="273"/>
      <c r="Y184" s="273"/>
      <c r="Z184" s="273"/>
      <c r="AA184" s="273"/>
      <c r="AB184" s="273"/>
      <c r="AC184" s="273"/>
      <c r="AD184" s="273"/>
      <c r="AE184" s="273"/>
      <c r="AF184" s="273"/>
      <c r="AG184" s="273"/>
      <c r="AH184" s="273"/>
      <c r="AI184" s="273"/>
      <c r="AJ184" s="274"/>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272"/>
      <c r="V185" s="273"/>
      <c r="W185" s="273"/>
      <c r="X185" s="273"/>
      <c r="Y185" s="273"/>
      <c r="Z185" s="273"/>
      <c r="AA185" s="273"/>
      <c r="AB185" s="273"/>
      <c r="AC185" s="273"/>
      <c r="AD185" s="273"/>
      <c r="AE185" s="273"/>
      <c r="AF185" s="273"/>
      <c r="AG185" s="273"/>
      <c r="AH185" s="273"/>
      <c r="AI185" s="273"/>
      <c r="AJ185" s="274"/>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272"/>
      <c r="V186" s="273"/>
      <c r="W186" s="273"/>
      <c r="X186" s="273"/>
      <c r="Y186" s="273"/>
      <c r="Z186" s="273"/>
      <c r="AA186" s="273"/>
      <c r="AB186" s="273"/>
      <c r="AC186" s="273"/>
      <c r="AD186" s="273"/>
      <c r="AE186" s="273"/>
      <c r="AF186" s="273"/>
      <c r="AG186" s="273"/>
      <c r="AH186" s="273"/>
      <c r="AI186" s="273"/>
      <c r="AJ186" s="274"/>
      <c r="AK186" s="50"/>
      <c r="AL186" s="50"/>
      <c r="AM186" s="118">
        <f>IF([12]回答表!X44="○",[12]回答表!G272,IF([12]回答表!AA44="○",[12]回答表!G289,""))</f>
        <v>0</v>
      </c>
      <c r="AN186" s="119"/>
      <c r="AO186" s="119"/>
      <c r="AP186" s="119"/>
      <c r="AQ186" s="119"/>
      <c r="AR186" s="119"/>
      <c r="AS186" s="119"/>
      <c r="AT186" s="120"/>
      <c r="AU186" s="118" t="str">
        <f>IF([12]回答表!X44="○",[12]回答表!G273,IF([12]回答表!AA44="○",[12]回答表!G290,""))</f>
        <v>○</v>
      </c>
      <c r="AV186" s="119"/>
      <c r="AW186" s="119"/>
      <c r="AX186" s="119"/>
      <c r="AY186" s="119"/>
      <c r="AZ186" s="119"/>
      <c r="BA186" s="119"/>
      <c r="BB186" s="120"/>
      <c r="BC186" s="40"/>
      <c r="BD186" s="35"/>
      <c r="BE186" s="82">
        <f>IF([12]回答表!X44="○",[12]回答表!X272,IF([12]回答表!AA44="○",[12]回答表!X289,""))</f>
        <v>28</v>
      </c>
      <c r="BF186" s="83"/>
      <c r="BG186" s="83"/>
      <c r="BH186" s="83"/>
      <c r="BI186" s="82">
        <f>IF([12]回答表!X44="○",[12]回答表!X273,IF([12]回答表!AA44="○",[12]回答表!X290,""))</f>
        <v>4</v>
      </c>
      <c r="BJ186" s="83"/>
      <c r="BK186" s="83"/>
      <c r="BL186" s="86"/>
      <c r="BM186" s="82">
        <f>IF([12]回答表!X44="○",[12]回答表!X274,IF([12]回答表!AA44="○",[12]回答表!X291,""))</f>
        <v>1</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272"/>
      <c r="V187" s="273"/>
      <c r="W187" s="273"/>
      <c r="X187" s="273"/>
      <c r="Y187" s="273"/>
      <c r="Z187" s="273"/>
      <c r="AA187" s="273"/>
      <c r="AB187" s="273"/>
      <c r="AC187" s="273"/>
      <c r="AD187" s="273"/>
      <c r="AE187" s="273"/>
      <c r="AF187" s="273"/>
      <c r="AG187" s="273"/>
      <c r="AH187" s="273"/>
      <c r="AI187" s="273"/>
      <c r="AJ187" s="274"/>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272"/>
      <c r="V188" s="273"/>
      <c r="W188" s="273"/>
      <c r="X188" s="273"/>
      <c r="Y188" s="273"/>
      <c r="Z188" s="273"/>
      <c r="AA188" s="273"/>
      <c r="AB188" s="273"/>
      <c r="AC188" s="273"/>
      <c r="AD188" s="273"/>
      <c r="AE188" s="273"/>
      <c r="AF188" s="273"/>
      <c r="AG188" s="273"/>
      <c r="AH188" s="273"/>
      <c r="AI188" s="273"/>
      <c r="AJ188" s="274"/>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IF([12]回答表!AA44="○","○","")</f>
        <v/>
      </c>
      <c r="O189" s="98"/>
      <c r="P189" s="98"/>
      <c r="Q189" s="99"/>
      <c r="R189" s="39"/>
      <c r="S189" s="39"/>
      <c r="T189" s="39"/>
      <c r="U189" s="272"/>
      <c r="V189" s="273"/>
      <c r="W189" s="273"/>
      <c r="X189" s="273"/>
      <c r="Y189" s="273"/>
      <c r="Z189" s="273"/>
      <c r="AA189" s="273"/>
      <c r="AB189" s="273"/>
      <c r="AC189" s="273"/>
      <c r="AD189" s="273"/>
      <c r="AE189" s="273"/>
      <c r="AF189" s="273"/>
      <c r="AG189" s="273"/>
      <c r="AH189" s="273"/>
      <c r="AI189" s="273"/>
      <c r="AJ189" s="274"/>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272"/>
      <c r="V190" s="273"/>
      <c r="W190" s="273"/>
      <c r="X190" s="273"/>
      <c r="Y190" s="273"/>
      <c r="Z190" s="273"/>
      <c r="AA190" s="273"/>
      <c r="AB190" s="273"/>
      <c r="AC190" s="273"/>
      <c r="AD190" s="273"/>
      <c r="AE190" s="273"/>
      <c r="AF190" s="273"/>
      <c r="AG190" s="273"/>
      <c r="AH190" s="273"/>
      <c r="AI190" s="273"/>
      <c r="AJ190" s="274"/>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272"/>
      <c r="V191" s="273"/>
      <c r="W191" s="273"/>
      <c r="X191" s="273"/>
      <c r="Y191" s="273"/>
      <c r="Z191" s="273"/>
      <c r="AA191" s="273"/>
      <c r="AB191" s="273"/>
      <c r="AC191" s="273"/>
      <c r="AD191" s="273"/>
      <c r="AE191" s="273"/>
      <c r="AF191" s="273"/>
      <c r="AG191" s="273"/>
      <c r="AH191" s="273"/>
      <c r="AI191" s="273"/>
      <c r="AJ191" s="274"/>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275"/>
      <c r="V192" s="276"/>
      <c r="W192" s="276"/>
      <c r="X192" s="276"/>
      <c r="Y192" s="276"/>
      <c r="Z192" s="276"/>
      <c r="AA192" s="276"/>
      <c r="AB192" s="276"/>
      <c r="AC192" s="276"/>
      <c r="AD192" s="276"/>
      <c r="AE192" s="276"/>
      <c r="AF192" s="276"/>
      <c r="AG192" s="276"/>
      <c r="AH192" s="276"/>
      <c r="AI192" s="276"/>
      <c r="AJ192" s="277"/>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IF([12]回答表!AD44="○","○","")</f>
        <v/>
      </c>
      <c r="O195" s="98"/>
      <c r="P195" s="98"/>
      <c r="Q195" s="99"/>
      <c r="R195" s="39"/>
      <c r="S195" s="39"/>
      <c r="T195" s="39"/>
      <c r="U195" s="106" t="str">
        <f>IF([12]回答表!AD44="○",[12]回答表!B296,"")</f>
        <v/>
      </c>
      <c r="V195" s="107"/>
      <c r="W195" s="107"/>
      <c r="X195" s="107"/>
      <c r="Y195" s="107"/>
      <c r="Z195" s="107"/>
      <c r="AA195" s="107"/>
      <c r="AB195" s="107"/>
      <c r="AC195" s="107"/>
      <c r="AD195" s="107"/>
      <c r="AE195" s="107"/>
      <c r="AF195" s="107"/>
      <c r="AG195" s="107"/>
      <c r="AH195" s="107"/>
      <c r="AI195" s="107"/>
      <c r="AJ195" s="108"/>
      <c r="AK195" s="61"/>
      <c r="AL195" s="61"/>
      <c r="AM195" s="106" t="str">
        <f>IF([12]回答表!AD44="○",[12]回答表!B302,"")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IF([12]回答表!X45="○","○","")</f>
        <v/>
      </c>
      <c r="O207" s="98"/>
      <c r="P207" s="98"/>
      <c r="Q207" s="99"/>
      <c r="R207" s="39"/>
      <c r="S207" s="39"/>
      <c r="T207" s="39"/>
      <c r="U207" s="106" t="str">
        <f>IF([12]回答表!X45="○",[12]回答表!B314,IF([12]回答表!AA45="○",[12]回答表!B337,""))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IF([12]回答表!X45="○",[12]回答表!B320,"")</f>
        <v/>
      </c>
      <c r="AO207" s="164"/>
      <c r="AP207" s="164"/>
      <c r="AQ207" s="164"/>
      <c r="AR207" s="164"/>
      <c r="AS207" s="164"/>
      <c r="AT207" s="164"/>
      <c r="AU207" s="164"/>
      <c r="AV207" s="164"/>
      <c r="AW207" s="164"/>
      <c r="AX207" s="164"/>
      <c r="AY207" s="164"/>
      <c r="AZ207" s="164"/>
      <c r="BA207" s="164"/>
      <c r="BB207" s="165"/>
      <c r="BC207" s="40"/>
      <c r="BD207" s="35"/>
      <c r="BE207" s="115" t="str">
        <f>IF([12]回答表!X45="○",[12]回答表!B326,IF([12]回答表!AA45="○",[12]回答表!B343,""))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IF([12]回答表!X45="○",[12]回答表!E326,IF([12]回答表!AA45="○",[12]回答表!E343,""))</f>
        <v/>
      </c>
      <c r="BF210" s="83"/>
      <c r="BG210" s="83"/>
      <c r="BH210" s="83"/>
      <c r="BI210" s="82" t="str">
        <f>IF([12]回答表!X45="○",[12]回答表!E327,IF([12]回答表!AA45="○",[12]回答表!E344,""))</f>
        <v/>
      </c>
      <c r="BJ210" s="83"/>
      <c r="BK210" s="83"/>
      <c r="BL210" s="86"/>
      <c r="BM210" s="82" t="str">
        <f>IF([12]回答表!X45="○",[12]回答表!E328,IF([12]回答表!AA45="○",[12]回答表!E345,""))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IF([12]回答表!AD45="○","○","")</f>
        <v/>
      </c>
      <c r="O219" s="98"/>
      <c r="P219" s="98"/>
      <c r="Q219" s="99"/>
      <c r="R219" s="39"/>
      <c r="S219" s="39"/>
      <c r="T219" s="39"/>
      <c r="U219" s="106" t="str">
        <f>IF([12]回答表!AD45="○",[12]回答表!B350,"")</f>
        <v/>
      </c>
      <c r="V219" s="107"/>
      <c r="W219" s="107"/>
      <c r="X219" s="107"/>
      <c r="Y219" s="107"/>
      <c r="Z219" s="107"/>
      <c r="AA219" s="107"/>
      <c r="AB219" s="107"/>
      <c r="AC219" s="107"/>
      <c r="AD219" s="107"/>
      <c r="AE219" s="107"/>
      <c r="AF219" s="107"/>
      <c r="AG219" s="107"/>
      <c r="AH219" s="107"/>
      <c r="AI219" s="107"/>
      <c r="AJ219" s="108"/>
      <c r="AK219" s="61"/>
      <c r="AL219" s="61"/>
      <c r="AM219" s="106" t="str">
        <f>IF([12]回答表!AD45="○",[12]回答表!B356,"")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IF([12]回答表!X46="○","○","")</f>
        <v/>
      </c>
      <c r="O231" s="98"/>
      <c r="P231" s="98"/>
      <c r="Q231" s="99"/>
      <c r="R231" s="39"/>
      <c r="S231" s="39"/>
      <c r="T231" s="39"/>
      <c r="U231" s="106" t="str">
        <f>IF([12]回答表!X46="○",[12]回答表!B368,IF([12]回答表!AA46="○",[12]回答表!B382,""))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IF([12]回答表!X46="○",[12]回答表!BC375,IF([12]回答表!AA46="○",[12]回答表!BC389,""))</f>
        <v/>
      </c>
      <c r="AR231" s="150"/>
      <c r="AS231" s="150"/>
      <c r="AT231" s="150"/>
      <c r="AU231" s="155" t="s">
        <v>63</v>
      </c>
      <c r="AV231" s="156"/>
      <c r="AW231" s="156"/>
      <c r="AX231" s="157"/>
      <c r="AY231" s="150" t="str">
        <f>IF([12]回答表!X46="○",[12]回答表!BC380,IF([12]回答表!AA46="○",[12]回答表!BC394,""))</f>
        <v/>
      </c>
      <c r="AZ231" s="150"/>
      <c r="BA231" s="150"/>
      <c r="BB231" s="150"/>
      <c r="BC231" s="40"/>
      <c r="BD231" s="35"/>
      <c r="BE231" s="115" t="str">
        <f>IF([12]回答表!X46="○",[12]回答表!S374,IF([12]回答表!AA46="○",[12]回答表!S388,""))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IF([12]回答表!X46="○",[12]回答表!BC376,IF([12]回答表!AA46="○",[12]回答表!BC390,""))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IF([12]回答表!X46="○",[12]回答表!V374,IF([12]回答表!AA46="○",[12]回答表!V388,""))</f>
        <v/>
      </c>
      <c r="BF234" s="83"/>
      <c r="BG234" s="83"/>
      <c r="BH234" s="83"/>
      <c r="BI234" s="82" t="str">
        <f>IF([12]回答表!X46="○",[12]回答表!V375,IF([12]回答表!AA46="○",[12]回答表!V389,""))</f>
        <v/>
      </c>
      <c r="BJ234" s="83"/>
      <c r="BK234" s="83"/>
      <c r="BL234" s="86"/>
      <c r="BM234" s="82" t="str">
        <f>IF([12]回答表!X46="○",[12]回答表!V376,IF([12]回答表!AA46="○",[12]回答表!V390,""))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IF([12]回答表!X46="○",[12]回答表!BC377,IF([12]回答表!AA46="○",[12]回答表!BC391,""))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IF([12]回答表!X46="○",[12]回答表!BC381,IF([12]回答表!AA46="○",[12]回答表!BC395,""))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IF([12]回答表!AA46="○","○","")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IF([12]回答表!X46="○",[12]回答表!BC378,IF([12]回答表!AA46="○",[12]回答表!BC392,""))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IF([12]回答表!X46="○",[12]回答表!BC379,IF([12]回答表!AA46="○",[12]回答表!BC393,""))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IF([12]回答表!AD46="○","○","")</f>
        <v/>
      </c>
      <c r="O243" s="98"/>
      <c r="P243" s="98"/>
      <c r="Q243" s="99"/>
      <c r="R243" s="39"/>
      <c r="S243" s="39"/>
      <c r="T243" s="39"/>
      <c r="U243" s="106" t="str">
        <f>IF([12]回答表!AD46="○",[12]回答表!B396,"")</f>
        <v/>
      </c>
      <c r="V243" s="107"/>
      <c r="W243" s="107"/>
      <c r="X243" s="107"/>
      <c r="Y243" s="107"/>
      <c r="Z243" s="107"/>
      <c r="AA243" s="107"/>
      <c r="AB243" s="107"/>
      <c r="AC243" s="107"/>
      <c r="AD243" s="107"/>
      <c r="AE243" s="107"/>
      <c r="AF243" s="107"/>
      <c r="AG243" s="107"/>
      <c r="AH243" s="107"/>
      <c r="AI243" s="107"/>
      <c r="AJ243" s="108"/>
      <c r="AK243" s="56"/>
      <c r="AL243" s="56"/>
      <c r="AM243" s="106" t="str">
        <f>IF([12]回答表!AD46="○",[12]回答表!B402,"")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IF([12]回答表!X47="○","○","")</f>
        <v/>
      </c>
      <c r="O254" s="98"/>
      <c r="P254" s="98"/>
      <c r="Q254" s="99"/>
      <c r="R254" s="39"/>
      <c r="S254" s="39"/>
      <c r="T254" s="39"/>
      <c r="U254" s="106" t="str">
        <f>IF([12]回答表!X47="○",[12]回答表!B414,IF([12]回答表!AA47="○",[12]回答表!B431,""))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IF([12]回答表!X47="○",[12]回答表!B424,IF([12]回答表!AA47="○",[12]回答表!B441,""))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IF([12]回答表!X47="○",[12]回答表!G420,IF([12]回答表!AA47="○",[12]回答表!G437,""))</f>
        <v/>
      </c>
      <c r="AN256" s="119"/>
      <c r="AO256" s="119"/>
      <c r="AP256" s="119"/>
      <c r="AQ256" s="119"/>
      <c r="AR256" s="119"/>
      <c r="AS256" s="119"/>
      <c r="AT256" s="120"/>
      <c r="AU256" s="118" t="str">
        <f>IF([12]回答表!X47="○",[12]回答表!G421,IF([12]回答表!AA47="○",[12]回答表!G438,""))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IF([12]回答表!X47="○",[12]回答表!E424,IF([12]回答表!AA47="○",[12]回答表!E441,""))</f>
        <v/>
      </c>
      <c r="BF257" s="83"/>
      <c r="BG257" s="83"/>
      <c r="BH257" s="83"/>
      <c r="BI257" s="82" t="str">
        <f>IF([12]回答表!X47="○",[12]回答表!E425,IF([12]回答表!AA47="○",[12]回答表!E442,""))</f>
        <v/>
      </c>
      <c r="BJ257" s="83"/>
      <c r="BK257" s="83"/>
      <c r="BL257" s="86"/>
      <c r="BM257" s="82" t="str">
        <f>IF([12]回答表!X47="○",[12]回答表!E426,IF([12]回答表!AA47="○",[12]回答表!E443,""))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IF([12]回答表!AD47="○","○","")</f>
        <v/>
      </c>
      <c r="O266" s="98"/>
      <c r="P266" s="98"/>
      <c r="Q266" s="99"/>
      <c r="R266" s="39"/>
      <c r="S266" s="39"/>
      <c r="T266" s="39"/>
      <c r="U266" s="106" t="str">
        <f>IF([12]回答表!AD47="○",[12]回答表!B448,"")</f>
        <v/>
      </c>
      <c r="V266" s="107"/>
      <c r="W266" s="107"/>
      <c r="X266" s="107"/>
      <c r="Y266" s="107"/>
      <c r="Z266" s="107"/>
      <c r="AA266" s="107"/>
      <c r="AB266" s="107"/>
      <c r="AC266" s="107"/>
      <c r="AD266" s="107"/>
      <c r="AE266" s="107"/>
      <c r="AF266" s="107"/>
      <c r="AG266" s="107"/>
      <c r="AH266" s="107"/>
      <c r="AI266" s="107"/>
      <c r="AJ266" s="108"/>
      <c r="AK266" s="50"/>
      <c r="AL266" s="50"/>
      <c r="AM266" s="106" t="str">
        <f>IF([12]回答表!AD47="○",[12]回答表!B454,"")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IF([12]回答表!R48="○",[12]回答表!B467,"")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EA80B-B708-4886-8A77-8234CCC36945}">
  <sheetPr>
    <pageSetUpPr fitToPage="1"/>
  </sheetPr>
  <dimension ref="A1:CE298"/>
  <sheetViews>
    <sheetView showZeros="0"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IF(COUNTIF([13]回答表!K15,"*")&gt;0,[13]回答表!K15,"")</f>
        <v>由利本荘市</v>
      </c>
      <c r="D11" s="246"/>
      <c r="E11" s="246"/>
      <c r="F11" s="246"/>
      <c r="G11" s="246"/>
      <c r="H11" s="246"/>
      <c r="I11" s="246"/>
      <c r="J11" s="246"/>
      <c r="K11" s="246"/>
      <c r="L11" s="246"/>
      <c r="M11" s="246"/>
      <c r="N11" s="246"/>
      <c r="O11" s="246"/>
      <c r="P11" s="246"/>
      <c r="Q11" s="246"/>
      <c r="R11" s="246"/>
      <c r="S11" s="246"/>
      <c r="T11" s="246"/>
      <c r="U11" s="253" t="str">
        <f>IF(COUNTIF([13]回答表!F17,"*")&gt;0,[13]回答表!F17,"")</f>
        <v>簡易水道事業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IF(COUNTIF([13]回答表!W17,"*")&gt;0,[13]回答表!W17,"")</f>
        <v>―</v>
      </c>
      <c r="AP11" s="248"/>
      <c r="AQ11" s="248"/>
      <c r="AR11" s="248"/>
      <c r="AS11" s="248"/>
      <c r="AT11" s="248"/>
      <c r="AU11" s="248"/>
      <c r="AV11" s="248"/>
      <c r="AW11" s="248"/>
      <c r="AX11" s="248"/>
      <c r="AY11" s="248"/>
      <c r="AZ11" s="248"/>
      <c r="BA11" s="248"/>
      <c r="BB11" s="248"/>
      <c r="BC11" s="248"/>
      <c r="BD11" s="248"/>
      <c r="BE11" s="249"/>
      <c r="BF11" s="252" t="str">
        <f>IF(COUNTIF([13]回答表!F19,"*")&gt;0,[13]回答表!F19,"")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IF([13]回答表!R41="○","○","")</f>
        <v>○</v>
      </c>
      <c r="E24" s="122"/>
      <c r="F24" s="122"/>
      <c r="G24" s="122"/>
      <c r="H24" s="122"/>
      <c r="I24" s="122"/>
      <c r="J24" s="123"/>
      <c r="K24" s="121" t="str">
        <f>IF([13]回答表!R42="○","○","")</f>
        <v/>
      </c>
      <c r="L24" s="122"/>
      <c r="M24" s="122"/>
      <c r="N24" s="122"/>
      <c r="O24" s="122"/>
      <c r="P24" s="122"/>
      <c r="Q24" s="123"/>
      <c r="R24" s="121" t="str">
        <f>IF([13]回答表!R43="○","○","")</f>
        <v/>
      </c>
      <c r="S24" s="122"/>
      <c r="T24" s="122"/>
      <c r="U24" s="122"/>
      <c r="V24" s="122"/>
      <c r="W24" s="122"/>
      <c r="X24" s="123"/>
      <c r="Y24" s="121" t="str">
        <f>IF([13]回答表!R44="○","○","")</f>
        <v/>
      </c>
      <c r="Z24" s="122"/>
      <c r="AA24" s="122"/>
      <c r="AB24" s="122"/>
      <c r="AC24" s="122"/>
      <c r="AD24" s="122"/>
      <c r="AE24" s="123"/>
      <c r="AF24" s="121" t="str">
        <f>IF([13]回答表!R45="○","○","")</f>
        <v/>
      </c>
      <c r="AG24" s="122"/>
      <c r="AH24" s="122"/>
      <c r="AI24" s="122"/>
      <c r="AJ24" s="122"/>
      <c r="AK24" s="122"/>
      <c r="AL24" s="123"/>
      <c r="AM24" s="121" t="str">
        <f>IF([13]回答表!R46="○","○","")</f>
        <v/>
      </c>
      <c r="AN24" s="122"/>
      <c r="AO24" s="122"/>
      <c r="AP24" s="122"/>
      <c r="AQ24" s="122"/>
      <c r="AR24" s="122"/>
      <c r="AS24" s="123"/>
      <c r="AT24" s="121" t="str">
        <f>IF([13]回答表!R47="○","○","")</f>
        <v/>
      </c>
      <c r="AU24" s="122"/>
      <c r="AV24" s="122"/>
      <c r="AW24" s="122"/>
      <c r="AX24" s="122"/>
      <c r="AY24" s="122"/>
      <c r="AZ24" s="123"/>
      <c r="BA24" s="19"/>
      <c r="BB24" s="118" t="str">
        <f>IF([13]回答表!R48="○","○","")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IF([13]回答表!X41="○","○","")</f>
        <v>○</v>
      </c>
      <c r="O36" s="98"/>
      <c r="P36" s="98"/>
      <c r="Q36" s="99"/>
      <c r="R36" s="39"/>
      <c r="S36" s="39"/>
      <c r="T36" s="39"/>
      <c r="U36" s="260" t="str">
        <f>IF([13]回答表!X41="○",[13]回答表!B56,IF([13]回答表!AA41="○",[13]回答表!B76,""))</f>
        <v>　平成２９年３月に由利本荘市上水道事業への事業統合をおこないました。
　これにより、経営成績（毎年度の利益・損失等フロー情報）・財政状態（資産・負債等ストック情報）の的確な把握が可能となりました。</v>
      </c>
      <c r="V36" s="261"/>
      <c r="W36" s="261"/>
      <c r="X36" s="261"/>
      <c r="Y36" s="261"/>
      <c r="Z36" s="261"/>
      <c r="AA36" s="261"/>
      <c r="AB36" s="261"/>
      <c r="AC36" s="261"/>
      <c r="AD36" s="261"/>
      <c r="AE36" s="261"/>
      <c r="AF36" s="261"/>
      <c r="AG36" s="261"/>
      <c r="AH36" s="261"/>
      <c r="AI36" s="261"/>
      <c r="AJ36" s="262"/>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IF([13]回答表!X41="○",[13]回答表!S62,IF([13]回答表!AA41="○",[13]回答表!S82,""))</f>
        <v>平成</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263"/>
      <c r="V37" s="264"/>
      <c r="W37" s="264"/>
      <c r="X37" s="264"/>
      <c r="Y37" s="264"/>
      <c r="Z37" s="264"/>
      <c r="AA37" s="264"/>
      <c r="AB37" s="264"/>
      <c r="AC37" s="264"/>
      <c r="AD37" s="264"/>
      <c r="AE37" s="264"/>
      <c r="AF37" s="264"/>
      <c r="AG37" s="264"/>
      <c r="AH37" s="264"/>
      <c r="AI37" s="264"/>
      <c r="AJ37" s="265"/>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263"/>
      <c r="V38" s="264"/>
      <c r="W38" s="264"/>
      <c r="X38" s="264"/>
      <c r="Y38" s="264"/>
      <c r="Z38" s="264"/>
      <c r="AA38" s="264"/>
      <c r="AB38" s="264"/>
      <c r="AC38" s="264"/>
      <c r="AD38" s="264"/>
      <c r="AE38" s="264"/>
      <c r="AF38" s="264"/>
      <c r="AG38" s="264"/>
      <c r="AH38" s="264"/>
      <c r="AI38" s="264"/>
      <c r="AJ38" s="265"/>
      <c r="AK38" s="50"/>
      <c r="AL38" s="50"/>
      <c r="AM38" s="118" t="str">
        <f>IF([13]回答表!X41="○",[13]回答表!G62,IF([13]回答表!AA41="○",[13]回答表!G82,""))</f>
        <v>○</v>
      </c>
      <c r="AN38" s="119"/>
      <c r="AO38" s="119"/>
      <c r="AP38" s="119"/>
      <c r="AQ38" s="119"/>
      <c r="AR38" s="119"/>
      <c r="AS38" s="119"/>
      <c r="AT38" s="120"/>
      <c r="AU38" s="118">
        <f>IF([13]回答表!X41="○",[13]回答表!G63,IF([13]回答表!AA41="○",[13]回答表!G83,""))</f>
        <v>0</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263"/>
      <c r="V39" s="264"/>
      <c r="W39" s="264"/>
      <c r="X39" s="264"/>
      <c r="Y39" s="264"/>
      <c r="Z39" s="264"/>
      <c r="AA39" s="264"/>
      <c r="AB39" s="264"/>
      <c r="AC39" s="264"/>
      <c r="AD39" s="264"/>
      <c r="AE39" s="264"/>
      <c r="AF39" s="264"/>
      <c r="AG39" s="264"/>
      <c r="AH39" s="264"/>
      <c r="AI39" s="264"/>
      <c r="AJ39" s="265"/>
      <c r="AK39" s="50"/>
      <c r="AL39" s="50"/>
      <c r="AM39" s="121"/>
      <c r="AN39" s="122"/>
      <c r="AO39" s="122"/>
      <c r="AP39" s="122"/>
      <c r="AQ39" s="122"/>
      <c r="AR39" s="122"/>
      <c r="AS39" s="122"/>
      <c r="AT39" s="123"/>
      <c r="AU39" s="121"/>
      <c r="AV39" s="122"/>
      <c r="AW39" s="122"/>
      <c r="AX39" s="122"/>
      <c r="AY39" s="122"/>
      <c r="AZ39" s="122"/>
      <c r="BA39" s="122"/>
      <c r="BB39" s="123"/>
      <c r="BC39" s="40"/>
      <c r="BD39" s="35"/>
      <c r="BE39" s="82">
        <f>IF([13]回答表!X41="○",[13]回答表!V62,IF([13]回答表!AA41="○",[13]回答表!V82,""))</f>
        <v>29</v>
      </c>
      <c r="BF39" s="199"/>
      <c r="BG39" s="199"/>
      <c r="BH39" s="200"/>
      <c r="BI39" s="82">
        <f>IF([13]回答表!X41="○",[13]回答表!V63,IF([13]回答表!AA41="○",[13]回答表!V83,""))</f>
        <v>3</v>
      </c>
      <c r="BJ39" s="199"/>
      <c r="BK39" s="199"/>
      <c r="BL39" s="200"/>
      <c r="BM39" s="82">
        <f>IF([13]回答表!X41="○",[13]回答表!V64,IF([13]回答表!AA41="○",[13]回答表!V84,""))</f>
        <v>31</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263"/>
      <c r="V40" s="264"/>
      <c r="W40" s="264"/>
      <c r="X40" s="264"/>
      <c r="Y40" s="264"/>
      <c r="Z40" s="264"/>
      <c r="AA40" s="264"/>
      <c r="AB40" s="264"/>
      <c r="AC40" s="264"/>
      <c r="AD40" s="264"/>
      <c r="AE40" s="264"/>
      <c r="AF40" s="264"/>
      <c r="AG40" s="264"/>
      <c r="AH40" s="264"/>
      <c r="AI40" s="264"/>
      <c r="AJ40" s="265"/>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263"/>
      <c r="V41" s="264"/>
      <c r="W41" s="264"/>
      <c r="X41" s="264"/>
      <c r="Y41" s="264"/>
      <c r="Z41" s="264"/>
      <c r="AA41" s="264"/>
      <c r="AB41" s="264"/>
      <c r="AC41" s="264"/>
      <c r="AD41" s="264"/>
      <c r="AE41" s="264"/>
      <c r="AF41" s="264"/>
      <c r="AG41" s="264"/>
      <c r="AH41" s="264"/>
      <c r="AI41" s="264"/>
      <c r="AJ41" s="265"/>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263"/>
      <c r="V42" s="264"/>
      <c r="W42" s="264"/>
      <c r="X42" s="264"/>
      <c r="Y42" s="264"/>
      <c r="Z42" s="264"/>
      <c r="AA42" s="264"/>
      <c r="AB42" s="264"/>
      <c r="AC42" s="264"/>
      <c r="AD42" s="264"/>
      <c r="AE42" s="264"/>
      <c r="AF42" s="264"/>
      <c r="AG42" s="264"/>
      <c r="AH42" s="264"/>
      <c r="AI42" s="264"/>
      <c r="AJ42" s="265"/>
      <c r="AK42" s="50"/>
      <c r="AL42" s="50"/>
      <c r="AM42" s="197">
        <f>IF([13]回答表!X41="○",[13]回答表!O68,IF([13]回答表!AA41="○",[13]回答表!O88,""))</f>
        <v>0</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263"/>
      <c r="V43" s="264"/>
      <c r="W43" s="264"/>
      <c r="X43" s="264"/>
      <c r="Y43" s="264"/>
      <c r="Z43" s="264"/>
      <c r="AA43" s="264"/>
      <c r="AB43" s="264"/>
      <c r="AC43" s="264"/>
      <c r="AD43" s="264"/>
      <c r="AE43" s="264"/>
      <c r="AF43" s="264"/>
      <c r="AG43" s="264"/>
      <c r="AH43" s="264"/>
      <c r="AI43" s="264"/>
      <c r="AJ43" s="265"/>
      <c r="AK43" s="50"/>
      <c r="AL43" s="50"/>
      <c r="AM43" s="197">
        <f>IF([13]回答表!X41="○",[13]回答表!O69,IF([13]回答表!AA41="○",[13]回答表!O89,""))</f>
        <v>0</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IF([13]回答表!AA41="○","○","")</f>
        <v/>
      </c>
      <c r="O44" s="98"/>
      <c r="P44" s="98"/>
      <c r="Q44" s="99"/>
      <c r="R44" s="39"/>
      <c r="S44" s="39"/>
      <c r="T44" s="39"/>
      <c r="U44" s="263"/>
      <c r="V44" s="264"/>
      <c r="W44" s="264"/>
      <c r="X44" s="264"/>
      <c r="Y44" s="264"/>
      <c r="Z44" s="264"/>
      <c r="AA44" s="264"/>
      <c r="AB44" s="264"/>
      <c r="AC44" s="264"/>
      <c r="AD44" s="264"/>
      <c r="AE44" s="264"/>
      <c r="AF44" s="264"/>
      <c r="AG44" s="264"/>
      <c r="AH44" s="264"/>
      <c r="AI44" s="264"/>
      <c r="AJ44" s="265"/>
      <c r="AK44" s="50"/>
      <c r="AL44" s="50"/>
      <c r="AM44" s="197">
        <f>IF([13]回答表!X41="○",[13]回答表!O70,IF([13]回答表!AA41="○",[13]回答表!O90,""))</f>
        <v>0</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263"/>
      <c r="V45" s="264"/>
      <c r="W45" s="264"/>
      <c r="X45" s="264"/>
      <c r="Y45" s="264"/>
      <c r="Z45" s="264"/>
      <c r="AA45" s="264"/>
      <c r="AB45" s="264"/>
      <c r="AC45" s="264"/>
      <c r="AD45" s="264"/>
      <c r="AE45" s="264"/>
      <c r="AF45" s="264"/>
      <c r="AG45" s="264"/>
      <c r="AH45" s="264"/>
      <c r="AI45" s="264"/>
      <c r="AJ45" s="265"/>
      <c r="AK45" s="50"/>
      <c r="AL45" s="50"/>
      <c r="AM45" s="197">
        <f>IF([13]回答表!X41="○",[13]回答表!O71,IF([13]回答表!AA41="○",[13]回答表!O91,""))</f>
        <v>0</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263"/>
      <c r="V46" s="264"/>
      <c r="W46" s="264"/>
      <c r="X46" s="264"/>
      <c r="Y46" s="264"/>
      <c r="Z46" s="264"/>
      <c r="AA46" s="264"/>
      <c r="AB46" s="264"/>
      <c r="AC46" s="264"/>
      <c r="AD46" s="264"/>
      <c r="AE46" s="264"/>
      <c r="AF46" s="264"/>
      <c r="AG46" s="264"/>
      <c r="AH46" s="264"/>
      <c r="AI46" s="264"/>
      <c r="AJ46" s="265"/>
      <c r="AK46" s="50"/>
      <c r="AL46" s="50"/>
      <c r="AM46" s="197">
        <f>IF([13]回答表!X41="○",[13]回答表!AG68,IF([13]回答表!AA41="○",[13]回答表!AG88,""))</f>
        <v>0</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266"/>
      <c r="V47" s="267"/>
      <c r="W47" s="267"/>
      <c r="X47" s="267"/>
      <c r="Y47" s="267"/>
      <c r="Z47" s="267"/>
      <c r="AA47" s="267"/>
      <c r="AB47" s="267"/>
      <c r="AC47" s="267"/>
      <c r="AD47" s="267"/>
      <c r="AE47" s="267"/>
      <c r="AF47" s="267"/>
      <c r="AG47" s="267"/>
      <c r="AH47" s="267"/>
      <c r="AI47" s="267"/>
      <c r="AJ47" s="268"/>
      <c r="AK47" s="50"/>
      <c r="AL47" s="50"/>
      <c r="AM47" s="197" t="str">
        <f>IF([13]回答表!X41="○",[13]回答表!AG69,IF([13]回答表!AA41="○",[13]回答表!AG89,""))</f>
        <v>○</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f>IF([13]回答表!X41="○",[13]回答表!AG70,IF([13]回答表!AA41="○",[13]回答表!AG90,""))</f>
        <v>0</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IF([13]回答表!AD41="○","○","")</f>
        <v/>
      </c>
      <c r="O52" s="98"/>
      <c r="P52" s="98"/>
      <c r="Q52" s="99"/>
      <c r="R52" s="39"/>
      <c r="S52" s="39"/>
      <c r="T52" s="39"/>
      <c r="U52" s="106" t="str">
        <f>IF([13]回答表!AD41="○",[13]回答表!B96,"")</f>
        <v/>
      </c>
      <c r="V52" s="107"/>
      <c r="W52" s="107"/>
      <c r="X52" s="107"/>
      <c r="Y52" s="107"/>
      <c r="Z52" s="107"/>
      <c r="AA52" s="107"/>
      <c r="AB52" s="107"/>
      <c r="AC52" s="107"/>
      <c r="AD52" s="107"/>
      <c r="AE52" s="107"/>
      <c r="AF52" s="107"/>
      <c r="AG52" s="107"/>
      <c r="AH52" s="107"/>
      <c r="AI52" s="107"/>
      <c r="AJ52" s="108"/>
      <c r="AK52" s="56"/>
      <c r="AL52" s="56"/>
      <c r="AM52" s="106" t="str">
        <f>IF([13]回答表!AD41="○",[13]回答表!B101,"")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IF([13]回答表!X42="○","○","")</f>
        <v/>
      </c>
      <c r="O63" s="98"/>
      <c r="P63" s="98"/>
      <c r="Q63" s="99"/>
      <c r="R63" s="39"/>
      <c r="S63" s="39"/>
      <c r="T63" s="39"/>
      <c r="U63" s="106" t="str">
        <f>IF([13]回答表!X42="○",[13]回答表!B111,IF([13]回答表!AA42="○",[13]回答表!B124,""))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IF([13]回答表!X42="○",[13]回答表!S117,IF([13]回答表!AA42="○",[13]回答表!S130,""))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IF([13]回答表!X42="○",[13]回答表!J117,IF([13]回答表!AA42="○",[13]回答表!J130,""))</f>
        <v/>
      </c>
      <c r="AN66" s="119"/>
      <c r="AO66" s="119"/>
      <c r="AP66" s="119"/>
      <c r="AQ66" s="119"/>
      <c r="AR66" s="119"/>
      <c r="AS66" s="119"/>
      <c r="AT66" s="120"/>
      <c r="AU66" s="118" t="str">
        <f>IF([13]回答表!X42="○",[13]回答表!J118,IF([13]回答表!AA42="○",[13]回答表!J131,""))</f>
        <v/>
      </c>
      <c r="AV66" s="119"/>
      <c r="AW66" s="119"/>
      <c r="AX66" s="119"/>
      <c r="AY66" s="119"/>
      <c r="AZ66" s="119"/>
      <c r="BA66" s="119"/>
      <c r="BB66" s="120"/>
      <c r="BC66" s="40"/>
      <c r="BD66" s="35"/>
      <c r="BE66" s="82" t="str">
        <f>IF([13]回答表!X42="○",[13]回答表!V117,IF([13]回答表!AA42="○",[13]回答表!V130,""))</f>
        <v/>
      </c>
      <c r="BF66" s="83"/>
      <c r="BG66" s="83"/>
      <c r="BH66" s="83"/>
      <c r="BI66" s="82" t="str">
        <f>IF([13]回答表!X42="○",[13]回答表!V118,IF([13]回答表!AA42="○",[13]回答表!V131,""))</f>
        <v/>
      </c>
      <c r="BJ66" s="83"/>
      <c r="BK66" s="83"/>
      <c r="BL66" s="83"/>
      <c r="BM66" s="82" t="str">
        <f>IF([13]回答表!X42="○",[13]回答表!V119,IF([13]回答表!AA42="○",[13]回答表!V132,""))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IF([13]回答表!AD42="○","○","")</f>
        <v/>
      </c>
      <c r="O75" s="98"/>
      <c r="P75" s="98"/>
      <c r="Q75" s="99"/>
      <c r="R75" s="39"/>
      <c r="S75" s="39"/>
      <c r="T75" s="39"/>
      <c r="U75" s="106" t="str">
        <f>IF([13]回答表!AD42="○",[13]回答表!B137,"")</f>
        <v/>
      </c>
      <c r="V75" s="107"/>
      <c r="W75" s="107"/>
      <c r="X75" s="107"/>
      <c r="Y75" s="107"/>
      <c r="Z75" s="107"/>
      <c r="AA75" s="107"/>
      <c r="AB75" s="107"/>
      <c r="AC75" s="107"/>
      <c r="AD75" s="107"/>
      <c r="AE75" s="107"/>
      <c r="AF75" s="107"/>
      <c r="AG75" s="107"/>
      <c r="AH75" s="107"/>
      <c r="AI75" s="107"/>
      <c r="AJ75" s="108"/>
      <c r="AK75" s="56"/>
      <c r="AL75" s="56"/>
      <c r="AM75" s="106" t="str">
        <f>IF([13]回答表!AD42="○",[13]回答表!B143,"")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IF([13]回答表!F17="水道事業",IF([13]回答表!X43="○","○",""),"")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IF([13]回答表!F17="水道事業",IF([13]回答表!X43="○",[13]回答表!B154,IF([13]回答表!AA43="○",[13]回答表!B201,"")),"")</f>
        <v/>
      </c>
      <c r="AN87" s="107"/>
      <c r="AO87" s="107"/>
      <c r="AP87" s="107"/>
      <c r="AQ87" s="107"/>
      <c r="AR87" s="107"/>
      <c r="AS87" s="107"/>
      <c r="AT87" s="107"/>
      <c r="AU87" s="107"/>
      <c r="AV87" s="107"/>
      <c r="AW87" s="107"/>
      <c r="AX87" s="107"/>
      <c r="AY87" s="107"/>
      <c r="AZ87" s="107"/>
      <c r="BA87" s="107"/>
      <c r="BB87" s="108"/>
      <c r="BC87" s="40"/>
      <c r="BD87" s="35"/>
      <c r="BE87" s="115" t="str">
        <f>IF([13]回答表!F17="水道事業",IF([13]回答表!X43="○",[13]回答表!B190,IF([13]回答表!AA43="○",[13]回答表!B238,"")),"")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IF([13]回答表!F17="水道事業",IF([13]回答表!X43="○",[13]回答表!J162,IF([13]回答表!AA43="○",[13]回答表!J209,"")),"")</f>
        <v/>
      </c>
      <c r="V89" s="119"/>
      <c r="W89" s="119"/>
      <c r="X89" s="119"/>
      <c r="Y89" s="119"/>
      <c r="Z89" s="119"/>
      <c r="AA89" s="119"/>
      <c r="AB89" s="120"/>
      <c r="AC89" s="118" t="str">
        <f>IF([13]回答表!F17="水道事業",IF([13]回答表!X43="○",[13]回答表!J169,IF([13]回答表!AA43="○",[13]回答表!J216,"")),"")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IF([13]回答表!F17="水道事業",IF([13]回答表!X43="○",[13]回答表!E190,IF([13]回答表!AA43="○",[13]回答表!E238,"")),"")</f>
        <v/>
      </c>
      <c r="BF90" s="83"/>
      <c r="BG90" s="83"/>
      <c r="BH90" s="83"/>
      <c r="BI90" s="82" t="str">
        <f>IF([13]回答表!F17="水道事業",IF([13]回答表!X43="○",[13]回答表!E191,IF([13]回答表!AA43="○",[13]回答表!E239,"")),"")</f>
        <v/>
      </c>
      <c r="BJ90" s="83"/>
      <c r="BK90" s="83"/>
      <c r="BL90" s="83"/>
      <c r="BM90" s="82" t="str">
        <f>IF([13]回答表!F17="水道事業",IF([13]回答表!X43="○",[13]回答表!E192,IF([13]回答表!AA43="○",[13]回答表!E240,"")),"")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IF([13]回答表!F17="水道事業",IF([13]回答表!AA43="○","○",""),"")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IF([13]回答表!F17="水道事業",IF([13]回答表!X43="○",[13]回答表!J172,IF([13]回答表!AA43="○",[13]回答表!J219,"")),"")</f>
        <v/>
      </c>
      <c r="V94" s="119"/>
      <c r="W94" s="119"/>
      <c r="X94" s="119"/>
      <c r="Y94" s="119"/>
      <c r="Z94" s="119"/>
      <c r="AA94" s="119"/>
      <c r="AB94" s="120"/>
      <c r="AC94" s="118" t="str">
        <f>IF([13]回答表!F17="水道事業",IF([13]回答表!X43="○",[13]回答表!J176,IF([13]回答表!AA43="○",[13]回答表!J223,"")),"")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IF([13]回答表!F17="水道事業",IF([13]回答表!AD43="○","○",""),"")</f>
        <v/>
      </c>
      <c r="O99" s="98"/>
      <c r="P99" s="98"/>
      <c r="Q99" s="99"/>
      <c r="R99" s="39"/>
      <c r="S99" s="39"/>
      <c r="T99" s="39"/>
      <c r="U99" s="106" t="str">
        <f>IF([13]回答表!F17="水道事業",IF([13]回答表!AD43="○",[13]回答表!B249,""),"")</f>
        <v/>
      </c>
      <c r="V99" s="107"/>
      <c r="W99" s="107"/>
      <c r="X99" s="107"/>
      <c r="Y99" s="107"/>
      <c r="Z99" s="107"/>
      <c r="AA99" s="107"/>
      <c r="AB99" s="107"/>
      <c r="AC99" s="107"/>
      <c r="AD99" s="107"/>
      <c r="AE99" s="107"/>
      <c r="AF99" s="107"/>
      <c r="AG99" s="107"/>
      <c r="AH99" s="107"/>
      <c r="AI99" s="107"/>
      <c r="AJ99" s="108"/>
      <c r="AK99" s="56"/>
      <c r="AL99" s="56"/>
      <c r="AM99" s="106" t="str">
        <f>IF([13]回答表!F17="水道事業",IF([13]回答表!AD43="○",[13]回答表!B255,""),"")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IF([13]回答表!F17="簡易水道事業",IF([13]回答表!X43="○","○",""),"")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IF([13]回答表!F17="簡易水道事業",IF([13]回答表!X43="○",[13]回答表!B154,IF([13]回答表!AA43="○",[13]回答表!B201,"")),"")</f>
        <v/>
      </c>
      <c r="AN111" s="107"/>
      <c r="AO111" s="107"/>
      <c r="AP111" s="107"/>
      <c r="AQ111" s="107"/>
      <c r="AR111" s="107"/>
      <c r="AS111" s="107"/>
      <c r="AT111" s="107"/>
      <c r="AU111" s="107"/>
      <c r="AV111" s="107"/>
      <c r="AW111" s="107"/>
      <c r="AX111" s="107"/>
      <c r="AY111" s="107"/>
      <c r="AZ111" s="107"/>
      <c r="BA111" s="107"/>
      <c r="BB111" s="108"/>
      <c r="BC111" s="40"/>
      <c r="BD111" s="35"/>
      <c r="BE111" s="115" t="str">
        <f>IF([13]回答表!F17="簡易水道事業",IF([13]回答表!X43="○",[13]回答表!B190,IF([13]回答表!AA43="○",[13]回答表!B238,"")),"")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IF([13]回答表!F17="簡易水道事業",IF([13]回答表!X43="○",[13]回答表!Y181,IF([13]回答表!AA43="○",[13]回答表!Y229,"")),"")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IF([13]回答表!F17="簡易水道事業",IF([13]回答表!X43="○",[13]回答表!E190,IF([13]回答表!AA43="○",[13]回答表!E238,"")),"")</f>
        <v/>
      </c>
      <c r="BF114" s="83"/>
      <c r="BG114" s="83"/>
      <c r="BH114" s="83"/>
      <c r="BI114" s="82" t="str">
        <f>IF([13]回答表!F17="簡易水道事業",IF([13]回答表!X43="○",[13]回答表!E191,IF([13]回答表!AA43="○",[13]回答表!E239,"")),"")</f>
        <v/>
      </c>
      <c r="BJ114" s="83"/>
      <c r="BK114" s="83"/>
      <c r="BL114" s="83"/>
      <c r="BM114" s="82" t="str">
        <f>IF([13]回答表!F17="簡易水道事業",IF([13]回答表!X43="○",[13]回答表!E192,IF([13]回答表!AA43="○",[13]回答表!E240,"")),"")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IF([13]回答表!F17="簡易水道事業",IF([13]回答表!AA43="○","○",""),"")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IF([13]回答表!F17="簡易水道事業",IF([13]回答表!X43="○",[13]回答表!Y182,IF([13]回答表!AA43="○",[13]回答表!Y230,"")),"")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IF([13]回答表!F17="簡易水道事業",IF([13]回答表!AD43="○","○",""),"")</f>
        <v/>
      </c>
      <c r="O123" s="98"/>
      <c r="P123" s="98"/>
      <c r="Q123" s="99"/>
      <c r="R123" s="39"/>
      <c r="S123" s="39"/>
      <c r="T123" s="39"/>
      <c r="U123" s="106" t="str">
        <f>IF([13]回答表!F17="簡易水道事業",IF([13]回答表!AD43="○",[13]回答表!B249,""),"")</f>
        <v/>
      </c>
      <c r="V123" s="107"/>
      <c r="W123" s="107"/>
      <c r="X123" s="107"/>
      <c r="Y123" s="107"/>
      <c r="Z123" s="107"/>
      <c r="AA123" s="107"/>
      <c r="AB123" s="107"/>
      <c r="AC123" s="107"/>
      <c r="AD123" s="107"/>
      <c r="AE123" s="107"/>
      <c r="AF123" s="107"/>
      <c r="AG123" s="107"/>
      <c r="AH123" s="107"/>
      <c r="AI123" s="107"/>
      <c r="AJ123" s="108"/>
      <c r="AK123" s="56"/>
      <c r="AL123" s="56"/>
      <c r="AM123" s="106" t="str">
        <f>IF([13]回答表!F17="簡易水道事業",IF([13]回答表!AD43="○",[13]回答表!B255,""),"")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IF([13]回答表!F17="下水道事業",IF([13]回答表!X43="○","○",""),"")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IF([13]回答表!F17="下水道事業",IF([13]回答表!X43="○",[13]回答表!B154,IF([13]回答表!AA43="○",[13]回答表!B201,"")),"")</f>
        <v/>
      </c>
      <c r="AN135" s="107"/>
      <c r="AO135" s="107"/>
      <c r="AP135" s="107"/>
      <c r="AQ135" s="107"/>
      <c r="AR135" s="107"/>
      <c r="AS135" s="107"/>
      <c r="AT135" s="107"/>
      <c r="AU135" s="107"/>
      <c r="AV135" s="107"/>
      <c r="AW135" s="107"/>
      <c r="AX135" s="107"/>
      <c r="AY135" s="107"/>
      <c r="AZ135" s="107"/>
      <c r="BA135" s="107"/>
      <c r="BB135" s="108"/>
      <c r="BC135" s="40"/>
      <c r="BD135" s="35"/>
      <c r="BE135" s="115" t="str">
        <f>IF([13]回答表!F17="下水道事業",IF([13]回答表!X43="○",[13]回答表!B190,IF([13]回答表!AA43="○",[13]回答表!B238,"")),"")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IF([13]回答表!F17="下水道事業",IF([13]回答表!X43="○",[13]回答表!Y184,IF([13]回答表!AA43="○",[13]回答表!Y232,"")),"")</f>
        <v/>
      </c>
      <c r="V137" s="119"/>
      <c r="W137" s="119"/>
      <c r="X137" s="119"/>
      <c r="Y137" s="119"/>
      <c r="Z137" s="119"/>
      <c r="AA137" s="119"/>
      <c r="AB137" s="120"/>
      <c r="AC137" s="118" t="str">
        <f>IF([13]回答表!F17="下水道事業",IF([13]回答表!X43="○",[13]回答表!Y185,IF([13]回答表!AA43="○",[13]回答表!Y233,"")),"")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IF([13]回答表!F17="下水道事業",IF([13]回答表!X43="○",[13]回答表!E190,IF([13]回答表!AA43="○",[13]回答表!E238,"")),"")</f>
        <v/>
      </c>
      <c r="BF138" s="83"/>
      <c r="BG138" s="83"/>
      <c r="BH138" s="83"/>
      <c r="BI138" s="82" t="str">
        <f>IF([13]回答表!F17="下水道事業",IF([13]回答表!X43="○",[13]回答表!E191,IF([13]回答表!AA43="○",[13]回答表!E239,"")),"")</f>
        <v/>
      </c>
      <c r="BJ138" s="83"/>
      <c r="BK138" s="83"/>
      <c r="BL138" s="83"/>
      <c r="BM138" s="82" t="str">
        <f>IF([13]回答表!F17="下水道事業",IF([13]回答表!X43="○",[13]回答表!E192,IF([13]回答表!AA43="○",[13]回答表!E240,"")),"")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IF([13]回答表!F17="下水道事業",IF([13]回答表!AA43="○","○",""),"")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IF([13]回答表!F17="下水道事業",IF([13]回答表!X43="○",[13]回答表!Y186,IF([13]回答表!AA43="○",[13]回答表!Y234,"")),"")</f>
        <v/>
      </c>
      <c r="V142" s="119"/>
      <c r="W142" s="119"/>
      <c r="X142" s="119"/>
      <c r="Y142" s="119"/>
      <c r="Z142" s="119"/>
      <c r="AA142" s="119"/>
      <c r="AB142" s="120"/>
      <c r="AC142" s="118" t="str">
        <f>IF([13]回答表!F17="下水道事業",IF([13]回答表!X43="○",[13]回答表!Y187,IF([13]回答表!AA43="○",[13]回答表!Y235,"")),"")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IF([13]回答表!F17="下水道事業",IF([13]回答表!AD43="○","○",""),"")</f>
        <v/>
      </c>
      <c r="O147" s="98"/>
      <c r="P147" s="98"/>
      <c r="Q147" s="99"/>
      <c r="R147" s="39"/>
      <c r="S147" s="39"/>
      <c r="T147" s="39"/>
      <c r="U147" s="106" t="str">
        <f>IF([13]回答表!F17="下水道事業",IF([13]回答表!AD43="○",[13]回答表!B249,""),"")</f>
        <v/>
      </c>
      <c r="V147" s="107"/>
      <c r="W147" s="107"/>
      <c r="X147" s="107"/>
      <c r="Y147" s="107"/>
      <c r="Z147" s="107"/>
      <c r="AA147" s="107"/>
      <c r="AB147" s="107"/>
      <c r="AC147" s="107"/>
      <c r="AD147" s="107"/>
      <c r="AE147" s="107"/>
      <c r="AF147" s="107"/>
      <c r="AG147" s="107"/>
      <c r="AH147" s="107"/>
      <c r="AI147" s="107"/>
      <c r="AJ147" s="108"/>
      <c r="AK147" s="56"/>
      <c r="AL147" s="56"/>
      <c r="AM147" s="106" t="str">
        <f>IF([13]回答表!F17="下水道事業",IF([13]回答表!AD43="○",[13]回答表!B255,""),"")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IF([13]回答表!BD17="○",IF([13]回答表!X43="○","○",""),"")</f>
        <v/>
      </c>
      <c r="O159" s="98"/>
      <c r="P159" s="98"/>
      <c r="Q159" s="99"/>
      <c r="R159" s="39"/>
      <c r="S159" s="39"/>
      <c r="T159" s="39"/>
      <c r="U159" s="106" t="str">
        <f>IF([13]回答表!BD17="○",IF([13]回答表!X43="○",[13]回答表!B154,IF([13]回答表!AA43="○",[13]回答表!B201,"")),"")</f>
        <v/>
      </c>
      <c r="V159" s="107"/>
      <c r="W159" s="107"/>
      <c r="X159" s="107"/>
      <c r="Y159" s="107"/>
      <c r="Z159" s="107"/>
      <c r="AA159" s="107"/>
      <c r="AB159" s="107"/>
      <c r="AC159" s="107"/>
      <c r="AD159" s="107"/>
      <c r="AE159" s="107"/>
      <c r="AF159" s="107"/>
      <c r="AG159" s="107"/>
      <c r="AH159" s="107"/>
      <c r="AI159" s="107"/>
      <c r="AJ159" s="108"/>
      <c r="AK159" s="50"/>
      <c r="AL159" s="50"/>
      <c r="AM159" s="115" t="str">
        <f>IF([13]回答表!BD17="○",IF([13]回答表!X43="○",[13]回答表!B190,IF([13]回答表!AA43="○",[13]回答表!B238,"")),"")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IF([13]回答表!BD17="○",IF([13]回答表!X43="○",[13]回答表!E190,IF([13]回答表!AA43="○",[13]回答表!E238,"")),"")</f>
        <v/>
      </c>
      <c r="AN162" s="83"/>
      <c r="AO162" s="83"/>
      <c r="AP162" s="83"/>
      <c r="AQ162" s="82" t="str">
        <f>IF([13]回答表!BD17="○",IF([13]回答表!X43="○",[13]回答表!E191,IF([13]回答表!AA43="○",[13]回答表!E239,"")),"")</f>
        <v/>
      </c>
      <c r="AR162" s="83"/>
      <c r="AS162" s="83"/>
      <c r="AT162" s="83"/>
      <c r="AU162" s="82" t="str">
        <f>IF([13]回答表!BD17="○",IF([13]回答表!X43="○",[13]回答表!E192,IF([13]回答表!AA43="○",[13]回答表!E240,"")),"")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IF([13]回答表!BD17="○",IF([13]回答表!AA43="○","○",""),"")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IF([13]回答表!BD17="○",IF([13]回答表!AD43="○","○",""),"")</f>
        <v/>
      </c>
      <c r="O171" s="98"/>
      <c r="P171" s="98"/>
      <c r="Q171" s="99"/>
      <c r="R171" s="39"/>
      <c r="S171" s="39"/>
      <c r="T171" s="39"/>
      <c r="U171" s="106" t="str">
        <f>IF([13]回答表!BD17="○",IF([13]回答表!AD43="○",[13]回答表!B249,""),"")</f>
        <v/>
      </c>
      <c r="V171" s="107"/>
      <c r="W171" s="107"/>
      <c r="X171" s="107"/>
      <c r="Y171" s="107"/>
      <c r="Z171" s="107"/>
      <c r="AA171" s="107"/>
      <c r="AB171" s="107"/>
      <c r="AC171" s="107"/>
      <c r="AD171" s="107"/>
      <c r="AE171" s="107"/>
      <c r="AF171" s="107"/>
      <c r="AG171" s="107"/>
      <c r="AH171" s="107"/>
      <c r="AI171" s="107"/>
      <c r="AJ171" s="108"/>
      <c r="AK171" s="56"/>
      <c r="AL171" s="56"/>
      <c r="AM171" s="106" t="str">
        <f>IF([13]回答表!BD17="○",IF([13]回答表!AD43="○",[13]回答表!B255,""),"")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IF([13]回答表!X44="○","○","")</f>
        <v/>
      </c>
      <c r="O183" s="98"/>
      <c r="P183" s="98"/>
      <c r="Q183" s="99"/>
      <c r="R183" s="39"/>
      <c r="S183" s="39"/>
      <c r="T183" s="39"/>
      <c r="U183" s="106" t="str">
        <f>IF([13]回答表!X44="○",[13]回答表!B266,IF([13]回答表!AA44="○",[13]回答表!B283,""))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IF([13]回答表!X44="○",[13]回答表!U272,IF([13]回答表!AA44="○",[13]回答表!U289,""))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IF([13]回答表!X44="○",[13]回答表!G272,IF([13]回答表!AA44="○",[13]回答表!G289,""))</f>
        <v/>
      </c>
      <c r="AN186" s="119"/>
      <c r="AO186" s="119"/>
      <c r="AP186" s="119"/>
      <c r="AQ186" s="119"/>
      <c r="AR186" s="119"/>
      <c r="AS186" s="119"/>
      <c r="AT186" s="120"/>
      <c r="AU186" s="118" t="str">
        <f>IF([13]回答表!X44="○",[13]回答表!G273,IF([13]回答表!AA44="○",[13]回答表!G290,""))</f>
        <v/>
      </c>
      <c r="AV186" s="119"/>
      <c r="AW186" s="119"/>
      <c r="AX186" s="119"/>
      <c r="AY186" s="119"/>
      <c r="AZ186" s="119"/>
      <c r="BA186" s="119"/>
      <c r="BB186" s="120"/>
      <c r="BC186" s="40"/>
      <c r="BD186" s="35"/>
      <c r="BE186" s="82" t="str">
        <f>IF([13]回答表!X44="○",[13]回答表!X272,IF([13]回答表!AA44="○",[13]回答表!X289,""))</f>
        <v/>
      </c>
      <c r="BF186" s="83"/>
      <c r="BG186" s="83"/>
      <c r="BH186" s="83"/>
      <c r="BI186" s="82" t="str">
        <f>IF([13]回答表!X44="○",[13]回答表!X273,IF([13]回答表!AA44="○",[13]回答表!X290,""))</f>
        <v/>
      </c>
      <c r="BJ186" s="83"/>
      <c r="BK186" s="83"/>
      <c r="BL186" s="86"/>
      <c r="BM186" s="82" t="str">
        <f>IF([13]回答表!X44="○",[13]回答表!X274,IF([13]回答表!AA44="○",[13]回答表!X291,""))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IF([13]回答表!AD44="○","○","")</f>
        <v/>
      </c>
      <c r="O195" s="98"/>
      <c r="P195" s="98"/>
      <c r="Q195" s="99"/>
      <c r="R195" s="39"/>
      <c r="S195" s="39"/>
      <c r="T195" s="39"/>
      <c r="U195" s="106" t="str">
        <f>IF([13]回答表!AD44="○",[13]回答表!B296,"")</f>
        <v/>
      </c>
      <c r="V195" s="107"/>
      <c r="W195" s="107"/>
      <c r="X195" s="107"/>
      <c r="Y195" s="107"/>
      <c r="Z195" s="107"/>
      <c r="AA195" s="107"/>
      <c r="AB195" s="107"/>
      <c r="AC195" s="107"/>
      <c r="AD195" s="107"/>
      <c r="AE195" s="107"/>
      <c r="AF195" s="107"/>
      <c r="AG195" s="107"/>
      <c r="AH195" s="107"/>
      <c r="AI195" s="107"/>
      <c r="AJ195" s="108"/>
      <c r="AK195" s="61"/>
      <c r="AL195" s="61"/>
      <c r="AM195" s="106" t="str">
        <f>IF([13]回答表!AD44="○",[13]回答表!B302,"")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IF([13]回答表!X45="○","○","")</f>
        <v/>
      </c>
      <c r="O207" s="98"/>
      <c r="P207" s="98"/>
      <c r="Q207" s="99"/>
      <c r="R207" s="39"/>
      <c r="S207" s="39"/>
      <c r="T207" s="39"/>
      <c r="U207" s="106" t="str">
        <f>IF([13]回答表!X45="○",[13]回答表!B314,IF([13]回答表!AA45="○",[13]回答表!B337,""))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IF([13]回答表!X45="○",[13]回答表!B320,"")</f>
        <v/>
      </c>
      <c r="AO207" s="164"/>
      <c r="AP207" s="164"/>
      <c r="AQ207" s="164"/>
      <c r="AR207" s="164"/>
      <c r="AS207" s="164"/>
      <c r="AT207" s="164"/>
      <c r="AU207" s="164"/>
      <c r="AV207" s="164"/>
      <c r="AW207" s="164"/>
      <c r="AX207" s="164"/>
      <c r="AY207" s="164"/>
      <c r="AZ207" s="164"/>
      <c r="BA207" s="164"/>
      <c r="BB207" s="165"/>
      <c r="BC207" s="40"/>
      <c r="BD207" s="35"/>
      <c r="BE207" s="115" t="str">
        <f>IF([13]回答表!X45="○",[13]回答表!B326,IF([13]回答表!AA45="○",[13]回答表!B343,""))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IF([13]回答表!X45="○",[13]回答表!E326,IF([13]回答表!AA45="○",[13]回答表!E343,""))</f>
        <v/>
      </c>
      <c r="BF210" s="83"/>
      <c r="BG210" s="83"/>
      <c r="BH210" s="83"/>
      <c r="BI210" s="82" t="str">
        <f>IF([13]回答表!X45="○",[13]回答表!E327,IF([13]回答表!AA45="○",[13]回答表!E344,""))</f>
        <v/>
      </c>
      <c r="BJ210" s="83"/>
      <c r="BK210" s="83"/>
      <c r="BL210" s="86"/>
      <c r="BM210" s="82" t="str">
        <f>IF([13]回答表!X45="○",[13]回答表!E328,IF([13]回答表!AA45="○",[13]回答表!E345,""))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IF([13]回答表!AD45="○","○","")</f>
        <v/>
      </c>
      <c r="O219" s="98"/>
      <c r="P219" s="98"/>
      <c r="Q219" s="99"/>
      <c r="R219" s="39"/>
      <c r="S219" s="39"/>
      <c r="T219" s="39"/>
      <c r="U219" s="106" t="str">
        <f>IF([13]回答表!AD45="○",[13]回答表!B350,"")</f>
        <v/>
      </c>
      <c r="V219" s="107"/>
      <c r="W219" s="107"/>
      <c r="X219" s="107"/>
      <c r="Y219" s="107"/>
      <c r="Z219" s="107"/>
      <c r="AA219" s="107"/>
      <c r="AB219" s="107"/>
      <c r="AC219" s="107"/>
      <c r="AD219" s="107"/>
      <c r="AE219" s="107"/>
      <c r="AF219" s="107"/>
      <c r="AG219" s="107"/>
      <c r="AH219" s="107"/>
      <c r="AI219" s="107"/>
      <c r="AJ219" s="108"/>
      <c r="AK219" s="61"/>
      <c r="AL219" s="61"/>
      <c r="AM219" s="106" t="str">
        <f>IF([13]回答表!AD45="○",[13]回答表!B356,"")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IF([13]回答表!X46="○","○","")</f>
        <v/>
      </c>
      <c r="O231" s="98"/>
      <c r="P231" s="98"/>
      <c r="Q231" s="99"/>
      <c r="R231" s="39"/>
      <c r="S231" s="39"/>
      <c r="T231" s="39"/>
      <c r="U231" s="106" t="str">
        <f>IF([13]回答表!X46="○",[13]回答表!B368,IF([13]回答表!AA46="○",[13]回答表!B382,""))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IF([13]回答表!X46="○",[13]回答表!BC375,IF([13]回答表!AA46="○",[13]回答表!BC389,""))</f>
        <v/>
      </c>
      <c r="AR231" s="150"/>
      <c r="AS231" s="150"/>
      <c r="AT231" s="150"/>
      <c r="AU231" s="155" t="s">
        <v>63</v>
      </c>
      <c r="AV231" s="156"/>
      <c r="AW231" s="156"/>
      <c r="AX231" s="157"/>
      <c r="AY231" s="150" t="str">
        <f>IF([13]回答表!X46="○",[13]回答表!BC380,IF([13]回答表!AA46="○",[13]回答表!BC394,""))</f>
        <v/>
      </c>
      <c r="AZ231" s="150"/>
      <c r="BA231" s="150"/>
      <c r="BB231" s="150"/>
      <c r="BC231" s="40"/>
      <c r="BD231" s="35"/>
      <c r="BE231" s="115" t="str">
        <f>IF([13]回答表!X46="○",[13]回答表!S374,IF([13]回答表!AA46="○",[13]回答表!S388,""))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IF([13]回答表!X46="○",[13]回答表!BC376,IF([13]回答表!AA46="○",[13]回答表!BC390,""))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IF([13]回答表!X46="○",[13]回答表!V374,IF([13]回答表!AA46="○",[13]回答表!V388,""))</f>
        <v/>
      </c>
      <c r="BF234" s="83"/>
      <c r="BG234" s="83"/>
      <c r="BH234" s="83"/>
      <c r="BI234" s="82" t="str">
        <f>IF([13]回答表!X46="○",[13]回答表!V375,IF([13]回答表!AA46="○",[13]回答表!V389,""))</f>
        <v/>
      </c>
      <c r="BJ234" s="83"/>
      <c r="BK234" s="83"/>
      <c r="BL234" s="86"/>
      <c r="BM234" s="82" t="str">
        <f>IF([13]回答表!X46="○",[13]回答表!V376,IF([13]回答表!AA46="○",[13]回答表!V390,""))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IF([13]回答表!X46="○",[13]回答表!BC377,IF([13]回答表!AA46="○",[13]回答表!BC391,""))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IF([13]回答表!X46="○",[13]回答表!BC381,IF([13]回答表!AA46="○",[13]回答表!BC395,""))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IF([13]回答表!X46="○",[13]回答表!BC378,IF([13]回答表!AA46="○",[13]回答表!BC392,""))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IF([13]回答表!X46="○",[13]回答表!BC379,IF([13]回答表!AA46="○",[13]回答表!BC393,""))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IF([13]回答表!AD46="○","○","")</f>
        <v/>
      </c>
      <c r="O243" s="98"/>
      <c r="P243" s="98"/>
      <c r="Q243" s="99"/>
      <c r="R243" s="39"/>
      <c r="S243" s="39"/>
      <c r="T243" s="39"/>
      <c r="U243" s="106" t="str">
        <f>IF([13]回答表!AD46="○",[13]回答表!B396,"")</f>
        <v/>
      </c>
      <c r="V243" s="107"/>
      <c r="W243" s="107"/>
      <c r="X243" s="107"/>
      <c r="Y243" s="107"/>
      <c r="Z243" s="107"/>
      <c r="AA243" s="107"/>
      <c r="AB243" s="107"/>
      <c r="AC243" s="107"/>
      <c r="AD243" s="107"/>
      <c r="AE243" s="107"/>
      <c r="AF243" s="107"/>
      <c r="AG243" s="107"/>
      <c r="AH243" s="107"/>
      <c r="AI243" s="107"/>
      <c r="AJ243" s="108"/>
      <c r="AK243" s="56"/>
      <c r="AL243" s="56"/>
      <c r="AM243" s="106" t="str">
        <f>IF([13]回答表!AD46="○",[13]回答表!B402,"")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IF([13]回答表!X47="○","○","")</f>
        <v/>
      </c>
      <c r="O254" s="98"/>
      <c r="P254" s="98"/>
      <c r="Q254" s="99"/>
      <c r="R254" s="39"/>
      <c r="S254" s="39"/>
      <c r="T254" s="39"/>
      <c r="U254" s="106" t="str">
        <f>IF([13]回答表!X47="○",[13]回答表!B414,IF([13]回答表!AA47="○",[13]回答表!B431,""))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IF([13]回答表!X47="○",[13]回答表!B424,IF([13]回答表!AA47="○",[13]回答表!B441,""))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IF([13]回答表!X47="○",[13]回答表!G420,IF([13]回答表!AA47="○",[13]回答表!G437,""))</f>
        <v/>
      </c>
      <c r="AN256" s="119"/>
      <c r="AO256" s="119"/>
      <c r="AP256" s="119"/>
      <c r="AQ256" s="119"/>
      <c r="AR256" s="119"/>
      <c r="AS256" s="119"/>
      <c r="AT256" s="120"/>
      <c r="AU256" s="118" t="str">
        <f>IF([13]回答表!X47="○",[13]回答表!G421,IF([13]回答表!AA47="○",[13]回答表!G438,""))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IF([13]回答表!X47="○",[13]回答表!E424,IF([13]回答表!AA47="○",[13]回答表!E441,""))</f>
        <v/>
      </c>
      <c r="BF257" s="83"/>
      <c r="BG257" s="83"/>
      <c r="BH257" s="83"/>
      <c r="BI257" s="82" t="str">
        <f>IF([13]回答表!X47="○",[13]回答表!E425,IF([13]回答表!AA47="○",[13]回答表!E442,""))</f>
        <v/>
      </c>
      <c r="BJ257" s="83"/>
      <c r="BK257" s="83"/>
      <c r="BL257" s="86"/>
      <c r="BM257" s="82" t="str">
        <f>IF([13]回答表!X47="○",[13]回答表!E426,IF([13]回答表!AA47="○",[13]回答表!E443,""))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IF([13]回答表!AD47="○","○","")</f>
        <v/>
      </c>
      <c r="O266" s="98"/>
      <c r="P266" s="98"/>
      <c r="Q266" s="99"/>
      <c r="R266" s="39"/>
      <c r="S266" s="39"/>
      <c r="T266" s="39"/>
      <c r="U266" s="106" t="str">
        <f>IF([13]回答表!AD47="○",[13]回答表!B448,"")</f>
        <v/>
      </c>
      <c r="V266" s="107"/>
      <c r="W266" s="107"/>
      <c r="X266" s="107"/>
      <c r="Y266" s="107"/>
      <c r="Z266" s="107"/>
      <c r="AA266" s="107"/>
      <c r="AB266" s="107"/>
      <c r="AC266" s="107"/>
      <c r="AD266" s="107"/>
      <c r="AE266" s="107"/>
      <c r="AF266" s="107"/>
      <c r="AG266" s="107"/>
      <c r="AH266" s="107"/>
      <c r="AI266" s="107"/>
      <c r="AJ266" s="108"/>
      <c r="AK266" s="50"/>
      <c r="AL266" s="50"/>
      <c r="AM266" s="106" t="str">
        <f>IF([13]回答表!AD47="○",[13]回答表!B454,"")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IF([13]回答表!R48="○",[13]回答表!B467,"")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3"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15011-5824-4424-8400-4AE32DAD28F5}">
  <sheetPr>
    <pageSetUpPr fitToPage="1"/>
  </sheetPr>
  <dimension ref="A1:CE298"/>
  <sheetViews>
    <sheetView showZeros="0"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IF(COUNTIF([1]回答表!K15,"*")&gt;0,[1]回答表!K15,"")</f>
        <v>由利本荘市</v>
      </c>
      <c r="D11" s="246"/>
      <c r="E11" s="246"/>
      <c r="F11" s="246"/>
      <c r="G11" s="246"/>
      <c r="H11" s="246"/>
      <c r="I11" s="246"/>
      <c r="J11" s="246"/>
      <c r="K11" s="246"/>
      <c r="L11" s="246"/>
      <c r="M11" s="246"/>
      <c r="N11" s="246"/>
      <c r="O11" s="246"/>
      <c r="P11" s="246"/>
      <c r="Q11" s="246"/>
      <c r="R11" s="246"/>
      <c r="S11" s="246"/>
      <c r="T11" s="246"/>
      <c r="U11" s="253" t="str">
        <f>IF(COUNTIF([1]回答表!F17,"*")&gt;0,[1]回答表!F17,"")</f>
        <v>ガス事業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IF(COUNTIF([1]回答表!W17,"*")&gt;0,[1]回答表!W17,"")</f>
        <v>―</v>
      </c>
      <c r="AP11" s="248"/>
      <c r="AQ11" s="248"/>
      <c r="AR11" s="248"/>
      <c r="AS11" s="248"/>
      <c r="AT11" s="248"/>
      <c r="AU11" s="248"/>
      <c r="AV11" s="248"/>
      <c r="AW11" s="248"/>
      <c r="AX11" s="248"/>
      <c r="AY11" s="248"/>
      <c r="AZ11" s="248"/>
      <c r="BA11" s="248"/>
      <c r="BB11" s="248"/>
      <c r="BC11" s="248"/>
      <c r="BD11" s="248"/>
      <c r="BE11" s="249"/>
      <c r="BF11" s="252" t="str">
        <f>IF(COUNTIF([1]回答表!F19,"*")&gt;0,[1]回答表!F19,"")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IF([1]回答表!R41="○","○","")</f>
        <v/>
      </c>
      <c r="E24" s="122"/>
      <c r="F24" s="122"/>
      <c r="G24" s="122"/>
      <c r="H24" s="122"/>
      <c r="I24" s="122"/>
      <c r="J24" s="123"/>
      <c r="K24" s="121" t="str">
        <f>IF([1]回答表!R42="○","○","")</f>
        <v/>
      </c>
      <c r="L24" s="122"/>
      <c r="M24" s="122"/>
      <c r="N24" s="122"/>
      <c r="O24" s="122"/>
      <c r="P24" s="122"/>
      <c r="Q24" s="123"/>
      <c r="R24" s="121" t="str">
        <f>IF([1]回答表!R43="○","○","")</f>
        <v/>
      </c>
      <c r="S24" s="122"/>
      <c r="T24" s="122"/>
      <c r="U24" s="122"/>
      <c r="V24" s="122"/>
      <c r="W24" s="122"/>
      <c r="X24" s="123"/>
      <c r="Y24" s="121" t="str">
        <f>IF([1]回答表!R44="○","○","")</f>
        <v/>
      </c>
      <c r="Z24" s="122"/>
      <c r="AA24" s="122"/>
      <c r="AB24" s="122"/>
      <c r="AC24" s="122"/>
      <c r="AD24" s="122"/>
      <c r="AE24" s="123"/>
      <c r="AF24" s="121" t="str">
        <f>IF([1]回答表!R45="○","○","")</f>
        <v/>
      </c>
      <c r="AG24" s="122"/>
      <c r="AH24" s="122"/>
      <c r="AI24" s="122"/>
      <c r="AJ24" s="122"/>
      <c r="AK24" s="122"/>
      <c r="AL24" s="123"/>
      <c r="AM24" s="121" t="str">
        <f>IF([1]回答表!R46="○","○","")</f>
        <v/>
      </c>
      <c r="AN24" s="122"/>
      <c r="AO24" s="122"/>
      <c r="AP24" s="122"/>
      <c r="AQ24" s="122"/>
      <c r="AR24" s="122"/>
      <c r="AS24" s="123"/>
      <c r="AT24" s="121" t="str">
        <f>IF([1]回答表!R47="○","○","")</f>
        <v/>
      </c>
      <c r="AU24" s="122"/>
      <c r="AV24" s="122"/>
      <c r="AW24" s="122"/>
      <c r="AX24" s="122"/>
      <c r="AY24" s="122"/>
      <c r="AZ24" s="123"/>
      <c r="BA24" s="19"/>
      <c r="BB24" s="118" t="str">
        <f>IF([1]回答表!R48="○","○","")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IF([1]回答表!X41="○","○","")</f>
        <v/>
      </c>
      <c r="O36" s="98"/>
      <c r="P36" s="98"/>
      <c r="Q36" s="99"/>
      <c r="R36" s="39"/>
      <c r="S36" s="39"/>
      <c r="T36" s="39"/>
      <c r="U36" s="106" t="str">
        <f>IF([1]回答表!X41="○",[1]回答表!B56,IF([1]回答表!AA41="○",[1]回答表!B76,""))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IF([1]回答表!X41="○",[1]回答表!S62,IF([1]回答表!AA41="○",[1]回答表!S82,""))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IF([1]回答表!X41="○",[1]回答表!G62,IF([1]回答表!AA41="○",[1]回答表!G82,""))</f>
        <v/>
      </c>
      <c r="AN38" s="119"/>
      <c r="AO38" s="119"/>
      <c r="AP38" s="119"/>
      <c r="AQ38" s="119"/>
      <c r="AR38" s="119"/>
      <c r="AS38" s="119"/>
      <c r="AT38" s="120"/>
      <c r="AU38" s="118" t="str">
        <f>IF([1]回答表!X41="○",[1]回答表!G63,IF([1]回答表!AA41="○",[1]回答表!G83,""))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IF([1]回答表!X41="○",[1]回答表!V62,IF([1]回答表!AA41="○",[1]回答表!V82,""))</f>
        <v/>
      </c>
      <c r="BF39" s="199"/>
      <c r="BG39" s="199"/>
      <c r="BH39" s="200"/>
      <c r="BI39" s="82" t="str">
        <f>IF([1]回答表!X41="○",[1]回答表!V63,IF([1]回答表!AA41="○",[1]回答表!V83,""))</f>
        <v/>
      </c>
      <c r="BJ39" s="199"/>
      <c r="BK39" s="199"/>
      <c r="BL39" s="200"/>
      <c r="BM39" s="82" t="str">
        <f>IF([1]回答表!X41="○",[1]回答表!V64,IF([1]回答表!AA41="○",[1]回答表!V84,""))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IF([1]回答表!X41="○",[1]回答表!O68,IF([1]回答表!AA41="○",[1]回答表!O88,""))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IF([1]回答表!X41="○",[1]回答表!O69,IF([1]回答表!AA41="○",[1]回答表!O89,""))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IF([1]回答表!X41="○",[1]回答表!O70,IF([1]回答表!AA41="○",[1]回答表!O90,""))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IF([1]回答表!X41="○",[1]回答表!O71,IF([1]回答表!AA41="○",[1]回答表!O91,""))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IF([1]回答表!X41="○",[1]回答表!AG68,IF([1]回答表!AA41="○",[1]回答表!AG88,""))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IF([1]回答表!X41="○",[1]回答表!AG69,IF([1]回答表!AA41="○",[1]回答表!AG89,""))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IF([1]回答表!X41="○",[1]回答表!AG70,IF([1]回答表!AA41="○",[1]回答表!AG90,""))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IF([1]回答表!AD41="○","○","")</f>
        <v/>
      </c>
      <c r="O52" s="98"/>
      <c r="P52" s="98"/>
      <c r="Q52" s="99"/>
      <c r="R52" s="39"/>
      <c r="S52" s="39"/>
      <c r="T52" s="39"/>
      <c r="U52" s="106" t="str">
        <f>IF([1]回答表!AD41="○",[1]回答表!B96,"")</f>
        <v/>
      </c>
      <c r="V52" s="107"/>
      <c r="W52" s="107"/>
      <c r="X52" s="107"/>
      <c r="Y52" s="107"/>
      <c r="Z52" s="107"/>
      <c r="AA52" s="107"/>
      <c r="AB52" s="107"/>
      <c r="AC52" s="107"/>
      <c r="AD52" s="107"/>
      <c r="AE52" s="107"/>
      <c r="AF52" s="107"/>
      <c r="AG52" s="107"/>
      <c r="AH52" s="107"/>
      <c r="AI52" s="107"/>
      <c r="AJ52" s="108"/>
      <c r="AK52" s="56"/>
      <c r="AL52" s="56"/>
      <c r="AM52" s="106" t="str">
        <f>IF([1]回答表!AD41="○",[1]回答表!B101,"")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IF([1]回答表!X42="○","○","")</f>
        <v/>
      </c>
      <c r="O63" s="98"/>
      <c r="P63" s="98"/>
      <c r="Q63" s="99"/>
      <c r="R63" s="39"/>
      <c r="S63" s="39"/>
      <c r="T63" s="39"/>
      <c r="U63" s="106" t="str">
        <f>IF([1]回答表!X42="○",[1]回答表!B111,IF([1]回答表!AA42="○",[1]回答表!B124,""))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IF([1]回答表!X42="○",[1]回答表!S117,IF([1]回答表!AA42="○",[1]回答表!S130,""))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IF([1]回答表!X42="○",[1]回答表!J117,IF([1]回答表!AA42="○",[1]回答表!J130,""))</f>
        <v/>
      </c>
      <c r="AN66" s="119"/>
      <c r="AO66" s="119"/>
      <c r="AP66" s="119"/>
      <c r="AQ66" s="119"/>
      <c r="AR66" s="119"/>
      <c r="AS66" s="119"/>
      <c r="AT66" s="120"/>
      <c r="AU66" s="118" t="str">
        <f>IF([1]回答表!X42="○",[1]回答表!J118,IF([1]回答表!AA42="○",[1]回答表!J131,""))</f>
        <v/>
      </c>
      <c r="AV66" s="119"/>
      <c r="AW66" s="119"/>
      <c r="AX66" s="119"/>
      <c r="AY66" s="119"/>
      <c r="AZ66" s="119"/>
      <c r="BA66" s="119"/>
      <c r="BB66" s="120"/>
      <c r="BC66" s="40"/>
      <c r="BD66" s="35"/>
      <c r="BE66" s="82" t="str">
        <f>IF([1]回答表!X42="○",[1]回答表!V117,IF([1]回答表!AA42="○",[1]回答表!V130,""))</f>
        <v/>
      </c>
      <c r="BF66" s="83"/>
      <c r="BG66" s="83"/>
      <c r="BH66" s="83"/>
      <c r="BI66" s="82" t="str">
        <f>IF([1]回答表!X42="○",[1]回答表!V118,IF([1]回答表!AA42="○",[1]回答表!V131,""))</f>
        <v/>
      </c>
      <c r="BJ66" s="83"/>
      <c r="BK66" s="83"/>
      <c r="BL66" s="83"/>
      <c r="BM66" s="82" t="str">
        <f>IF([1]回答表!X42="○",[1]回答表!V119,IF([1]回答表!AA42="○",[1]回答表!V132,""))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IF([1]回答表!AD42="○","○","")</f>
        <v/>
      </c>
      <c r="O75" s="98"/>
      <c r="P75" s="98"/>
      <c r="Q75" s="99"/>
      <c r="R75" s="39"/>
      <c r="S75" s="39"/>
      <c r="T75" s="39"/>
      <c r="U75" s="106" t="str">
        <f>IF([1]回答表!AD42="○",[1]回答表!B137,"")</f>
        <v/>
      </c>
      <c r="V75" s="107"/>
      <c r="W75" s="107"/>
      <c r="X75" s="107"/>
      <c r="Y75" s="107"/>
      <c r="Z75" s="107"/>
      <c r="AA75" s="107"/>
      <c r="AB75" s="107"/>
      <c r="AC75" s="107"/>
      <c r="AD75" s="107"/>
      <c r="AE75" s="107"/>
      <c r="AF75" s="107"/>
      <c r="AG75" s="107"/>
      <c r="AH75" s="107"/>
      <c r="AI75" s="107"/>
      <c r="AJ75" s="108"/>
      <c r="AK75" s="56"/>
      <c r="AL75" s="56"/>
      <c r="AM75" s="106" t="str">
        <f>IF([1]回答表!AD42="○",[1]回答表!B143,"")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IF([1]回答表!F17="水道事業",IF([1]回答表!X43="○","○",""),"")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IF([1]回答表!F17="水道事業",IF([1]回答表!X43="○",[1]回答表!B154,IF([1]回答表!AA43="○",[1]回答表!B201,"")),"")</f>
        <v/>
      </c>
      <c r="AN87" s="107"/>
      <c r="AO87" s="107"/>
      <c r="AP87" s="107"/>
      <c r="AQ87" s="107"/>
      <c r="AR87" s="107"/>
      <c r="AS87" s="107"/>
      <c r="AT87" s="107"/>
      <c r="AU87" s="107"/>
      <c r="AV87" s="107"/>
      <c r="AW87" s="107"/>
      <c r="AX87" s="107"/>
      <c r="AY87" s="107"/>
      <c r="AZ87" s="107"/>
      <c r="BA87" s="107"/>
      <c r="BB87" s="108"/>
      <c r="BC87" s="40"/>
      <c r="BD87" s="35"/>
      <c r="BE87" s="115" t="str">
        <f>IF([1]回答表!F17="水道事業",IF([1]回答表!X43="○",[1]回答表!B190,IF([1]回答表!AA43="○",[1]回答表!B238,"")),"")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IF([1]回答表!F17="水道事業",IF([1]回答表!X43="○",[1]回答表!J162,IF([1]回答表!AA43="○",[1]回答表!J209,"")),"")</f>
        <v/>
      </c>
      <c r="V89" s="119"/>
      <c r="W89" s="119"/>
      <c r="X89" s="119"/>
      <c r="Y89" s="119"/>
      <c r="Z89" s="119"/>
      <c r="AA89" s="119"/>
      <c r="AB89" s="120"/>
      <c r="AC89" s="118" t="str">
        <f>IF([1]回答表!F17="水道事業",IF([1]回答表!X43="○",[1]回答表!J169,IF([1]回答表!AA43="○",[1]回答表!J216,"")),"")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IF([1]回答表!F17="水道事業",IF([1]回答表!X43="○",[1]回答表!E190,IF([1]回答表!AA43="○",[1]回答表!E238,"")),"")</f>
        <v/>
      </c>
      <c r="BF90" s="83"/>
      <c r="BG90" s="83"/>
      <c r="BH90" s="83"/>
      <c r="BI90" s="82" t="str">
        <f>IF([1]回答表!F17="水道事業",IF([1]回答表!X43="○",[1]回答表!E191,IF([1]回答表!AA43="○",[1]回答表!E239,"")),"")</f>
        <v/>
      </c>
      <c r="BJ90" s="83"/>
      <c r="BK90" s="83"/>
      <c r="BL90" s="83"/>
      <c r="BM90" s="82" t="str">
        <f>IF([1]回答表!F17="水道事業",IF([1]回答表!X43="○",[1]回答表!E192,IF([1]回答表!AA43="○",[1]回答表!E240,"")),"")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IF([1]回答表!F17="水道事業",IF([1]回答表!AA43="○","○",""),"")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IF([1]回答表!F17="水道事業",IF([1]回答表!X43="○",[1]回答表!J172,IF([1]回答表!AA43="○",[1]回答表!J219,"")),"")</f>
        <v/>
      </c>
      <c r="V94" s="119"/>
      <c r="W94" s="119"/>
      <c r="X94" s="119"/>
      <c r="Y94" s="119"/>
      <c r="Z94" s="119"/>
      <c r="AA94" s="119"/>
      <c r="AB94" s="120"/>
      <c r="AC94" s="118" t="str">
        <f>IF([1]回答表!F17="水道事業",IF([1]回答表!X43="○",[1]回答表!J176,IF([1]回答表!AA43="○",[1]回答表!J223,"")),"")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IF([1]回答表!F17="水道事業",IF([1]回答表!AD43="○","○",""),"")</f>
        <v/>
      </c>
      <c r="O99" s="98"/>
      <c r="P99" s="98"/>
      <c r="Q99" s="99"/>
      <c r="R99" s="39"/>
      <c r="S99" s="39"/>
      <c r="T99" s="39"/>
      <c r="U99" s="106" t="str">
        <f>IF([1]回答表!F17="水道事業",IF([1]回答表!AD43="○",[1]回答表!B249,""),"")</f>
        <v/>
      </c>
      <c r="V99" s="107"/>
      <c r="W99" s="107"/>
      <c r="X99" s="107"/>
      <c r="Y99" s="107"/>
      <c r="Z99" s="107"/>
      <c r="AA99" s="107"/>
      <c r="AB99" s="107"/>
      <c r="AC99" s="107"/>
      <c r="AD99" s="107"/>
      <c r="AE99" s="107"/>
      <c r="AF99" s="107"/>
      <c r="AG99" s="107"/>
      <c r="AH99" s="107"/>
      <c r="AI99" s="107"/>
      <c r="AJ99" s="108"/>
      <c r="AK99" s="56"/>
      <c r="AL99" s="56"/>
      <c r="AM99" s="106" t="str">
        <f>IF([1]回答表!F17="水道事業",IF([1]回答表!AD43="○",[1]回答表!B255,""),"")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IF([1]回答表!F17="簡易水道事業",IF([1]回答表!X43="○","○",""),"")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IF([1]回答表!F17="簡易水道事業",IF([1]回答表!X43="○",[1]回答表!B154,IF([1]回答表!AA43="○",[1]回答表!B201,"")),"")</f>
        <v/>
      </c>
      <c r="AN111" s="107"/>
      <c r="AO111" s="107"/>
      <c r="AP111" s="107"/>
      <c r="AQ111" s="107"/>
      <c r="AR111" s="107"/>
      <c r="AS111" s="107"/>
      <c r="AT111" s="107"/>
      <c r="AU111" s="107"/>
      <c r="AV111" s="107"/>
      <c r="AW111" s="107"/>
      <c r="AX111" s="107"/>
      <c r="AY111" s="107"/>
      <c r="AZ111" s="107"/>
      <c r="BA111" s="107"/>
      <c r="BB111" s="108"/>
      <c r="BC111" s="40"/>
      <c r="BD111" s="35"/>
      <c r="BE111" s="115" t="str">
        <f>IF([1]回答表!F17="簡易水道事業",IF([1]回答表!X43="○",[1]回答表!B190,IF([1]回答表!AA43="○",[1]回答表!B238,"")),"")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IF([1]回答表!F17="簡易水道事業",IF([1]回答表!X43="○",[1]回答表!Y181,IF([1]回答表!AA43="○",[1]回答表!Y229,"")),"")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IF([1]回答表!F17="簡易水道事業",IF([1]回答表!X43="○",[1]回答表!E190,IF([1]回答表!AA43="○",[1]回答表!E238,"")),"")</f>
        <v/>
      </c>
      <c r="BF114" s="83"/>
      <c r="BG114" s="83"/>
      <c r="BH114" s="83"/>
      <c r="BI114" s="82" t="str">
        <f>IF([1]回答表!F17="簡易水道事業",IF([1]回答表!X43="○",[1]回答表!E191,IF([1]回答表!AA43="○",[1]回答表!E239,"")),"")</f>
        <v/>
      </c>
      <c r="BJ114" s="83"/>
      <c r="BK114" s="83"/>
      <c r="BL114" s="83"/>
      <c r="BM114" s="82" t="str">
        <f>IF([1]回答表!F17="簡易水道事業",IF([1]回答表!X43="○",[1]回答表!E192,IF([1]回答表!AA43="○",[1]回答表!E240,"")),"")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IF([1]回答表!F17="簡易水道事業",IF([1]回答表!AA43="○","○",""),"")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IF([1]回答表!F17="簡易水道事業",IF([1]回答表!X43="○",[1]回答表!Y182,IF([1]回答表!AA43="○",[1]回答表!Y230,"")),"")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IF([1]回答表!F17="簡易水道事業",IF([1]回答表!AD43="○","○",""),"")</f>
        <v/>
      </c>
      <c r="O123" s="98"/>
      <c r="P123" s="98"/>
      <c r="Q123" s="99"/>
      <c r="R123" s="39"/>
      <c r="S123" s="39"/>
      <c r="T123" s="39"/>
      <c r="U123" s="106" t="str">
        <f>IF([1]回答表!F17="簡易水道事業",IF([1]回答表!AD43="○",[1]回答表!B249,""),"")</f>
        <v/>
      </c>
      <c r="V123" s="107"/>
      <c r="W123" s="107"/>
      <c r="X123" s="107"/>
      <c r="Y123" s="107"/>
      <c r="Z123" s="107"/>
      <c r="AA123" s="107"/>
      <c r="AB123" s="107"/>
      <c r="AC123" s="107"/>
      <c r="AD123" s="107"/>
      <c r="AE123" s="107"/>
      <c r="AF123" s="107"/>
      <c r="AG123" s="107"/>
      <c r="AH123" s="107"/>
      <c r="AI123" s="107"/>
      <c r="AJ123" s="108"/>
      <c r="AK123" s="56"/>
      <c r="AL123" s="56"/>
      <c r="AM123" s="106" t="str">
        <f>IF([1]回答表!F17="簡易水道事業",IF([1]回答表!AD43="○",[1]回答表!B255,""),"")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IF([1]回答表!F17="下水道事業",IF([1]回答表!X43="○","○",""),"")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IF([1]回答表!F17="下水道事業",IF([1]回答表!X43="○",[1]回答表!B154,IF([1]回答表!AA43="○",[1]回答表!B201,"")),"")</f>
        <v/>
      </c>
      <c r="AN135" s="107"/>
      <c r="AO135" s="107"/>
      <c r="AP135" s="107"/>
      <c r="AQ135" s="107"/>
      <c r="AR135" s="107"/>
      <c r="AS135" s="107"/>
      <c r="AT135" s="107"/>
      <c r="AU135" s="107"/>
      <c r="AV135" s="107"/>
      <c r="AW135" s="107"/>
      <c r="AX135" s="107"/>
      <c r="AY135" s="107"/>
      <c r="AZ135" s="107"/>
      <c r="BA135" s="107"/>
      <c r="BB135" s="108"/>
      <c r="BC135" s="40"/>
      <c r="BD135" s="35"/>
      <c r="BE135" s="115" t="str">
        <f>IF([1]回答表!F17="下水道事業",IF([1]回答表!X43="○",[1]回答表!B190,IF([1]回答表!AA43="○",[1]回答表!B238,"")),"")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IF([1]回答表!F17="下水道事業",IF([1]回答表!X43="○",[1]回答表!Y184,IF([1]回答表!AA43="○",[1]回答表!Y232,"")),"")</f>
        <v/>
      </c>
      <c r="V137" s="119"/>
      <c r="W137" s="119"/>
      <c r="X137" s="119"/>
      <c r="Y137" s="119"/>
      <c r="Z137" s="119"/>
      <c r="AA137" s="119"/>
      <c r="AB137" s="120"/>
      <c r="AC137" s="118" t="str">
        <f>IF([1]回答表!F17="下水道事業",IF([1]回答表!X43="○",[1]回答表!Y185,IF([1]回答表!AA43="○",[1]回答表!Y233,"")),"")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IF([1]回答表!F17="下水道事業",IF([1]回答表!X43="○",[1]回答表!E190,IF([1]回答表!AA43="○",[1]回答表!E238,"")),"")</f>
        <v/>
      </c>
      <c r="BF138" s="83"/>
      <c r="BG138" s="83"/>
      <c r="BH138" s="83"/>
      <c r="BI138" s="82" t="str">
        <f>IF([1]回答表!F17="下水道事業",IF([1]回答表!X43="○",[1]回答表!E191,IF([1]回答表!AA43="○",[1]回答表!E239,"")),"")</f>
        <v/>
      </c>
      <c r="BJ138" s="83"/>
      <c r="BK138" s="83"/>
      <c r="BL138" s="83"/>
      <c r="BM138" s="82" t="str">
        <f>IF([1]回答表!F17="下水道事業",IF([1]回答表!X43="○",[1]回答表!E192,IF([1]回答表!AA43="○",[1]回答表!E240,"")),"")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IF([1]回答表!F17="下水道事業",IF([1]回答表!AA43="○","○",""),"")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IF([1]回答表!F17="下水道事業",IF([1]回答表!X43="○",[1]回答表!Y186,IF([1]回答表!AA43="○",[1]回答表!Y234,"")),"")</f>
        <v/>
      </c>
      <c r="V142" s="119"/>
      <c r="W142" s="119"/>
      <c r="X142" s="119"/>
      <c r="Y142" s="119"/>
      <c r="Z142" s="119"/>
      <c r="AA142" s="119"/>
      <c r="AB142" s="120"/>
      <c r="AC142" s="118" t="str">
        <f>IF([1]回答表!F17="下水道事業",IF([1]回答表!X43="○",[1]回答表!Y187,IF([1]回答表!AA43="○",[1]回答表!Y235,"")),"")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IF([1]回答表!F17="下水道事業",IF([1]回答表!AD43="○","○",""),"")</f>
        <v/>
      </c>
      <c r="O147" s="98"/>
      <c r="P147" s="98"/>
      <c r="Q147" s="99"/>
      <c r="R147" s="39"/>
      <c r="S147" s="39"/>
      <c r="T147" s="39"/>
      <c r="U147" s="106" t="str">
        <f>IF([1]回答表!F17="下水道事業",IF([1]回答表!AD43="○",[1]回答表!B249,""),"")</f>
        <v/>
      </c>
      <c r="V147" s="107"/>
      <c r="W147" s="107"/>
      <c r="X147" s="107"/>
      <c r="Y147" s="107"/>
      <c r="Z147" s="107"/>
      <c r="AA147" s="107"/>
      <c r="AB147" s="107"/>
      <c r="AC147" s="107"/>
      <c r="AD147" s="107"/>
      <c r="AE147" s="107"/>
      <c r="AF147" s="107"/>
      <c r="AG147" s="107"/>
      <c r="AH147" s="107"/>
      <c r="AI147" s="107"/>
      <c r="AJ147" s="108"/>
      <c r="AK147" s="56"/>
      <c r="AL147" s="56"/>
      <c r="AM147" s="106" t="str">
        <f>IF([1]回答表!F17="下水道事業",IF([1]回答表!AD43="○",[1]回答表!B255,""),"")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IF([1]回答表!BD17="○",IF([1]回答表!X43="○","○",""),"")</f>
        <v/>
      </c>
      <c r="O159" s="98"/>
      <c r="P159" s="98"/>
      <c r="Q159" s="99"/>
      <c r="R159" s="39"/>
      <c r="S159" s="39"/>
      <c r="T159" s="39"/>
      <c r="U159" s="106" t="str">
        <f>IF([1]回答表!BD17="○",IF([1]回答表!X43="○",[1]回答表!B154,IF([1]回答表!AA43="○",[1]回答表!B201,"")),"")</f>
        <v/>
      </c>
      <c r="V159" s="107"/>
      <c r="W159" s="107"/>
      <c r="X159" s="107"/>
      <c r="Y159" s="107"/>
      <c r="Z159" s="107"/>
      <c r="AA159" s="107"/>
      <c r="AB159" s="107"/>
      <c r="AC159" s="107"/>
      <c r="AD159" s="107"/>
      <c r="AE159" s="107"/>
      <c r="AF159" s="107"/>
      <c r="AG159" s="107"/>
      <c r="AH159" s="107"/>
      <c r="AI159" s="107"/>
      <c r="AJ159" s="108"/>
      <c r="AK159" s="50"/>
      <c r="AL159" s="50"/>
      <c r="AM159" s="115" t="str">
        <f>IF([1]回答表!BD17="○",IF([1]回答表!X43="○",[1]回答表!B190,IF([1]回答表!AA43="○",[1]回答表!B238,"")),"")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IF([1]回答表!BD17="○",IF([1]回答表!X43="○",[1]回答表!E190,IF([1]回答表!AA43="○",[1]回答表!E238,"")),"")</f>
        <v/>
      </c>
      <c r="AN162" s="83"/>
      <c r="AO162" s="83"/>
      <c r="AP162" s="83"/>
      <c r="AQ162" s="82" t="str">
        <f>IF([1]回答表!BD17="○",IF([1]回答表!X43="○",[1]回答表!E191,IF([1]回答表!AA43="○",[1]回答表!E239,"")),"")</f>
        <v/>
      </c>
      <c r="AR162" s="83"/>
      <c r="AS162" s="83"/>
      <c r="AT162" s="83"/>
      <c r="AU162" s="82" t="str">
        <f>IF([1]回答表!BD17="○",IF([1]回答表!X43="○",[1]回答表!E192,IF([1]回答表!AA43="○",[1]回答表!E240,"")),"")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IF([1]回答表!BD17="○",IF([1]回答表!AA43="○","○",""),"")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IF([1]回答表!BD17="○",IF([1]回答表!AD43="○","○",""),"")</f>
        <v/>
      </c>
      <c r="O171" s="98"/>
      <c r="P171" s="98"/>
      <c r="Q171" s="99"/>
      <c r="R171" s="39"/>
      <c r="S171" s="39"/>
      <c r="T171" s="39"/>
      <c r="U171" s="106" t="str">
        <f>IF([1]回答表!BD17="○",IF([1]回答表!AD43="○",[1]回答表!B249,""),"")</f>
        <v/>
      </c>
      <c r="V171" s="107"/>
      <c r="W171" s="107"/>
      <c r="X171" s="107"/>
      <c r="Y171" s="107"/>
      <c r="Z171" s="107"/>
      <c r="AA171" s="107"/>
      <c r="AB171" s="107"/>
      <c r="AC171" s="107"/>
      <c r="AD171" s="107"/>
      <c r="AE171" s="107"/>
      <c r="AF171" s="107"/>
      <c r="AG171" s="107"/>
      <c r="AH171" s="107"/>
      <c r="AI171" s="107"/>
      <c r="AJ171" s="108"/>
      <c r="AK171" s="56"/>
      <c r="AL171" s="56"/>
      <c r="AM171" s="106" t="str">
        <f>IF([1]回答表!BD17="○",IF([1]回答表!AD43="○",[1]回答表!B255,""),"")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IF([1]回答表!X44="○","○","")</f>
        <v/>
      </c>
      <c r="O183" s="98"/>
      <c r="P183" s="98"/>
      <c r="Q183" s="99"/>
      <c r="R183" s="39"/>
      <c r="S183" s="39"/>
      <c r="T183" s="39"/>
      <c r="U183" s="106" t="str">
        <f>IF([1]回答表!X44="○",[1]回答表!B266,IF([1]回答表!AA44="○",[1]回答表!B283,""))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IF([1]回答表!X44="○",[1]回答表!U272,IF([1]回答表!AA44="○",[1]回答表!U289,""))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IF([1]回答表!X44="○",[1]回答表!G272,IF([1]回答表!AA44="○",[1]回答表!G289,""))</f>
        <v/>
      </c>
      <c r="AN186" s="119"/>
      <c r="AO186" s="119"/>
      <c r="AP186" s="119"/>
      <c r="AQ186" s="119"/>
      <c r="AR186" s="119"/>
      <c r="AS186" s="119"/>
      <c r="AT186" s="120"/>
      <c r="AU186" s="118" t="str">
        <f>IF([1]回答表!X44="○",[1]回答表!G273,IF([1]回答表!AA44="○",[1]回答表!G290,""))</f>
        <v/>
      </c>
      <c r="AV186" s="119"/>
      <c r="AW186" s="119"/>
      <c r="AX186" s="119"/>
      <c r="AY186" s="119"/>
      <c r="AZ186" s="119"/>
      <c r="BA186" s="119"/>
      <c r="BB186" s="120"/>
      <c r="BC186" s="40"/>
      <c r="BD186" s="35"/>
      <c r="BE186" s="82" t="str">
        <f>IF([1]回答表!X44="○",[1]回答表!X272,IF([1]回答表!AA44="○",[1]回答表!X289,""))</f>
        <v/>
      </c>
      <c r="BF186" s="83"/>
      <c r="BG186" s="83"/>
      <c r="BH186" s="83"/>
      <c r="BI186" s="82" t="str">
        <f>IF([1]回答表!X44="○",[1]回答表!X273,IF([1]回答表!AA44="○",[1]回答表!X290,""))</f>
        <v/>
      </c>
      <c r="BJ186" s="83"/>
      <c r="BK186" s="83"/>
      <c r="BL186" s="86"/>
      <c r="BM186" s="82" t="str">
        <f>IF([1]回答表!X44="○",[1]回答表!X274,IF([1]回答表!AA44="○",[1]回答表!X291,""))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IF([1]回答表!AD44="○","○","")</f>
        <v/>
      </c>
      <c r="O195" s="98"/>
      <c r="P195" s="98"/>
      <c r="Q195" s="99"/>
      <c r="R195" s="39"/>
      <c r="S195" s="39"/>
      <c r="T195" s="39"/>
      <c r="U195" s="106" t="str">
        <f>IF([1]回答表!AD44="○",[1]回答表!B296,"")</f>
        <v/>
      </c>
      <c r="V195" s="107"/>
      <c r="W195" s="107"/>
      <c r="X195" s="107"/>
      <c r="Y195" s="107"/>
      <c r="Z195" s="107"/>
      <c r="AA195" s="107"/>
      <c r="AB195" s="107"/>
      <c r="AC195" s="107"/>
      <c r="AD195" s="107"/>
      <c r="AE195" s="107"/>
      <c r="AF195" s="107"/>
      <c r="AG195" s="107"/>
      <c r="AH195" s="107"/>
      <c r="AI195" s="107"/>
      <c r="AJ195" s="108"/>
      <c r="AK195" s="61"/>
      <c r="AL195" s="61"/>
      <c r="AM195" s="106" t="str">
        <f>IF([1]回答表!AD44="○",[1]回答表!B302,"")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IF([1]回答表!X45="○","○","")</f>
        <v/>
      </c>
      <c r="O207" s="98"/>
      <c r="P207" s="98"/>
      <c r="Q207" s="99"/>
      <c r="R207" s="39"/>
      <c r="S207" s="39"/>
      <c r="T207" s="39"/>
      <c r="U207" s="106" t="str">
        <f>IF([1]回答表!X45="○",[1]回答表!B314,IF([1]回答表!AA45="○",[1]回答表!B337,""))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IF([1]回答表!X45="○",[1]回答表!B320,"")</f>
        <v/>
      </c>
      <c r="AO207" s="164"/>
      <c r="AP207" s="164"/>
      <c r="AQ207" s="164"/>
      <c r="AR207" s="164"/>
      <c r="AS207" s="164"/>
      <c r="AT207" s="164"/>
      <c r="AU207" s="164"/>
      <c r="AV207" s="164"/>
      <c r="AW207" s="164"/>
      <c r="AX207" s="164"/>
      <c r="AY207" s="164"/>
      <c r="AZ207" s="164"/>
      <c r="BA207" s="164"/>
      <c r="BB207" s="165"/>
      <c r="BC207" s="40"/>
      <c r="BD207" s="35"/>
      <c r="BE207" s="115" t="str">
        <f>IF([1]回答表!X45="○",[1]回答表!B326,IF([1]回答表!AA45="○",[1]回答表!B343,""))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IF([1]回答表!X45="○",[1]回答表!E326,IF([1]回答表!AA45="○",[1]回答表!E343,""))</f>
        <v/>
      </c>
      <c r="BF210" s="83"/>
      <c r="BG210" s="83"/>
      <c r="BH210" s="83"/>
      <c r="BI210" s="82" t="str">
        <f>IF([1]回答表!X45="○",[1]回答表!E327,IF([1]回答表!AA45="○",[1]回答表!E344,""))</f>
        <v/>
      </c>
      <c r="BJ210" s="83"/>
      <c r="BK210" s="83"/>
      <c r="BL210" s="86"/>
      <c r="BM210" s="82" t="str">
        <f>IF([1]回答表!X45="○",[1]回答表!E328,IF([1]回答表!AA45="○",[1]回答表!E345,""))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IF([1]回答表!AD45="○","○","")</f>
        <v/>
      </c>
      <c r="O219" s="98"/>
      <c r="P219" s="98"/>
      <c r="Q219" s="99"/>
      <c r="R219" s="39"/>
      <c r="S219" s="39"/>
      <c r="T219" s="39"/>
      <c r="U219" s="106" t="str">
        <f>IF([1]回答表!AD45="○",[1]回答表!B350,"")</f>
        <v/>
      </c>
      <c r="V219" s="107"/>
      <c r="W219" s="107"/>
      <c r="X219" s="107"/>
      <c r="Y219" s="107"/>
      <c r="Z219" s="107"/>
      <c r="AA219" s="107"/>
      <c r="AB219" s="107"/>
      <c r="AC219" s="107"/>
      <c r="AD219" s="107"/>
      <c r="AE219" s="107"/>
      <c r="AF219" s="107"/>
      <c r="AG219" s="107"/>
      <c r="AH219" s="107"/>
      <c r="AI219" s="107"/>
      <c r="AJ219" s="108"/>
      <c r="AK219" s="61"/>
      <c r="AL219" s="61"/>
      <c r="AM219" s="106" t="str">
        <f>IF([1]回答表!AD45="○",[1]回答表!B356,"")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IF([1]回答表!X46="○","○","")</f>
        <v/>
      </c>
      <c r="O231" s="98"/>
      <c r="P231" s="98"/>
      <c r="Q231" s="99"/>
      <c r="R231" s="39"/>
      <c r="S231" s="39"/>
      <c r="T231" s="39"/>
      <c r="U231" s="106" t="str">
        <f>IF([1]回答表!X46="○",[1]回答表!B368,IF([1]回答表!AA46="○",[1]回答表!B382,""))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IF([1]回答表!X46="○",[1]回答表!BC375,IF([1]回答表!AA46="○",[1]回答表!BC389,""))</f>
        <v/>
      </c>
      <c r="AR231" s="150"/>
      <c r="AS231" s="150"/>
      <c r="AT231" s="150"/>
      <c r="AU231" s="155" t="s">
        <v>63</v>
      </c>
      <c r="AV231" s="156"/>
      <c r="AW231" s="156"/>
      <c r="AX231" s="157"/>
      <c r="AY231" s="150" t="str">
        <f>IF([1]回答表!X46="○",[1]回答表!BC380,IF([1]回答表!AA46="○",[1]回答表!BC394,""))</f>
        <v/>
      </c>
      <c r="AZ231" s="150"/>
      <c r="BA231" s="150"/>
      <c r="BB231" s="150"/>
      <c r="BC231" s="40"/>
      <c r="BD231" s="35"/>
      <c r="BE231" s="115" t="str">
        <f>IF([1]回答表!X46="○",[1]回答表!S374,IF([1]回答表!AA46="○",[1]回答表!S388,""))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IF([1]回答表!X46="○",[1]回答表!BC376,IF([1]回答表!AA46="○",[1]回答表!BC390,""))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IF([1]回答表!X46="○",[1]回答表!V374,IF([1]回答表!AA46="○",[1]回答表!V388,""))</f>
        <v/>
      </c>
      <c r="BF234" s="83"/>
      <c r="BG234" s="83"/>
      <c r="BH234" s="83"/>
      <c r="BI234" s="82" t="str">
        <f>IF([1]回答表!X46="○",[1]回答表!V375,IF([1]回答表!AA46="○",[1]回答表!V389,""))</f>
        <v/>
      </c>
      <c r="BJ234" s="83"/>
      <c r="BK234" s="83"/>
      <c r="BL234" s="86"/>
      <c r="BM234" s="82" t="str">
        <f>IF([1]回答表!X46="○",[1]回答表!V376,IF([1]回答表!AA46="○",[1]回答表!V390,""))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IF([1]回答表!X46="○",[1]回答表!BC377,IF([1]回答表!AA46="○",[1]回答表!BC391,""))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IF([1]回答表!X46="○",[1]回答表!BC381,IF([1]回答表!AA46="○",[1]回答表!BC395,""))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IF([1]回答表!X46="○",[1]回答表!BC378,IF([1]回答表!AA46="○",[1]回答表!BC392,""))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IF([1]回答表!X46="○",[1]回答表!BC379,IF([1]回答表!AA46="○",[1]回答表!BC393,""))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IF([1]回答表!AD46="○","○","")</f>
        <v/>
      </c>
      <c r="O243" s="98"/>
      <c r="P243" s="98"/>
      <c r="Q243" s="99"/>
      <c r="R243" s="39"/>
      <c r="S243" s="39"/>
      <c r="T243" s="39"/>
      <c r="U243" s="106" t="str">
        <f>IF([1]回答表!AD46="○",[1]回答表!B396,"")</f>
        <v/>
      </c>
      <c r="V243" s="107"/>
      <c r="W243" s="107"/>
      <c r="X243" s="107"/>
      <c r="Y243" s="107"/>
      <c r="Z243" s="107"/>
      <c r="AA243" s="107"/>
      <c r="AB243" s="107"/>
      <c r="AC243" s="107"/>
      <c r="AD243" s="107"/>
      <c r="AE243" s="107"/>
      <c r="AF243" s="107"/>
      <c r="AG243" s="107"/>
      <c r="AH243" s="107"/>
      <c r="AI243" s="107"/>
      <c r="AJ243" s="108"/>
      <c r="AK243" s="56"/>
      <c r="AL243" s="56"/>
      <c r="AM243" s="106" t="str">
        <f>IF([1]回答表!AD46="○",[1]回答表!B402,"")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IF([1]回答表!X47="○","○","")</f>
        <v/>
      </c>
      <c r="O254" s="98"/>
      <c r="P254" s="98"/>
      <c r="Q254" s="99"/>
      <c r="R254" s="39"/>
      <c r="S254" s="39"/>
      <c r="T254" s="39"/>
      <c r="U254" s="106" t="str">
        <f>IF([1]回答表!X47="○",[1]回答表!B414,IF([1]回答表!AA47="○",[1]回答表!B431,""))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IF([1]回答表!X47="○",[1]回答表!B424,IF([1]回答表!AA47="○",[1]回答表!B441,""))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IF([1]回答表!X47="○",[1]回答表!G420,IF([1]回答表!AA47="○",[1]回答表!G437,""))</f>
        <v/>
      </c>
      <c r="AN256" s="119"/>
      <c r="AO256" s="119"/>
      <c r="AP256" s="119"/>
      <c r="AQ256" s="119"/>
      <c r="AR256" s="119"/>
      <c r="AS256" s="119"/>
      <c r="AT256" s="120"/>
      <c r="AU256" s="118" t="str">
        <f>IF([1]回答表!X47="○",[1]回答表!G421,IF([1]回答表!AA47="○",[1]回答表!G438,""))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IF([1]回答表!X47="○",[1]回答表!E424,IF([1]回答表!AA47="○",[1]回答表!E441,""))</f>
        <v/>
      </c>
      <c r="BF257" s="83"/>
      <c r="BG257" s="83"/>
      <c r="BH257" s="83"/>
      <c r="BI257" s="82" t="str">
        <f>IF([1]回答表!X47="○",[1]回答表!E425,IF([1]回答表!AA47="○",[1]回答表!E442,""))</f>
        <v/>
      </c>
      <c r="BJ257" s="83"/>
      <c r="BK257" s="83"/>
      <c r="BL257" s="86"/>
      <c r="BM257" s="82" t="str">
        <f>IF([1]回答表!X47="○",[1]回答表!E426,IF([1]回答表!AA47="○",[1]回答表!E443,""))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IF([1]回答表!AD47="○","○","")</f>
        <v/>
      </c>
      <c r="O266" s="98"/>
      <c r="P266" s="98"/>
      <c r="Q266" s="99"/>
      <c r="R266" s="39"/>
      <c r="S266" s="39"/>
      <c r="T266" s="39"/>
      <c r="U266" s="106" t="str">
        <f>IF([1]回答表!AD47="○",[1]回答表!B448,"")</f>
        <v/>
      </c>
      <c r="V266" s="107"/>
      <c r="W266" s="107"/>
      <c r="X266" s="107"/>
      <c r="Y266" s="107"/>
      <c r="Z266" s="107"/>
      <c r="AA266" s="107"/>
      <c r="AB266" s="107"/>
      <c r="AC266" s="107"/>
      <c r="AD266" s="107"/>
      <c r="AE266" s="107"/>
      <c r="AF266" s="107"/>
      <c r="AG266" s="107"/>
      <c r="AH266" s="107"/>
      <c r="AI266" s="107"/>
      <c r="AJ266" s="108"/>
      <c r="AK266" s="50"/>
      <c r="AL266" s="50"/>
      <c r="AM266" s="106" t="str">
        <f>IF([1]回答表!AD47="○",[1]回答表!B454,"")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IF([1]回答表!R48="○",[1]回答表!B467,"")</f>
        <v>現在のところ、民営化する予定はないため、現行の体制を維持することが望ましいと考える。
ガス小売全面自由化により当市供給区域内に参入する小売り事業者の予定は今のところないが、今後参入の動きがあった場合、価格競争に対抗できるような料金設定を検討していかなければならない。</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BE207:BH209"/>
    <mergeCell ref="BI207:BL209"/>
    <mergeCell ref="BM207:BP209"/>
    <mergeCell ref="BI135:BL137"/>
    <mergeCell ref="BM135:BP137"/>
    <mergeCell ref="C275:BQ277"/>
    <mergeCell ref="D279:BP297"/>
    <mergeCell ref="BE87:BH89"/>
    <mergeCell ref="BI87:BL89"/>
    <mergeCell ref="BM87:BP89"/>
    <mergeCell ref="BE90:BH93"/>
    <mergeCell ref="D52:M55"/>
    <mergeCell ref="N52:Q55"/>
    <mergeCell ref="U52:AJ55"/>
    <mergeCell ref="AM52:BP55"/>
    <mergeCell ref="BI36:BL38"/>
    <mergeCell ref="BM36:BP38"/>
    <mergeCell ref="AM38:AT40"/>
    <mergeCell ref="AU38:BB40"/>
    <mergeCell ref="BE214:BH216"/>
    <mergeCell ref="BI214:BL216"/>
    <mergeCell ref="BM214:BP216"/>
    <mergeCell ref="BE210:BH213"/>
    <mergeCell ref="BI210:BL213"/>
    <mergeCell ref="BM210:BP213"/>
    <mergeCell ref="BI111:BL113"/>
    <mergeCell ref="BM111:BP113"/>
    <mergeCell ref="BI114:BL117"/>
    <mergeCell ref="BM114:BP117"/>
    <mergeCell ref="BI118:BL120"/>
    <mergeCell ref="BM118:BP120"/>
    <mergeCell ref="BE135:BH137"/>
    <mergeCell ref="BI90:BL93"/>
    <mergeCell ref="BM90:BP93"/>
    <mergeCell ref="BE94:BH96"/>
    <mergeCell ref="D36:M39"/>
    <mergeCell ref="N36:Q39"/>
    <mergeCell ref="U36:AJ47"/>
    <mergeCell ref="AM36:AT37"/>
    <mergeCell ref="BF8:BP10"/>
    <mergeCell ref="BF11:BP13"/>
    <mergeCell ref="AM24:AS26"/>
    <mergeCell ref="AT24:AZ26"/>
    <mergeCell ref="U8:AN10"/>
    <mergeCell ref="U11:AN13"/>
    <mergeCell ref="D24:J26"/>
    <mergeCell ref="K24:Q26"/>
    <mergeCell ref="D18:AZ19"/>
    <mergeCell ref="D20:J23"/>
    <mergeCell ref="K20:Q23"/>
    <mergeCell ref="R20:X23"/>
    <mergeCell ref="Y20:AZ22"/>
    <mergeCell ref="D32:Q33"/>
    <mergeCell ref="R32:BB33"/>
    <mergeCell ref="BM39:BP42"/>
    <mergeCell ref="BM43:BP45"/>
    <mergeCell ref="C8:T10"/>
    <mergeCell ref="D44:M47"/>
    <mergeCell ref="N44:Q47"/>
    <mergeCell ref="BE39:BH42"/>
    <mergeCell ref="BI39:BL42"/>
    <mergeCell ref="BE43:BH45"/>
    <mergeCell ref="BI43:BL45"/>
    <mergeCell ref="AO44:BB44"/>
    <mergeCell ref="AO45:BB45"/>
    <mergeCell ref="AO46:BB46"/>
    <mergeCell ref="R24:X26"/>
    <mergeCell ref="Y24:AE26"/>
    <mergeCell ref="AF24:AL26"/>
    <mergeCell ref="BB20:BJ23"/>
    <mergeCell ref="BB24:BJ26"/>
    <mergeCell ref="AU36:BB37"/>
    <mergeCell ref="BE36:BH38"/>
    <mergeCell ref="AO11:BE13"/>
    <mergeCell ref="AO8:BE10"/>
    <mergeCell ref="AR31:BB31"/>
    <mergeCell ref="Y23:AE23"/>
    <mergeCell ref="AF23:AL23"/>
    <mergeCell ref="AM23:AS23"/>
    <mergeCell ref="AT23:AZ23"/>
    <mergeCell ref="D59:Q60"/>
    <mergeCell ref="R59:BB60"/>
    <mergeCell ref="D63:M66"/>
    <mergeCell ref="N63:Q66"/>
    <mergeCell ref="U63:AJ72"/>
    <mergeCell ref="AM63:AT65"/>
    <mergeCell ref="AU63:BB65"/>
    <mergeCell ref="D69:M72"/>
    <mergeCell ref="N69:Q72"/>
    <mergeCell ref="BI63:BL65"/>
    <mergeCell ref="BM63:BP65"/>
    <mergeCell ref="AM66:AT68"/>
    <mergeCell ref="AU66:BB68"/>
    <mergeCell ref="BE66:BH69"/>
    <mergeCell ref="AO47:BB47"/>
    <mergeCell ref="AO48:BB48"/>
    <mergeCell ref="AM42:AN42"/>
    <mergeCell ref="AM43:AN43"/>
    <mergeCell ref="AM44:AN44"/>
    <mergeCell ref="AM45:AN45"/>
    <mergeCell ref="AO42:BB42"/>
    <mergeCell ref="AO43:BB43"/>
    <mergeCell ref="AM46:AN46"/>
    <mergeCell ref="AM47:AN47"/>
    <mergeCell ref="AR58:BB58"/>
    <mergeCell ref="BI66:BL69"/>
    <mergeCell ref="BM66:BP69"/>
    <mergeCell ref="BE70:BH72"/>
    <mergeCell ref="BI70:BL72"/>
    <mergeCell ref="BM70:BP72"/>
    <mergeCell ref="D87:M90"/>
    <mergeCell ref="N87:Q90"/>
    <mergeCell ref="U87:AB88"/>
    <mergeCell ref="AC87:AJ88"/>
    <mergeCell ref="AM87:BB96"/>
    <mergeCell ref="D75:M78"/>
    <mergeCell ref="N75:Q78"/>
    <mergeCell ref="U75:AJ78"/>
    <mergeCell ref="AM75:BP78"/>
    <mergeCell ref="BI94:BL96"/>
    <mergeCell ref="BM94:BP96"/>
    <mergeCell ref="AR81:BB82"/>
    <mergeCell ref="BE138:BH141"/>
    <mergeCell ref="BI138:BL141"/>
    <mergeCell ref="BM138:BP141"/>
    <mergeCell ref="U140:AB141"/>
    <mergeCell ref="AC140:AJ141"/>
    <mergeCell ref="D93:M96"/>
    <mergeCell ref="N93:Q96"/>
    <mergeCell ref="U94:AB96"/>
    <mergeCell ref="AC94:AJ96"/>
    <mergeCell ref="U92:AB93"/>
    <mergeCell ref="AC92:AJ93"/>
    <mergeCell ref="AR129:BB130"/>
    <mergeCell ref="D131:Q132"/>
    <mergeCell ref="R131:BB132"/>
    <mergeCell ref="D135:M138"/>
    <mergeCell ref="N135:Q138"/>
    <mergeCell ref="U135:AB136"/>
    <mergeCell ref="AC135:AJ136"/>
    <mergeCell ref="AM135:BB144"/>
    <mergeCell ref="D141:M144"/>
    <mergeCell ref="N141:Q144"/>
    <mergeCell ref="U137:AB139"/>
    <mergeCell ref="AC137:AJ139"/>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D195:M198"/>
    <mergeCell ref="N195:Q198"/>
    <mergeCell ref="U195:AJ198"/>
    <mergeCell ref="AM195:BP198"/>
    <mergeCell ref="BI183:BL185"/>
    <mergeCell ref="BM183:BP185"/>
    <mergeCell ref="BE183:BH185"/>
    <mergeCell ref="D189:M192"/>
    <mergeCell ref="N189:Q192"/>
    <mergeCell ref="BE190:BH192"/>
    <mergeCell ref="BI190:BL192"/>
    <mergeCell ref="BM190:BP192"/>
    <mergeCell ref="AM186:AT188"/>
    <mergeCell ref="AU186:BB188"/>
    <mergeCell ref="BE186:BH189"/>
    <mergeCell ref="BI186:BL189"/>
    <mergeCell ref="BM186:BP189"/>
    <mergeCell ref="D183:M186"/>
    <mergeCell ref="N183:Q186"/>
    <mergeCell ref="U183:AJ192"/>
    <mergeCell ref="AM183:AT185"/>
    <mergeCell ref="AU183:BB185"/>
    <mergeCell ref="D266:M269"/>
    <mergeCell ref="N266:Q269"/>
    <mergeCell ref="U266:AJ269"/>
    <mergeCell ref="AM266:BP269"/>
    <mergeCell ref="BE254:BH256"/>
    <mergeCell ref="BI254:BL256"/>
    <mergeCell ref="AY231:BB235"/>
    <mergeCell ref="BE231:BH233"/>
    <mergeCell ref="BI231:BL233"/>
    <mergeCell ref="BM231:BP233"/>
    <mergeCell ref="AM233:AP234"/>
    <mergeCell ref="AQ233:AT234"/>
    <mergeCell ref="BE234:BH237"/>
    <mergeCell ref="BI234:BL237"/>
    <mergeCell ref="BM234:BP237"/>
    <mergeCell ref="AM235:AP236"/>
    <mergeCell ref="N231:Q234"/>
    <mergeCell ref="U231:AJ240"/>
    <mergeCell ref="AM231:AP232"/>
    <mergeCell ref="AQ231:AT232"/>
    <mergeCell ref="AU231:AX235"/>
    <mergeCell ref="AQ235:AT236"/>
    <mergeCell ref="AU236:AX240"/>
    <mergeCell ref="BM254:BP256"/>
    <mergeCell ref="AM256:AT258"/>
    <mergeCell ref="AU256:BB258"/>
    <mergeCell ref="BE257:BH260"/>
    <mergeCell ref="BI257:BL260"/>
    <mergeCell ref="BM257:BP260"/>
    <mergeCell ref="C11:T13"/>
    <mergeCell ref="BE261:BH263"/>
    <mergeCell ref="BI261:BL263"/>
    <mergeCell ref="BM261:BP263"/>
    <mergeCell ref="D219:M222"/>
    <mergeCell ref="N219:Q222"/>
    <mergeCell ref="U219:AJ222"/>
    <mergeCell ref="AM219:BP222"/>
    <mergeCell ref="AR225:BB226"/>
    <mergeCell ref="D227:Q228"/>
    <mergeCell ref="R227:BB228"/>
    <mergeCell ref="D213:M216"/>
    <mergeCell ref="N213:Q216"/>
    <mergeCell ref="AR201:BB202"/>
    <mergeCell ref="D203:Q204"/>
    <mergeCell ref="R203:BB204"/>
    <mergeCell ref="D207:M210"/>
    <mergeCell ref="N207:Q210"/>
    <mergeCell ref="AR249:BB249"/>
    <mergeCell ref="D250:Q251"/>
    <mergeCell ref="R250:BB251"/>
    <mergeCell ref="D254:M257"/>
    <mergeCell ref="N254:Q257"/>
    <mergeCell ref="U254:AJ263"/>
    <mergeCell ref="AM254:AT255"/>
    <mergeCell ref="AU254:BB255"/>
    <mergeCell ref="D260:M263"/>
    <mergeCell ref="N260:Q263"/>
    <mergeCell ref="D117:M120"/>
    <mergeCell ref="N117:Q120"/>
    <mergeCell ref="BE118:BH120"/>
    <mergeCell ref="D243:M246"/>
    <mergeCell ref="N243:Q246"/>
    <mergeCell ref="U243:AJ246"/>
    <mergeCell ref="AM243:BP246"/>
    <mergeCell ref="AY236:BB240"/>
    <mergeCell ref="D237:M240"/>
    <mergeCell ref="N237:Q240"/>
    <mergeCell ref="AM237:AP238"/>
    <mergeCell ref="AQ237:AT238"/>
    <mergeCell ref="BE238:BH240"/>
    <mergeCell ref="BI238:BL240"/>
    <mergeCell ref="AM239:AP240"/>
    <mergeCell ref="AQ239:AT240"/>
    <mergeCell ref="D123:M126"/>
    <mergeCell ref="N123:Q126"/>
    <mergeCell ref="U123:AJ126"/>
    <mergeCell ref="AM123:BP126"/>
    <mergeCell ref="BM238:BP240"/>
    <mergeCell ref="D231:M234"/>
    <mergeCell ref="U207:AJ216"/>
    <mergeCell ref="AN207:BB216"/>
    <mergeCell ref="AM48:AN48"/>
    <mergeCell ref="U111:AJ112"/>
    <mergeCell ref="U116:AJ117"/>
    <mergeCell ref="U118:AJ120"/>
    <mergeCell ref="U113:AJ115"/>
    <mergeCell ref="AR105:BB106"/>
    <mergeCell ref="AM111:BB120"/>
    <mergeCell ref="BE111:BH113"/>
    <mergeCell ref="BE114:BH117"/>
    <mergeCell ref="U89:AB91"/>
    <mergeCell ref="AC89:AJ91"/>
    <mergeCell ref="BE63:BH65"/>
    <mergeCell ref="D83:Q84"/>
    <mergeCell ref="R83:BB84"/>
    <mergeCell ref="D107:Q108"/>
    <mergeCell ref="R107:BB108"/>
    <mergeCell ref="D111:M114"/>
    <mergeCell ref="N111:Q114"/>
    <mergeCell ref="D99:M102"/>
    <mergeCell ref="N99:Q102"/>
    <mergeCell ref="U99:AJ102"/>
    <mergeCell ref="AM99:BP102"/>
  </mergeCells>
  <phoneticPr fontId="2"/>
  <conditionalFormatting sqref="A29:XFD30 A28:BI28 BR28:XFD28">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D11E-2647-4F90-9A06-B0C0FCCACC9A}">
  <sheetPr>
    <pageSetUpPr fitToPage="1"/>
  </sheetPr>
  <dimension ref="A1:CE298"/>
  <sheetViews>
    <sheetView showZeros="0" zoomScale="55" zoomScaleNormal="55" workbookViewId="0">
      <selection activeCell="BS47" sqref="BS47"/>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IF(COUNTIF([5]回答表!K15,"*")&gt;0,[5]回答表!K15,"")</f>
        <v>由利本荘市</v>
      </c>
      <c r="D11" s="246"/>
      <c r="E11" s="246"/>
      <c r="F11" s="246"/>
      <c r="G11" s="246"/>
      <c r="H11" s="246"/>
      <c r="I11" s="246"/>
      <c r="J11" s="246"/>
      <c r="K11" s="246"/>
      <c r="L11" s="246"/>
      <c r="M11" s="246"/>
      <c r="N11" s="246"/>
      <c r="O11" s="246"/>
      <c r="P11" s="246"/>
      <c r="Q11" s="246"/>
      <c r="R11" s="246"/>
      <c r="S11" s="246"/>
      <c r="T11" s="246"/>
      <c r="U11" s="253" t="str">
        <f>IF(COUNTIF([5]回答表!F17,"*")&gt;0,[5]回答表!F17,"")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IF(COUNTIF([5]回答表!W17,"*")&gt;0,[5]回答表!W17,"")</f>
        <v>公共下水道</v>
      </c>
      <c r="AP11" s="248"/>
      <c r="AQ11" s="248"/>
      <c r="AR11" s="248"/>
      <c r="AS11" s="248"/>
      <c r="AT11" s="248"/>
      <c r="AU11" s="248"/>
      <c r="AV11" s="248"/>
      <c r="AW11" s="248"/>
      <c r="AX11" s="248"/>
      <c r="AY11" s="248"/>
      <c r="AZ11" s="248"/>
      <c r="BA11" s="248"/>
      <c r="BB11" s="248"/>
      <c r="BC11" s="248"/>
      <c r="BD11" s="248"/>
      <c r="BE11" s="249"/>
      <c r="BF11" s="252" t="str">
        <f>IF(COUNTIF([5]回答表!F19,"*")&gt;0,[5]回答表!F19,"")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IF([5]回答表!R41="○","○","")</f>
        <v/>
      </c>
      <c r="E24" s="122"/>
      <c r="F24" s="122"/>
      <c r="G24" s="122"/>
      <c r="H24" s="122"/>
      <c r="I24" s="122"/>
      <c r="J24" s="123"/>
      <c r="K24" s="121" t="str">
        <f>IF([5]回答表!R42="○","○","")</f>
        <v/>
      </c>
      <c r="L24" s="122"/>
      <c r="M24" s="122"/>
      <c r="N24" s="122"/>
      <c r="O24" s="122"/>
      <c r="P24" s="122"/>
      <c r="Q24" s="123"/>
      <c r="R24" s="121" t="str">
        <f>IF([5]回答表!R43="○","○","")</f>
        <v>○</v>
      </c>
      <c r="S24" s="122"/>
      <c r="T24" s="122"/>
      <c r="U24" s="122"/>
      <c r="V24" s="122"/>
      <c r="W24" s="122"/>
      <c r="X24" s="123"/>
      <c r="Y24" s="121" t="str">
        <f>IF([5]回答表!R44="○","○","")</f>
        <v/>
      </c>
      <c r="Z24" s="122"/>
      <c r="AA24" s="122"/>
      <c r="AB24" s="122"/>
      <c r="AC24" s="122"/>
      <c r="AD24" s="122"/>
      <c r="AE24" s="123"/>
      <c r="AF24" s="121" t="str">
        <f>IF([5]回答表!R45="○","○","")</f>
        <v/>
      </c>
      <c r="AG24" s="122"/>
      <c r="AH24" s="122"/>
      <c r="AI24" s="122"/>
      <c r="AJ24" s="122"/>
      <c r="AK24" s="122"/>
      <c r="AL24" s="123"/>
      <c r="AM24" s="121" t="str">
        <f>IF([5]回答表!R46="○","○","")</f>
        <v/>
      </c>
      <c r="AN24" s="122"/>
      <c r="AO24" s="122"/>
      <c r="AP24" s="122"/>
      <c r="AQ24" s="122"/>
      <c r="AR24" s="122"/>
      <c r="AS24" s="123"/>
      <c r="AT24" s="121" t="str">
        <f>IF([5]回答表!R47="○","○","")</f>
        <v/>
      </c>
      <c r="AU24" s="122"/>
      <c r="AV24" s="122"/>
      <c r="AW24" s="122"/>
      <c r="AX24" s="122"/>
      <c r="AY24" s="122"/>
      <c r="AZ24" s="123"/>
      <c r="BA24" s="19"/>
      <c r="BB24" s="118" t="str">
        <f>IF([5]回答表!R48="○","○","")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IF([5]回答表!X41="○","○","")</f>
        <v/>
      </c>
      <c r="O36" s="98"/>
      <c r="P36" s="98"/>
      <c r="Q36" s="99"/>
      <c r="R36" s="39"/>
      <c r="S36" s="39"/>
      <c r="T36" s="39"/>
      <c r="U36" s="106" t="str">
        <f>IF([5]回答表!X41="○",[5]回答表!B56,IF([5]回答表!AA41="○",[5]回答表!B76,""))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IF([5]回答表!X41="○",[5]回答表!S62,IF([5]回答表!AA41="○",[5]回答表!S82,""))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IF([5]回答表!X41="○",[5]回答表!G62,IF([5]回答表!AA41="○",[5]回答表!G82,""))</f>
        <v/>
      </c>
      <c r="AN38" s="119"/>
      <c r="AO38" s="119"/>
      <c r="AP38" s="119"/>
      <c r="AQ38" s="119"/>
      <c r="AR38" s="119"/>
      <c r="AS38" s="119"/>
      <c r="AT38" s="120"/>
      <c r="AU38" s="118" t="str">
        <f>IF([5]回答表!X41="○",[5]回答表!G63,IF([5]回答表!AA41="○",[5]回答表!G83,""))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IF([5]回答表!X41="○",[5]回答表!V62,IF([5]回答表!AA41="○",[5]回答表!V82,""))</f>
        <v/>
      </c>
      <c r="BF39" s="199"/>
      <c r="BG39" s="199"/>
      <c r="BH39" s="200"/>
      <c r="BI39" s="82" t="str">
        <f>IF([5]回答表!X41="○",[5]回答表!V63,IF([5]回答表!AA41="○",[5]回答表!V83,""))</f>
        <v/>
      </c>
      <c r="BJ39" s="199"/>
      <c r="BK39" s="199"/>
      <c r="BL39" s="200"/>
      <c r="BM39" s="82" t="str">
        <f>IF([5]回答表!X41="○",[5]回答表!V64,IF([5]回答表!AA41="○",[5]回答表!V84,""))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IF([5]回答表!X41="○",[5]回答表!O68,IF([5]回答表!AA41="○",[5]回答表!O88,""))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IF([5]回答表!X41="○",[5]回答表!O69,IF([5]回答表!AA41="○",[5]回答表!O89,""))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IF([5]回答表!AA41="○","○","")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IF([5]回答表!X41="○",[5]回答表!O70,IF([5]回答表!AA41="○",[5]回答表!O90,""))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IF([5]回答表!X41="○",[5]回答表!O71,IF([5]回答表!AA41="○",[5]回答表!O91,""))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IF([5]回答表!X41="○",[5]回答表!AG68,IF([5]回答表!AA41="○",[5]回答表!AG88,""))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IF([5]回答表!X41="○",[5]回答表!AG69,IF([5]回答表!AA41="○",[5]回答表!AG89,""))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IF([5]回答表!X41="○",[5]回答表!AG70,IF([5]回答表!AA41="○",[5]回答表!AG90,""))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IF([5]回答表!AD41="○","○","")</f>
        <v/>
      </c>
      <c r="O52" s="98"/>
      <c r="P52" s="98"/>
      <c r="Q52" s="99"/>
      <c r="R52" s="39"/>
      <c r="S52" s="39"/>
      <c r="T52" s="39"/>
      <c r="U52" s="106" t="str">
        <f>IF([5]回答表!AD41="○",[5]回答表!B96,"")</f>
        <v/>
      </c>
      <c r="V52" s="107"/>
      <c r="W52" s="107"/>
      <c r="X52" s="107"/>
      <c r="Y52" s="107"/>
      <c r="Z52" s="107"/>
      <c r="AA52" s="107"/>
      <c r="AB52" s="107"/>
      <c r="AC52" s="107"/>
      <c r="AD52" s="107"/>
      <c r="AE52" s="107"/>
      <c r="AF52" s="107"/>
      <c r="AG52" s="107"/>
      <c r="AH52" s="107"/>
      <c r="AI52" s="107"/>
      <c r="AJ52" s="108"/>
      <c r="AK52" s="56"/>
      <c r="AL52" s="56"/>
      <c r="AM52" s="106" t="str">
        <f>IF([5]回答表!AD41="○",[5]回答表!B101,"")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IF([5]回答表!X42="○","○","")</f>
        <v/>
      </c>
      <c r="O63" s="98"/>
      <c r="P63" s="98"/>
      <c r="Q63" s="99"/>
      <c r="R63" s="39"/>
      <c r="S63" s="39"/>
      <c r="T63" s="39"/>
      <c r="U63" s="106" t="str">
        <f>IF([5]回答表!X42="○",[5]回答表!B111,IF([5]回答表!AA42="○",[5]回答表!B124,""))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IF([5]回答表!X42="○",[5]回答表!S117,IF([5]回答表!AA42="○",[5]回答表!S130,""))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IF([5]回答表!X42="○",[5]回答表!J117,IF([5]回答表!AA42="○",[5]回答表!J130,""))</f>
        <v/>
      </c>
      <c r="AN66" s="119"/>
      <c r="AO66" s="119"/>
      <c r="AP66" s="119"/>
      <c r="AQ66" s="119"/>
      <c r="AR66" s="119"/>
      <c r="AS66" s="119"/>
      <c r="AT66" s="120"/>
      <c r="AU66" s="118" t="str">
        <f>IF([5]回答表!X42="○",[5]回答表!J118,IF([5]回答表!AA42="○",[5]回答表!J131,""))</f>
        <v/>
      </c>
      <c r="AV66" s="119"/>
      <c r="AW66" s="119"/>
      <c r="AX66" s="119"/>
      <c r="AY66" s="119"/>
      <c r="AZ66" s="119"/>
      <c r="BA66" s="119"/>
      <c r="BB66" s="120"/>
      <c r="BC66" s="40"/>
      <c r="BD66" s="35"/>
      <c r="BE66" s="82" t="str">
        <f>IF([5]回答表!X42="○",[5]回答表!V117,IF([5]回答表!AA42="○",[5]回答表!V130,""))</f>
        <v/>
      </c>
      <c r="BF66" s="83"/>
      <c r="BG66" s="83"/>
      <c r="BH66" s="83"/>
      <c r="BI66" s="82" t="str">
        <f>IF([5]回答表!X42="○",[5]回答表!V118,IF([5]回答表!AA42="○",[5]回答表!V131,""))</f>
        <v/>
      </c>
      <c r="BJ66" s="83"/>
      <c r="BK66" s="83"/>
      <c r="BL66" s="83"/>
      <c r="BM66" s="82" t="str">
        <f>IF([5]回答表!X42="○",[5]回答表!V119,IF([5]回答表!AA42="○",[5]回答表!V132,""))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IF([5]回答表!AA42="○","○","")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IF([5]回答表!AD42="○","○","")</f>
        <v/>
      </c>
      <c r="O75" s="98"/>
      <c r="P75" s="98"/>
      <c r="Q75" s="99"/>
      <c r="R75" s="39"/>
      <c r="S75" s="39"/>
      <c r="T75" s="39"/>
      <c r="U75" s="106" t="str">
        <f>IF([5]回答表!AD42="○",[5]回答表!B137,"")</f>
        <v/>
      </c>
      <c r="V75" s="107"/>
      <c r="W75" s="107"/>
      <c r="X75" s="107"/>
      <c r="Y75" s="107"/>
      <c r="Z75" s="107"/>
      <c r="AA75" s="107"/>
      <c r="AB75" s="107"/>
      <c r="AC75" s="107"/>
      <c r="AD75" s="107"/>
      <c r="AE75" s="107"/>
      <c r="AF75" s="107"/>
      <c r="AG75" s="107"/>
      <c r="AH75" s="107"/>
      <c r="AI75" s="107"/>
      <c r="AJ75" s="108"/>
      <c r="AK75" s="56"/>
      <c r="AL75" s="56"/>
      <c r="AM75" s="106" t="str">
        <f>IF([5]回答表!AD42="○",[5]回答表!B143,"")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IF([5]回答表!F17="水道事業",IF([5]回答表!X43="○","○",""),"")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IF([5]回答表!F17="水道事業",IF([5]回答表!X43="○",[5]回答表!B154,IF([5]回答表!AA43="○",[5]回答表!B201,"")),"")</f>
        <v/>
      </c>
      <c r="AN87" s="107"/>
      <c r="AO87" s="107"/>
      <c r="AP87" s="107"/>
      <c r="AQ87" s="107"/>
      <c r="AR87" s="107"/>
      <c r="AS87" s="107"/>
      <c r="AT87" s="107"/>
      <c r="AU87" s="107"/>
      <c r="AV87" s="107"/>
      <c r="AW87" s="107"/>
      <c r="AX87" s="107"/>
      <c r="AY87" s="107"/>
      <c r="AZ87" s="107"/>
      <c r="BA87" s="107"/>
      <c r="BB87" s="108"/>
      <c r="BC87" s="40"/>
      <c r="BD87" s="35"/>
      <c r="BE87" s="115" t="str">
        <f>IF([5]回答表!F17="水道事業",IF([5]回答表!X43="○",[5]回答表!B190,IF([5]回答表!AA43="○",[5]回答表!B238,"")),"")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IF([5]回答表!F17="水道事業",IF([5]回答表!X43="○",[5]回答表!J162,IF([5]回答表!AA43="○",[5]回答表!J209,"")),"")</f>
        <v/>
      </c>
      <c r="V89" s="119"/>
      <c r="W89" s="119"/>
      <c r="X89" s="119"/>
      <c r="Y89" s="119"/>
      <c r="Z89" s="119"/>
      <c r="AA89" s="119"/>
      <c r="AB89" s="120"/>
      <c r="AC89" s="118" t="str">
        <f>IF([5]回答表!F17="水道事業",IF([5]回答表!X43="○",[5]回答表!J169,IF([5]回答表!AA43="○",[5]回答表!J216,"")),"")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IF([5]回答表!F17="水道事業",IF([5]回答表!X43="○",[5]回答表!E190,IF([5]回答表!AA43="○",[5]回答表!E238,"")),"")</f>
        <v/>
      </c>
      <c r="BF90" s="83"/>
      <c r="BG90" s="83"/>
      <c r="BH90" s="83"/>
      <c r="BI90" s="82" t="str">
        <f>IF([5]回答表!F17="水道事業",IF([5]回答表!X43="○",[5]回答表!E191,IF([5]回答表!AA43="○",[5]回答表!E239,"")),"")</f>
        <v/>
      </c>
      <c r="BJ90" s="83"/>
      <c r="BK90" s="83"/>
      <c r="BL90" s="83"/>
      <c r="BM90" s="82" t="str">
        <f>IF([5]回答表!F17="水道事業",IF([5]回答表!X43="○",[5]回答表!E192,IF([5]回答表!AA43="○",[5]回答表!E240,"")),"")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IF([5]回答表!F17="水道事業",IF([5]回答表!AA43="○","○",""),"")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IF([5]回答表!F17="水道事業",IF([5]回答表!X43="○",[5]回答表!J172,IF([5]回答表!AA43="○",[5]回答表!J219,"")),"")</f>
        <v/>
      </c>
      <c r="V94" s="119"/>
      <c r="W94" s="119"/>
      <c r="X94" s="119"/>
      <c r="Y94" s="119"/>
      <c r="Z94" s="119"/>
      <c r="AA94" s="119"/>
      <c r="AB94" s="120"/>
      <c r="AC94" s="118" t="str">
        <f>IF([5]回答表!F17="水道事業",IF([5]回答表!X43="○",[5]回答表!J176,IF([5]回答表!AA43="○",[5]回答表!J223,"")),"")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IF([5]回答表!F17="水道事業",IF([5]回答表!AD43="○","○",""),"")</f>
        <v/>
      </c>
      <c r="O99" s="98"/>
      <c r="P99" s="98"/>
      <c r="Q99" s="99"/>
      <c r="R99" s="39"/>
      <c r="S99" s="39"/>
      <c r="T99" s="39"/>
      <c r="U99" s="106" t="str">
        <f>IF([5]回答表!F17="水道事業",IF([5]回答表!AD43="○",[5]回答表!B249,""),"")</f>
        <v/>
      </c>
      <c r="V99" s="107"/>
      <c r="W99" s="107"/>
      <c r="X99" s="107"/>
      <c r="Y99" s="107"/>
      <c r="Z99" s="107"/>
      <c r="AA99" s="107"/>
      <c r="AB99" s="107"/>
      <c r="AC99" s="107"/>
      <c r="AD99" s="107"/>
      <c r="AE99" s="107"/>
      <c r="AF99" s="107"/>
      <c r="AG99" s="107"/>
      <c r="AH99" s="107"/>
      <c r="AI99" s="107"/>
      <c r="AJ99" s="108"/>
      <c r="AK99" s="56"/>
      <c r="AL99" s="56"/>
      <c r="AM99" s="106" t="str">
        <f>IF([5]回答表!F17="水道事業",IF([5]回答表!AD43="○",[5]回答表!B255,""),"")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IF([5]回答表!F17="簡易水道事業",IF([5]回答表!X43="○","○",""),"")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IF([5]回答表!F17="簡易水道事業",IF([5]回答表!X43="○",[5]回答表!B154,IF([5]回答表!AA43="○",[5]回答表!B201,"")),"")</f>
        <v/>
      </c>
      <c r="AN111" s="107"/>
      <c r="AO111" s="107"/>
      <c r="AP111" s="107"/>
      <c r="AQ111" s="107"/>
      <c r="AR111" s="107"/>
      <c r="AS111" s="107"/>
      <c r="AT111" s="107"/>
      <c r="AU111" s="107"/>
      <c r="AV111" s="107"/>
      <c r="AW111" s="107"/>
      <c r="AX111" s="107"/>
      <c r="AY111" s="107"/>
      <c r="AZ111" s="107"/>
      <c r="BA111" s="107"/>
      <c r="BB111" s="108"/>
      <c r="BC111" s="40"/>
      <c r="BD111" s="35"/>
      <c r="BE111" s="115" t="str">
        <f>IF([5]回答表!F17="簡易水道事業",IF([5]回答表!X43="○",[5]回答表!B190,IF([5]回答表!AA43="○",[5]回答表!B238,"")),"")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IF([5]回答表!F17="簡易水道事業",IF([5]回答表!X43="○",[5]回答表!Y181,IF([5]回答表!AA43="○",[5]回答表!Y229,"")),"")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IF([5]回答表!F17="簡易水道事業",IF([5]回答表!X43="○",[5]回答表!E190,IF([5]回答表!AA43="○",[5]回答表!E238,"")),"")</f>
        <v/>
      </c>
      <c r="BF114" s="83"/>
      <c r="BG114" s="83"/>
      <c r="BH114" s="83"/>
      <c r="BI114" s="82" t="str">
        <f>IF([5]回答表!F17="簡易水道事業",IF([5]回答表!X43="○",[5]回答表!E191,IF([5]回答表!AA43="○",[5]回答表!E239,"")),"")</f>
        <v/>
      </c>
      <c r="BJ114" s="83"/>
      <c r="BK114" s="83"/>
      <c r="BL114" s="83"/>
      <c r="BM114" s="82" t="str">
        <f>IF([5]回答表!F17="簡易水道事業",IF([5]回答表!X43="○",[5]回答表!E192,IF([5]回答表!AA43="○",[5]回答表!E240,"")),"")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IF([5]回答表!F17="簡易水道事業",IF([5]回答表!AA43="○","○",""),"")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IF([5]回答表!F17="簡易水道事業",IF([5]回答表!X43="○",[5]回答表!Y182,IF([5]回答表!AA43="○",[5]回答表!Y230,"")),"")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IF([5]回答表!F17="簡易水道事業",IF([5]回答表!AD43="○","○",""),"")</f>
        <v/>
      </c>
      <c r="O123" s="98"/>
      <c r="P123" s="98"/>
      <c r="Q123" s="99"/>
      <c r="R123" s="39"/>
      <c r="S123" s="39"/>
      <c r="T123" s="39"/>
      <c r="U123" s="106" t="str">
        <f>IF([5]回答表!F17="簡易水道事業",IF([5]回答表!AD43="○",[5]回答表!B249,""),"")</f>
        <v/>
      </c>
      <c r="V123" s="107"/>
      <c r="W123" s="107"/>
      <c r="X123" s="107"/>
      <c r="Y123" s="107"/>
      <c r="Z123" s="107"/>
      <c r="AA123" s="107"/>
      <c r="AB123" s="107"/>
      <c r="AC123" s="107"/>
      <c r="AD123" s="107"/>
      <c r="AE123" s="107"/>
      <c r="AF123" s="107"/>
      <c r="AG123" s="107"/>
      <c r="AH123" s="107"/>
      <c r="AI123" s="107"/>
      <c r="AJ123" s="108"/>
      <c r="AK123" s="56"/>
      <c r="AL123" s="56"/>
      <c r="AM123" s="106" t="str">
        <f>IF([5]回答表!F17="簡易水道事業",IF([5]回答表!AD43="○",[5]回答表!B255,""),"")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IF([5]回答表!F17="下水道事業",IF([5]回答表!X43="○","○",""),"")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260" t="str">
        <f>IF([5]回答表!F17="下水道事業",IF([5]回答表!X43="○",[5]回答表!B154,IF([5]回答表!AA43="○",[5]回答表!B201,"")),"")</f>
        <v>　農業集落排水処理施設を廃止し、公共下水道処理施設に統合する計画で、令和元年度に実施設計を行い、令和2年度に工事を行うこととしている。処理施設数が減ることで維持管理費用が減少すると見込んでいる。</v>
      </c>
      <c r="AN135" s="261"/>
      <c r="AO135" s="261"/>
      <c r="AP135" s="261"/>
      <c r="AQ135" s="261"/>
      <c r="AR135" s="261"/>
      <c r="AS135" s="261"/>
      <c r="AT135" s="261"/>
      <c r="AU135" s="261"/>
      <c r="AV135" s="261"/>
      <c r="AW135" s="261"/>
      <c r="AX135" s="261"/>
      <c r="AY135" s="261"/>
      <c r="AZ135" s="261"/>
      <c r="BA135" s="261"/>
      <c r="BB135" s="262"/>
      <c r="BC135" s="40"/>
      <c r="BD135" s="35"/>
      <c r="BE135" s="115" t="str">
        <f>IF([5]回答表!F17="下水道事業",IF([5]回答表!X43="○",[5]回答表!B190,IF([5]回答表!AA43="○",[5]回答表!B238,"")),"")</f>
        <v>令和</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263"/>
      <c r="AN136" s="264"/>
      <c r="AO136" s="264"/>
      <c r="AP136" s="264"/>
      <c r="AQ136" s="264"/>
      <c r="AR136" s="264"/>
      <c r="AS136" s="264"/>
      <c r="AT136" s="264"/>
      <c r="AU136" s="264"/>
      <c r="AV136" s="264"/>
      <c r="AW136" s="264"/>
      <c r="AX136" s="264"/>
      <c r="AY136" s="264"/>
      <c r="AZ136" s="264"/>
      <c r="BA136" s="264"/>
      <c r="BB136" s="265"/>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IF([5]回答表!F17="下水道事業",IF([5]回答表!X43="○",[5]回答表!Y184,IF([5]回答表!AA43="○",[5]回答表!Y232,"")),"")</f>
        <v>○</v>
      </c>
      <c r="V137" s="119"/>
      <c r="W137" s="119"/>
      <c r="X137" s="119"/>
      <c r="Y137" s="119"/>
      <c r="Z137" s="119"/>
      <c r="AA137" s="119"/>
      <c r="AB137" s="120"/>
      <c r="AC137" s="118">
        <f>IF([5]回答表!F17="下水道事業",IF([5]回答表!X43="○",[5]回答表!Y185,IF([5]回答表!AA43="○",[5]回答表!Y233,"")),"")</f>
        <v>0</v>
      </c>
      <c r="AD137" s="119"/>
      <c r="AE137" s="119"/>
      <c r="AF137" s="119"/>
      <c r="AG137" s="119"/>
      <c r="AH137" s="119"/>
      <c r="AI137" s="119"/>
      <c r="AJ137" s="120"/>
      <c r="AK137" s="50"/>
      <c r="AL137" s="50"/>
      <c r="AM137" s="263"/>
      <c r="AN137" s="264"/>
      <c r="AO137" s="264"/>
      <c r="AP137" s="264"/>
      <c r="AQ137" s="264"/>
      <c r="AR137" s="264"/>
      <c r="AS137" s="264"/>
      <c r="AT137" s="264"/>
      <c r="AU137" s="264"/>
      <c r="AV137" s="264"/>
      <c r="AW137" s="264"/>
      <c r="AX137" s="264"/>
      <c r="AY137" s="264"/>
      <c r="AZ137" s="264"/>
      <c r="BA137" s="264"/>
      <c r="BB137" s="265"/>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263"/>
      <c r="AN138" s="264"/>
      <c r="AO138" s="264"/>
      <c r="AP138" s="264"/>
      <c r="AQ138" s="264"/>
      <c r="AR138" s="264"/>
      <c r="AS138" s="264"/>
      <c r="AT138" s="264"/>
      <c r="AU138" s="264"/>
      <c r="AV138" s="264"/>
      <c r="AW138" s="264"/>
      <c r="AX138" s="264"/>
      <c r="AY138" s="264"/>
      <c r="AZ138" s="264"/>
      <c r="BA138" s="264"/>
      <c r="BB138" s="265"/>
      <c r="BC138" s="40"/>
      <c r="BD138" s="35"/>
      <c r="BE138" s="82">
        <f>IF([5]回答表!F17="下水道事業",IF([5]回答表!X43="○",[5]回答表!E190,IF([5]回答表!AA43="○",[5]回答表!E238,"")),"")</f>
        <v>3</v>
      </c>
      <c r="BF138" s="83"/>
      <c r="BG138" s="83"/>
      <c r="BH138" s="83"/>
      <c r="BI138" s="82">
        <f>IF([5]回答表!F17="下水道事業",IF([5]回答表!X43="○",[5]回答表!E191,IF([5]回答表!AA43="○",[5]回答表!E239,"")),"")</f>
        <v>4</v>
      </c>
      <c r="BJ138" s="83"/>
      <c r="BK138" s="83"/>
      <c r="BL138" s="83"/>
      <c r="BM138" s="82">
        <f>IF([5]回答表!F17="下水道事業",IF([5]回答表!X43="○",[5]回答表!E192,IF([5]回答表!AA43="○",[5]回答表!E240,"")),"")</f>
        <v>1</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263"/>
      <c r="AN139" s="264"/>
      <c r="AO139" s="264"/>
      <c r="AP139" s="264"/>
      <c r="AQ139" s="264"/>
      <c r="AR139" s="264"/>
      <c r="AS139" s="264"/>
      <c r="AT139" s="264"/>
      <c r="AU139" s="264"/>
      <c r="AV139" s="264"/>
      <c r="AW139" s="264"/>
      <c r="AX139" s="264"/>
      <c r="AY139" s="264"/>
      <c r="AZ139" s="264"/>
      <c r="BA139" s="264"/>
      <c r="BB139" s="265"/>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263"/>
      <c r="AN140" s="264"/>
      <c r="AO140" s="264"/>
      <c r="AP140" s="264"/>
      <c r="AQ140" s="264"/>
      <c r="AR140" s="264"/>
      <c r="AS140" s="264"/>
      <c r="AT140" s="264"/>
      <c r="AU140" s="264"/>
      <c r="AV140" s="264"/>
      <c r="AW140" s="264"/>
      <c r="AX140" s="264"/>
      <c r="AY140" s="264"/>
      <c r="AZ140" s="264"/>
      <c r="BA140" s="264"/>
      <c r="BB140" s="265"/>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IF([5]回答表!F17="下水道事業",IF([5]回答表!AA43="○","○",""),"")</f>
        <v>○</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263"/>
      <c r="AN141" s="264"/>
      <c r="AO141" s="264"/>
      <c r="AP141" s="264"/>
      <c r="AQ141" s="264"/>
      <c r="AR141" s="264"/>
      <c r="AS141" s="264"/>
      <c r="AT141" s="264"/>
      <c r="AU141" s="264"/>
      <c r="AV141" s="264"/>
      <c r="AW141" s="264"/>
      <c r="AX141" s="264"/>
      <c r="AY141" s="264"/>
      <c r="AZ141" s="264"/>
      <c r="BA141" s="264"/>
      <c r="BB141" s="265"/>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f>IF([5]回答表!F17="下水道事業",IF([5]回答表!X43="○",[5]回答表!Y186,IF([5]回答表!AA43="○",[5]回答表!Y234,"")),"")</f>
        <v>0</v>
      </c>
      <c r="V142" s="119"/>
      <c r="W142" s="119"/>
      <c r="X142" s="119"/>
      <c r="Y142" s="119"/>
      <c r="Z142" s="119"/>
      <c r="AA142" s="119"/>
      <c r="AB142" s="120"/>
      <c r="AC142" s="118">
        <f>IF([5]回答表!F17="下水道事業",IF([5]回答表!X43="○",[5]回答表!Y187,IF([5]回答表!AA43="○",[5]回答表!Y235,"")),"")</f>
        <v>0</v>
      </c>
      <c r="AD142" s="119"/>
      <c r="AE142" s="119"/>
      <c r="AF142" s="119"/>
      <c r="AG142" s="119"/>
      <c r="AH142" s="119"/>
      <c r="AI142" s="119"/>
      <c r="AJ142" s="120"/>
      <c r="AK142" s="50"/>
      <c r="AL142" s="50"/>
      <c r="AM142" s="263"/>
      <c r="AN142" s="264"/>
      <c r="AO142" s="264"/>
      <c r="AP142" s="264"/>
      <c r="AQ142" s="264"/>
      <c r="AR142" s="264"/>
      <c r="AS142" s="264"/>
      <c r="AT142" s="264"/>
      <c r="AU142" s="264"/>
      <c r="AV142" s="264"/>
      <c r="AW142" s="264"/>
      <c r="AX142" s="264"/>
      <c r="AY142" s="264"/>
      <c r="AZ142" s="264"/>
      <c r="BA142" s="264"/>
      <c r="BB142" s="265"/>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263"/>
      <c r="AN143" s="264"/>
      <c r="AO143" s="264"/>
      <c r="AP143" s="264"/>
      <c r="AQ143" s="264"/>
      <c r="AR143" s="264"/>
      <c r="AS143" s="264"/>
      <c r="AT143" s="264"/>
      <c r="AU143" s="264"/>
      <c r="AV143" s="264"/>
      <c r="AW143" s="264"/>
      <c r="AX143" s="264"/>
      <c r="AY143" s="264"/>
      <c r="AZ143" s="264"/>
      <c r="BA143" s="264"/>
      <c r="BB143" s="265"/>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266"/>
      <c r="AN144" s="267"/>
      <c r="AO144" s="267"/>
      <c r="AP144" s="267"/>
      <c r="AQ144" s="267"/>
      <c r="AR144" s="267"/>
      <c r="AS144" s="267"/>
      <c r="AT144" s="267"/>
      <c r="AU144" s="267"/>
      <c r="AV144" s="267"/>
      <c r="AW144" s="267"/>
      <c r="AX144" s="267"/>
      <c r="AY144" s="267"/>
      <c r="AZ144" s="267"/>
      <c r="BA144" s="267"/>
      <c r="BB144" s="268"/>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IF([5]回答表!F17="下水道事業",IF([5]回答表!AD43="○","○",""),"")</f>
        <v/>
      </c>
      <c r="O147" s="98"/>
      <c r="P147" s="98"/>
      <c r="Q147" s="99"/>
      <c r="R147" s="39"/>
      <c r="S147" s="39"/>
      <c r="T147" s="39"/>
      <c r="U147" s="106" t="str">
        <f>IF([5]回答表!F17="下水道事業",IF([5]回答表!AD43="○",[5]回答表!B249,""),"")</f>
        <v/>
      </c>
      <c r="V147" s="107"/>
      <c r="W147" s="107"/>
      <c r="X147" s="107"/>
      <c r="Y147" s="107"/>
      <c r="Z147" s="107"/>
      <c r="AA147" s="107"/>
      <c r="AB147" s="107"/>
      <c r="AC147" s="107"/>
      <c r="AD147" s="107"/>
      <c r="AE147" s="107"/>
      <c r="AF147" s="107"/>
      <c r="AG147" s="107"/>
      <c r="AH147" s="107"/>
      <c r="AI147" s="107"/>
      <c r="AJ147" s="108"/>
      <c r="AK147" s="56"/>
      <c r="AL147" s="56"/>
      <c r="AM147" s="106" t="str">
        <f>IF([5]回答表!F17="下水道事業",IF([5]回答表!AD43="○",[5]回答表!B255,""),"")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IF([5]回答表!BD17="○",IF([5]回答表!X43="○","○",""),"")</f>
        <v/>
      </c>
      <c r="O159" s="98"/>
      <c r="P159" s="98"/>
      <c r="Q159" s="99"/>
      <c r="R159" s="39"/>
      <c r="S159" s="39"/>
      <c r="T159" s="39"/>
      <c r="U159" s="106" t="str">
        <f>IF([5]回答表!BD17="○",IF([5]回答表!X43="○",[5]回答表!B154,IF([5]回答表!AA43="○",[5]回答表!B201,"")),"")</f>
        <v/>
      </c>
      <c r="V159" s="107"/>
      <c r="W159" s="107"/>
      <c r="X159" s="107"/>
      <c r="Y159" s="107"/>
      <c r="Z159" s="107"/>
      <c r="AA159" s="107"/>
      <c r="AB159" s="107"/>
      <c r="AC159" s="107"/>
      <c r="AD159" s="107"/>
      <c r="AE159" s="107"/>
      <c r="AF159" s="107"/>
      <c r="AG159" s="107"/>
      <c r="AH159" s="107"/>
      <c r="AI159" s="107"/>
      <c r="AJ159" s="108"/>
      <c r="AK159" s="50"/>
      <c r="AL159" s="50"/>
      <c r="AM159" s="115" t="str">
        <f>IF([5]回答表!BD17="○",IF([5]回答表!X43="○",[5]回答表!B190,IF([5]回答表!AA43="○",[5]回答表!B238,"")),"")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IF([5]回答表!BD17="○",IF([5]回答表!X43="○",[5]回答表!E190,IF([5]回答表!AA43="○",[5]回答表!E238,"")),"")</f>
        <v/>
      </c>
      <c r="AN162" s="83"/>
      <c r="AO162" s="83"/>
      <c r="AP162" s="83"/>
      <c r="AQ162" s="82" t="str">
        <f>IF([5]回答表!BD17="○",IF([5]回答表!X43="○",[5]回答表!E191,IF([5]回答表!AA43="○",[5]回答表!E239,"")),"")</f>
        <v/>
      </c>
      <c r="AR162" s="83"/>
      <c r="AS162" s="83"/>
      <c r="AT162" s="83"/>
      <c r="AU162" s="82" t="str">
        <f>IF([5]回答表!BD17="○",IF([5]回答表!X43="○",[5]回答表!E192,IF([5]回答表!AA43="○",[5]回答表!E240,"")),"")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IF([5]回答表!BD17="○",IF([5]回答表!AA43="○","○",""),"")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IF([5]回答表!BD17="○",IF([5]回答表!AD43="○","○",""),"")</f>
        <v/>
      </c>
      <c r="O171" s="98"/>
      <c r="P171" s="98"/>
      <c r="Q171" s="99"/>
      <c r="R171" s="39"/>
      <c r="S171" s="39"/>
      <c r="T171" s="39"/>
      <c r="U171" s="106" t="str">
        <f>IF([5]回答表!BD17="○",IF([5]回答表!AD43="○",[5]回答表!B249,""),"")</f>
        <v/>
      </c>
      <c r="V171" s="107"/>
      <c r="W171" s="107"/>
      <c r="X171" s="107"/>
      <c r="Y171" s="107"/>
      <c r="Z171" s="107"/>
      <c r="AA171" s="107"/>
      <c r="AB171" s="107"/>
      <c r="AC171" s="107"/>
      <c r="AD171" s="107"/>
      <c r="AE171" s="107"/>
      <c r="AF171" s="107"/>
      <c r="AG171" s="107"/>
      <c r="AH171" s="107"/>
      <c r="AI171" s="107"/>
      <c r="AJ171" s="108"/>
      <c r="AK171" s="56"/>
      <c r="AL171" s="56"/>
      <c r="AM171" s="106" t="str">
        <f>IF([5]回答表!BD17="○",IF([5]回答表!AD43="○",[5]回答表!B255,""),"")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IF([5]回答表!X44="○","○","")</f>
        <v/>
      </c>
      <c r="O183" s="98"/>
      <c r="P183" s="98"/>
      <c r="Q183" s="99"/>
      <c r="R183" s="39"/>
      <c r="S183" s="39"/>
      <c r="T183" s="39"/>
      <c r="U183" s="106" t="str">
        <f>IF([5]回答表!X44="○",[5]回答表!B266,IF([5]回答表!AA44="○",[5]回答表!B283,""))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IF([5]回答表!X44="○",[5]回答表!U272,IF([5]回答表!AA44="○",[5]回答表!U289,""))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IF([5]回答表!X44="○",[5]回答表!G272,IF([5]回答表!AA44="○",[5]回答表!G289,""))</f>
        <v/>
      </c>
      <c r="AN186" s="119"/>
      <c r="AO186" s="119"/>
      <c r="AP186" s="119"/>
      <c r="AQ186" s="119"/>
      <c r="AR186" s="119"/>
      <c r="AS186" s="119"/>
      <c r="AT186" s="120"/>
      <c r="AU186" s="118" t="str">
        <f>IF([5]回答表!X44="○",[5]回答表!G273,IF([5]回答表!AA44="○",[5]回答表!G290,""))</f>
        <v/>
      </c>
      <c r="AV186" s="119"/>
      <c r="AW186" s="119"/>
      <c r="AX186" s="119"/>
      <c r="AY186" s="119"/>
      <c r="AZ186" s="119"/>
      <c r="BA186" s="119"/>
      <c r="BB186" s="120"/>
      <c r="BC186" s="40"/>
      <c r="BD186" s="35"/>
      <c r="BE186" s="82" t="str">
        <f>IF([5]回答表!X44="○",[5]回答表!X272,IF([5]回答表!AA44="○",[5]回答表!X289,""))</f>
        <v/>
      </c>
      <c r="BF186" s="83"/>
      <c r="BG186" s="83"/>
      <c r="BH186" s="83"/>
      <c r="BI186" s="82" t="str">
        <f>IF([5]回答表!X44="○",[5]回答表!X273,IF([5]回答表!AA44="○",[5]回答表!X290,""))</f>
        <v/>
      </c>
      <c r="BJ186" s="83"/>
      <c r="BK186" s="83"/>
      <c r="BL186" s="86"/>
      <c r="BM186" s="82" t="str">
        <f>IF([5]回答表!X44="○",[5]回答表!X274,IF([5]回答表!AA44="○",[5]回答表!X291,""))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IF([5]回答表!AA44="○","○","")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IF([5]回答表!AD44="○","○","")</f>
        <v/>
      </c>
      <c r="O195" s="98"/>
      <c r="P195" s="98"/>
      <c r="Q195" s="99"/>
      <c r="R195" s="39"/>
      <c r="S195" s="39"/>
      <c r="T195" s="39"/>
      <c r="U195" s="106" t="str">
        <f>IF([5]回答表!AD44="○",[5]回答表!B296,"")</f>
        <v/>
      </c>
      <c r="V195" s="107"/>
      <c r="W195" s="107"/>
      <c r="X195" s="107"/>
      <c r="Y195" s="107"/>
      <c r="Z195" s="107"/>
      <c r="AA195" s="107"/>
      <c r="AB195" s="107"/>
      <c r="AC195" s="107"/>
      <c r="AD195" s="107"/>
      <c r="AE195" s="107"/>
      <c r="AF195" s="107"/>
      <c r="AG195" s="107"/>
      <c r="AH195" s="107"/>
      <c r="AI195" s="107"/>
      <c r="AJ195" s="108"/>
      <c r="AK195" s="61"/>
      <c r="AL195" s="61"/>
      <c r="AM195" s="106" t="str">
        <f>IF([5]回答表!AD44="○",[5]回答表!B302,"")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IF([5]回答表!X45="○","○","")</f>
        <v/>
      </c>
      <c r="O207" s="98"/>
      <c r="P207" s="98"/>
      <c r="Q207" s="99"/>
      <c r="R207" s="39"/>
      <c r="S207" s="39"/>
      <c r="T207" s="39"/>
      <c r="U207" s="106" t="str">
        <f>IF([5]回答表!X45="○",[5]回答表!B314,IF([5]回答表!AA45="○",[5]回答表!B337,""))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IF([5]回答表!X45="○",[5]回答表!B320,"")</f>
        <v/>
      </c>
      <c r="AO207" s="164"/>
      <c r="AP207" s="164"/>
      <c r="AQ207" s="164"/>
      <c r="AR207" s="164"/>
      <c r="AS207" s="164"/>
      <c r="AT207" s="164"/>
      <c r="AU207" s="164"/>
      <c r="AV207" s="164"/>
      <c r="AW207" s="164"/>
      <c r="AX207" s="164"/>
      <c r="AY207" s="164"/>
      <c r="AZ207" s="164"/>
      <c r="BA207" s="164"/>
      <c r="BB207" s="165"/>
      <c r="BC207" s="40"/>
      <c r="BD207" s="35"/>
      <c r="BE207" s="115" t="str">
        <f>IF([5]回答表!X45="○",[5]回答表!B326,IF([5]回答表!AA45="○",[5]回答表!B343,""))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IF([5]回答表!X45="○",[5]回答表!E326,IF([5]回答表!AA45="○",[5]回答表!E343,""))</f>
        <v/>
      </c>
      <c r="BF210" s="83"/>
      <c r="BG210" s="83"/>
      <c r="BH210" s="83"/>
      <c r="BI210" s="82" t="str">
        <f>IF([5]回答表!X45="○",[5]回答表!E327,IF([5]回答表!AA45="○",[5]回答表!E344,""))</f>
        <v/>
      </c>
      <c r="BJ210" s="83"/>
      <c r="BK210" s="83"/>
      <c r="BL210" s="86"/>
      <c r="BM210" s="82" t="str">
        <f>IF([5]回答表!X45="○",[5]回答表!E328,IF([5]回答表!AA45="○",[5]回答表!E345,""))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IF([5]回答表!AA45="○","○","")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IF([5]回答表!AD45="○","○","")</f>
        <v/>
      </c>
      <c r="O219" s="98"/>
      <c r="P219" s="98"/>
      <c r="Q219" s="99"/>
      <c r="R219" s="39"/>
      <c r="S219" s="39"/>
      <c r="T219" s="39"/>
      <c r="U219" s="106" t="str">
        <f>IF([5]回答表!AD45="○",[5]回答表!B350,"")</f>
        <v/>
      </c>
      <c r="V219" s="107"/>
      <c r="W219" s="107"/>
      <c r="X219" s="107"/>
      <c r="Y219" s="107"/>
      <c r="Z219" s="107"/>
      <c r="AA219" s="107"/>
      <c r="AB219" s="107"/>
      <c r="AC219" s="107"/>
      <c r="AD219" s="107"/>
      <c r="AE219" s="107"/>
      <c r="AF219" s="107"/>
      <c r="AG219" s="107"/>
      <c r="AH219" s="107"/>
      <c r="AI219" s="107"/>
      <c r="AJ219" s="108"/>
      <c r="AK219" s="61"/>
      <c r="AL219" s="61"/>
      <c r="AM219" s="106" t="str">
        <f>IF([5]回答表!AD45="○",[5]回答表!B356,"")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IF([5]回答表!X46="○","○","")</f>
        <v/>
      </c>
      <c r="O231" s="98"/>
      <c r="P231" s="98"/>
      <c r="Q231" s="99"/>
      <c r="R231" s="39"/>
      <c r="S231" s="39"/>
      <c r="T231" s="39"/>
      <c r="U231" s="106" t="str">
        <f>IF([5]回答表!X46="○",[5]回答表!B368,IF([5]回答表!AA46="○",[5]回答表!B382,""))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IF([5]回答表!X46="○",[5]回答表!BC375,IF([5]回答表!AA46="○",[5]回答表!BC389,""))</f>
        <v/>
      </c>
      <c r="AR231" s="150"/>
      <c r="AS231" s="150"/>
      <c r="AT231" s="150"/>
      <c r="AU231" s="155" t="s">
        <v>63</v>
      </c>
      <c r="AV231" s="156"/>
      <c r="AW231" s="156"/>
      <c r="AX231" s="157"/>
      <c r="AY231" s="150" t="str">
        <f>IF([5]回答表!X46="○",[5]回答表!BC380,IF([5]回答表!AA46="○",[5]回答表!BC394,""))</f>
        <v/>
      </c>
      <c r="AZ231" s="150"/>
      <c r="BA231" s="150"/>
      <c r="BB231" s="150"/>
      <c r="BC231" s="40"/>
      <c r="BD231" s="35"/>
      <c r="BE231" s="115" t="str">
        <f>IF([5]回答表!X46="○",[5]回答表!S374,IF([5]回答表!AA46="○",[5]回答表!S388,""))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IF([5]回答表!X46="○",[5]回答表!BC376,IF([5]回答表!AA46="○",[5]回答表!BC390,""))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IF([5]回答表!X46="○",[5]回答表!V374,IF([5]回答表!AA46="○",[5]回答表!V388,""))</f>
        <v/>
      </c>
      <c r="BF234" s="83"/>
      <c r="BG234" s="83"/>
      <c r="BH234" s="83"/>
      <c r="BI234" s="82" t="str">
        <f>IF([5]回答表!X46="○",[5]回答表!V375,IF([5]回答表!AA46="○",[5]回答表!V389,""))</f>
        <v/>
      </c>
      <c r="BJ234" s="83"/>
      <c r="BK234" s="83"/>
      <c r="BL234" s="86"/>
      <c r="BM234" s="82" t="str">
        <f>IF([5]回答表!X46="○",[5]回答表!V376,IF([5]回答表!AA46="○",[5]回答表!V390,""))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IF([5]回答表!X46="○",[5]回答表!BC377,IF([5]回答表!AA46="○",[5]回答表!BC391,""))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IF([5]回答表!X46="○",[5]回答表!BC381,IF([5]回答表!AA46="○",[5]回答表!BC395,""))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IF([5]回答表!AA46="○","○","")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IF([5]回答表!X46="○",[5]回答表!BC378,IF([5]回答表!AA46="○",[5]回答表!BC392,""))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IF([5]回答表!X46="○",[5]回答表!BC379,IF([5]回答表!AA46="○",[5]回答表!BC393,""))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IF([5]回答表!AD46="○","○","")</f>
        <v/>
      </c>
      <c r="O243" s="98"/>
      <c r="P243" s="98"/>
      <c r="Q243" s="99"/>
      <c r="R243" s="39"/>
      <c r="S243" s="39"/>
      <c r="T243" s="39"/>
      <c r="U243" s="106" t="str">
        <f>IF([5]回答表!AD46="○",[5]回答表!B396,"")</f>
        <v/>
      </c>
      <c r="V243" s="107"/>
      <c r="W243" s="107"/>
      <c r="X243" s="107"/>
      <c r="Y243" s="107"/>
      <c r="Z243" s="107"/>
      <c r="AA243" s="107"/>
      <c r="AB243" s="107"/>
      <c r="AC243" s="107"/>
      <c r="AD243" s="107"/>
      <c r="AE243" s="107"/>
      <c r="AF243" s="107"/>
      <c r="AG243" s="107"/>
      <c r="AH243" s="107"/>
      <c r="AI243" s="107"/>
      <c r="AJ243" s="108"/>
      <c r="AK243" s="56"/>
      <c r="AL243" s="56"/>
      <c r="AM243" s="106" t="str">
        <f>IF([5]回答表!AD46="○",[5]回答表!B402,"")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IF([5]回答表!X47="○","○","")</f>
        <v/>
      </c>
      <c r="O254" s="98"/>
      <c r="P254" s="98"/>
      <c r="Q254" s="99"/>
      <c r="R254" s="39"/>
      <c r="S254" s="39"/>
      <c r="T254" s="39"/>
      <c r="U254" s="106" t="str">
        <f>IF([5]回答表!X47="○",[5]回答表!B414,IF([5]回答表!AA47="○",[5]回答表!B431,""))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IF([5]回答表!X47="○",[5]回答表!B424,IF([5]回答表!AA47="○",[5]回答表!B441,""))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IF([5]回答表!X47="○",[5]回答表!G420,IF([5]回答表!AA47="○",[5]回答表!G437,""))</f>
        <v/>
      </c>
      <c r="AN256" s="119"/>
      <c r="AO256" s="119"/>
      <c r="AP256" s="119"/>
      <c r="AQ256" s="119"/>
      <c r="AR256" s="119"/>
      <c r="AS256" s="119"/>
      <c r="AT256" s="120"/>
      <c r="AU256" s="118" t="str">
        <f>IF([5]回答表!X47="○",[5]回答表!G421,IF([5]回答表!AA47="○",[5]回答表!G438,""))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IF([5]回答表!X47="○",[5]回答表!E424,IF([5]回答表!AA47="○",[5]回答表!E441,""))</f>
        <v/>
      </c>
      <c r="BF257" s="83"/>
      <c r="BG257" s="83"/>
      <c r="BH257" s="83"/>
      <c r="BI257" s="82" t="str">
        <f>IF([5]回答表!X47="○",[5]回答表!E425,IF([5]回答表!AA47="○",[5]回答表!E442,""))</f>
        <v/>
      </c>
      <c r="BJ257" s="83"/>
      <c r="BK257" s="83"/>
      <c r="BL257" s="86"/>
      <c r="BM257" s="82" t="str">
        <f>IF([5]回答表!X47="○",[5]回答表!E426,IF([5]回答表!AA47="○",[5]回答表!E443,""))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IF([5]回答表!AA47="○","○","")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IF([5]回答表!AD47="○","○","")</f>
        <v/>
      </c>
      <c r="O266" s="98"/>
      <c r="P266" s="98"/>
      <c r="Q266" s="99"/>
      <c r="R266" s="39"/>
      <c r="S266" s="39"/>
      <c r="T266" s="39"/>
      <c r="U266" s="106" t="str">
        <f>IF([5]回答表!AD47="○",[5]回答表!B448,"")</f>
        <v/>
      </c>
      <c r="V266" s="107"/>
      <c r="W266" s="107"/>
      <c r="X266" s="107"/>
      <c r="Y266" s="107"/>
      <c r="Z266" s="107"/>
      <c r="AA266" s="107"/>
      <c r="AB266" s="107"/>
      <c r="AC266" s="107"/>
      <c r="AD266" s="107"/>
      <c r="AE266" s="107"/>
      <c r="AF266" s="107"/>
      <c r="AG266" s="107"/>
      <c r="AH266" s="107"/>
      <c r="AI266" s="107"/>
      <c r="AJ266" s="108"/>
      <c r="AK266" s="50"/>
      <c r="AL266" s="50"/>
      <c r="AM266" s="106" t="str">
        <f>IF([5]回答表!AD47="○",[5]回答表!B454,"")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IF([5]回答表!R48="○",[5]回答表!B467,"")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5D162-D8F2-4059-B61D-B87C1F870B36}">
  <sheetPr>
    <pageSetUpPr fitToPage="1"/>
  </sheetPr>
  <dimension ref="A1:CE298"/>
  <sheetViews>
    <sheetView showZeros="0"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IF(COUNTIF([7]回答表!K15,"*")&gt;0,[7]回答表!K15,"")</f>
        <v>由利本荘市</v>
      </c>
      <c r="D11" s="246"/>
      <c r="E11" s="246"/>
      <c r="F11" s="246"/>
      <c r="G11" s="246"/>
      <c r="H11" s="246"/>
      <c r="I11" s="246"/>
      <c r="J11" s="246"/>
      <c r="K11" s="246"/>
      <c r="L11" s="246"/>
      <c r="M11" s="246"/>
      <c r="N11" s="246"/>
      <c r="O11" s="246"/>
      <c r="P11" s="246"/>
      <c r="Q11" s="246"/>
      <c r="R11" s="246"/>
      <c r="S11" s="246"/>
      <c r="T11" s="246"/>
      <c r="U11" s="253" t="str">
        <f>IF(COUNTIF([7]回答表!F17,"*")&gt;0,[7]回答表!F17,"")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IF(COUNTIF([7]回答表!W17,"*")&gt;0,[7]回答表!W17,"")</f>
        <v>特定環境保全公共下水道</v>
      </c>
      <c r="AP11" s="248"/>
      <c r="AQ11" s="248"/>
      <c r="AR11" s="248"/>
      <c r="AS11" s="248"/>
      <c r="AT11" s="248"/>
      <c r="AU11" s="248"/>
      <c r="AV11" s="248"/>
      <c r="AW11" s="248"/>
      <c r="AX11" s="248"/>
      <c r="AY11" s="248"/>
      <c r="AZ11" s="248"/>
      <c r="BA11" s="248"/>
      <c r="BB11" s="248"/>
      <c r="BC11" s="248"/>
      <c r="BD11" s="248"/>
      <c r="BE11" s="249"/>
      <c r="BF11" s="252" t="str">
        <f>IF(COUNTIF([7]回答表!F19,"*")&gt;0,[7]回答表!F19,"")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IF([7]回答表!R41="○","○","")</f>
        <v/>
      </c>
      <c r="E24" s="122"/>
      <c r="F24" s="122"/>
      <c r="G24" s="122"/>
      <c r="H24" s="122"/>
      <c r="I24" s="122"/>
      <c r="J24" s="123"/>
      <c r="K24" s="121" t="str">
        <f>IF([7]回答表!R42="○","○","")</f>
        <v/>
      </c>
      <c r="L24" s="122"/>
      <c r="M24" s="122"/>
      <c r="N24" s="122"/>
      <c r="O24" s="122"/>
      <c r="P24" s="122"/>
      <c r="Q24" s="123"/>
      <c r="R24" s="121" t="str">
        <f>IF([7]回答表!R43="○","○","")</f>
        <v>○</v>
      </c>
      <c r="S24" s="122"/>
      <c r="T24" s="122"/>
      <c r="U24" s="122"/>
      <c r="V24" s="122"/>
      <c r="W24" s="122"/>
      <c r="X24" s="123"/>
      <c r="Y24" s="121" t="str">
        <f>IF([7]回答表!R44="○","○","")</f>
        <v/>
      </c>
      <c r="Z24" s="122"/>
      <c r="AA24" s="122"/>
      <c r="AB24" s="122"/>
      <c r="AC24" s="122"/>
      <c r="AD24" s="122"/>
      <c r="AE24" s="123"/>
      <c r="AF24" s="121" t="str">
        <f>IF([7]回答表!R45="○","○","")</f>
        <v/>
      </c>
      <c r="AG24" s="122"/>
      <c r="AH24" s="122"/>
      <c r="AI24" s="122"/>
      <c r="AJ24" s="122"/>
      <c r="AK24" s="122"/>
      <c r="AL24" s="123"/>
      <c r="AM24" s="121" t="str">
        <f>IF([7]回答表!R46="○","○","")</f>
        <v/>
      </c>
      <c r="AN24" s="122"/>
      <c r="AO24" s="122"/>
      <c r="AP24" s="122"/>
      <c r="AQ24" s="122"/>
      <c r="AR24" s="122"/>
      <c r="AS24" s="123"/>
      <c r="AT24" s="121" t="str">
        <f>IF([7]回答表!R47="○","○","")</f>
        <v/>
      </c>
      <c r="AU24" s="122"/>
      <c r="AV24" s="122"/>
      <c r="AW24" s="122"/>
      <c r="AX24" s="122"/>
      <c r="AY24" s="122"/>
      <c r="AZ24" s="123"/>
      <c r="BA24" s="19"/>
      <c r="BB24" s="118" t="str">
        <f>IF([7]回答表!R48="○","○","")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IF([7]回答表!X41="○","○","")</f>
        <v/>
      </c>
      <c r="O36" s="98"/>
      <c r="P36" s="98"/>
      <c r="Q36" s="99"/>
      <c r="R36" s="39"/>
      <c r="S36" s="39"/>
      <c r="T36" s="39"/>
      <c r="U36" s="106" t="str">
        <f>IF([7]回答表!X41="○",[7]回答表!B56,IF([7]回答表!AA41="○",[7]回答表!B76,""))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IF([7]回答表!X41="○",[7]回答表!S62,IF([7]回答表!AA41="○",[7]回答表!S82,""))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IF([7]回答表!X41="○",[7]回答表!G62,IF([7]回答表!AA41="○",[7]回答表!G82,""))</f>
        <v/>
      </c>
      <c r="AN38" s="119"/>
      <c r="AO38" s="119"/>
      <c r="AP38" s="119"/>
      <c r="AQ38" s="119"/>
      <c r="AR38" s="119"/>
      <c r="AS38" s="119"/>
      <c r="AT38" s="120"/>
      <c r="AU38" s="118" t="str">
        <f>IF([7]回答表!X41="○",[7]回答表!G63,IF([7]回答表!AA41="○",[7]回答表!G83,""))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IF([7]回答表!X41="○",[7]回答表!V62,IF([7]回答表!AA41="○",[7]回答表!V82,""))</f>
        <v/>
      </c>
      <c r="BF39" s="199"/>
      <c r="BG39" s="199"/>
      <c r="BH39" s="200"/>
      <c r="BI39" s="82" t="str">
        <f>IF([7]回答表!X41="○",[7]回答表!V63,IF([7]回答表!AA41="○",[7]回答表!V83,""))</f>
        <v/>
      </c>
      <c r="BJ39" s="199"/>
      <c r="BK39" s="199"/>
      <c r="BL39" s="200"/>
      <c r="BM39" s="82" t="str">
        <f>IF([7]回答表!X41="○",[7]回答表!V64,IF([7]回答表!AA41="○",[7]回答表!V84,""))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IF([7]回答表!X41="○",[7]回答表!O68,IF([7]回答表!AA41="○",[7]回答表!O88,""))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IF([7]回答表!X41="○",[7]回答表!O69,IF([7]回答表!AA41="○",[7]回答表!O89,""))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IF([7]回答表!AA41="○","○","")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IF([7]回答表!X41="○",[7]回答表!O70,IF([7]回答表!AA41="○",[7]回答表!O90,""))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IF([7]回答表!X41="○",[7]回答表!O71,IF([7]回答表!AA41="○",[7]回答表!O91,""))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IF([7]回答表!X41="○",[7]回答表!AG68,IF([7]回答表!AA41="○",[7]回答表!AG88,""))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IF([7]回答表!X41="○",[7]回答表!AG69,IF([7]回答表!AA41="○",[7]回答表!AG89,""))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IF([7]回答表!X41="○",[7]回答表!AG70,IF([7]回答表!AA41="○",[7]回答表!AG90,""))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IF([7]回答表!AD41="○","○","")</f>
        <v/>
      </c>
      <c r="O52" s="98"/>
      <c r="P52" s="98"/>
      <c r="Q52" s="99"/>
      <c r="R52" s="39"/>
      <c r="S52" s="39"/>
      <c r="T52" s="39"/>
      <c r="U52" s="106" t="str">
        <f>IF([7]回答表!AD41="○",[7]回答表!B96,"")</f>
        <v/>
      </c>
      <c r="V52" s="107"/>
      <c r="W52" s="107"/>
      <c r="X52" s="107"/>
      <c r="Y52" s="107"/>
      <c r="Z52" s="107"/>
      <c r="AA52" s="107"/>
      <c r="AB52" s="107"/>
      <c r="AC52" s="107"/>
      <c r="AD52" s="107"/>
      <c r="AE52" s="107"/>
      <c r="AF52" s="107"/>
      <c r="AG52" s="107"/>
      <c r="AH52" s="107"/>
      <c r="AI52" s="107"/>
      <c r="AJ52" s="108"/>
      <c r="AK52" s="56"/>
      <c r="AL52" s="56"/>
      <c r="AM52" s="106" t="str">
        <f>IF([7]回答表!AD41="○",[7]回答表!B101,"")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IF([7]回答表!X42="○","○","")</f>
        <v/>
      </c>
      <c r="O63" s="98"/>
      <c r="P63" s="98"/>
      <c r="Q63" s="99"/>
      <c r="R63" s="39"/>
      <c r="S63" s="39"/>
      <c r="T63" s="39"/>
      <c r="U63" s="106" t="str">
        <f>IF([7]回答表!X42="○",[7]回答表!B111,IF([7]回答表!AA42="○",[7]回答表!B124,""))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IF([7]回答表!X42="○",[7]回答表!S117,IF([7]回答表!AA42="○",[7]回答表!S130,""))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IF([7]回答表!X42="○",[7]回答表!J117,IF([7]回答表!AA42="○",[7]回答表!J130,""))</f>
        <v/>
      </c>
      <c r="AN66" s="119"/>
      <c r="AO66" s="119"/>
      <c r="AP66" s="119"/>
      <c r="AQ66" s="119"/>
      <c r="AR66" s="119"/>
      <c r="AS66" s="119"/>
      <c r="AT66" s="120"/>
      <c r="AU66" s="118" t="str">
        <f>IF([7]回答表!X42="○",[7]回答表!J118,IF([7]回答表!AA42="○",[7]回答表!J131,""))</f>
        <v/>
      </c>
      <c r="AV66" s="119"/>
      <c r="AW66" s="119"/>
      <c r="AX66" s="119"/>
      <c r="AY66" s="119"/>
      <c r="AZ66" s="119"/>
      <c r="BA66" s="119"/>
      <c r="BB66" s="120"/>
      <c r="BC66" s="40"/>
      <c r="BD66" s="35"/>
      <c r="BE66" s="82" t="str">
        <f>IF([7]回答表!X42="○",[7]回答表!V117,IF([7]回答表!AA42="○",[7]回答表!V130,""))</f>
        <v/>
      </c>
      <c r="BF66" s="83"/>
      <c r="BG66" s="83"/>
      <c r="BH66" s="83"/>
      <c r="BI66" s="82" t="str">
        <f>IF([7]回答表!X42="○",[7]回答表!V118,IF([7]回答表!AA42="○",[7]回答表!V131,""))</f>
        <v/>
      </c>
      <c r="BJ66" s="83"/>
      <c r="BK66" s="83"/>
      <c r="BL66" s="83"/>
      <c r="BM66" s="82" t="str">
        <f>IF([7]回答表!X42="○",[7]回答表!V119,IF([7]回答表!AA42="○",[7]回答表!V132,""))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IF([7]回答表!AA42="○","○","")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IF([7]回答表!AD42="○","○","")</f>
        <v/>
      </c>
      <c r="O75" s="98"/>
      <c r="P75" s="98"/>
      <c r="Q75" s="99"/>
      <c r="R75" s="39"/>
      <c r="S75" s="39"/>
      <c r="T75" s="39"/>
      <c r="U75" s="106" t="str">
        <f>IF([7]回答表!AD42="○",[7]回答表!B137,"")</f>
        <v/>
      </c>
      <c r="V75" s="107"/>
      <c r="W75" s="107"/>
      <c r="X75" s="107"/>
      <c r="Y75" s="107"/>
      <c r="Z75" s="107"/>
      <c r="AA75" s="107"/>
      <c r="AB75" s="107"/>
      <c r="AC75" s="107"/>
      <c r="AD75" s="107"/>
      <c r="AE75" s="107"/>
      <c r="AF75" s="107"/>
      <c r="AG75" s="107"/>
      <c r="AH75" s="107"/>
      <c r="AI75" s="107"/>
      <c r="AJ75" s="108"/>
      <c r="AK75" s="56"/>
      <c r="AL75" s="56"/>
      <c r="AM75" s="106" t="str">
        <f>IF([7]回答表!AD42="○",[7]回答表!B143,"")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IF([7]回答表!F17="水道事業",IF([7]回答表!X43="○","○",""),"")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IF([7]回答表!F17="水道事業",IF([7]回答表!X43="○",[7]回答表!B154,IF([7]回答表!AA43="○",[7]回答表!B201,"")),"")</f>
        <v/>
      </c>
      <c r="AN87" s="107"/>
      <c r="AO87" s="107"/>
      <c r="AP87" s="107"/>
      <c r="AQ87" s="107"/>
      <c r="AR87" s="107"/>
      <c r="AS87" s="107"/>
      <c r="AT87" s="107"/>
      <c r="AU87" s="107"/>
      <c r="AV87" s="107"/>
      <c r="AW87" s="107"/>
      <c r="AX87" s="107"/>
      <c r="AY87" s="107"/>
      <c r="AZ87" s="107"/>
      <c r="BA87" s="107"/>
      <c r="BB87" s="108"/>
      <c r="BC87" s="40"/>
      <c r="BD87" s="35"/>
      <c r="BE87" s="115" t="str">
        <f>IF([7]回答表!F17="水道事業",IF([7]回答表!X43="○",[7]回答表!B190,IF([7]回答表!AA43="○",[7]回答表!B238,"")),"")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IF([7]回答表!F17="水道事業",IF([7]回答表!X43="○",[7]回答表!J162,IF([7]回答表!AA43="○",[7]回答表!J209,"")),"")</f>
        <v/>
      </c>
      <c r="V89" s="119"/>
      <c r="W89" s="119"/>
      <c r="X89" s="119"/>
      <c r="Y89" s="119"/>
      <c r="Z89" s="119"/>
      <c r="AA89" s="119"/>
      <c r="AB89" s="120"/>
      <c r="AC89" s="118" t="str">
        <f>IF([7]回答表!F17="水道事業",IF([7]回答表!X43="○",[7]回答表!J169,IF([7]回答表!AA43="○",[7]回答表!J216,"")),"")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IF([7]回答表!F17="水道事業",IF([7]回答表!X43="○",[7]回答表!E190,IF([7]回答表!AA43="○",[7]回答表!E238,"")),"")</f>
        <v/>
      </c>
      <c r="BF90" s="83"/>
      <c r="BG90" s="83"/>
      <c r="BH90" s="83"/>
      <c r="BI90" s="82" t="str">
        <f>IF([7]回答表!F17="水道事業",IF([7]回答表!X43="○",[7]回答表!E191,IF([7]回答表!AA43="○",[7]回答表!E239,"")),"")</f>
        <v/>
      </c>
      <c r="BJ90" s="83"/>
      <c r="BK90" s="83"/>
      <c r="BL90" s="83"/>
      <c r="BM90" s="82" t="str">
        <f>IF([7]回答表!F17="水道事業",IF([7]回答表!X43="○",[7]回答表!E192,IF([7]回答表!AA43="○",[7]回答表!E240,"")),"")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IF([7]回答表!F17="水道事業",IF([7]回答表!AA43="○","○",""),"")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IF([7]回答表!F17="水道事業",IF([7]回答表!X43="○",[7]回答表!J172,IF([7]回答表!AA43="○",[7]回答表!J219,"")),"")</f>
        <v/>
      </c>
      <c r="V94" s="119"/>
      <c r="W94" s="119"/>
      <c r="X94" s="119"/>
      <c r="Y94" s="119"/>
      <c r="Z94" s="119"/>
      <c r="AA94" s="119"/>
      <c r="AB94" s="120"/>
      <c r="AC94" s="118" t="str">
        <f>IF([7]回答表!F17="水道事業",IF([7]回答表!X43="○",[7]回答表!J176,IF([7]回答表!AA43="○",[7]回答表!J223,"")),"")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IF([7]回答表!F17="水道事業",IF([7]回答表!AD43="○","○",""),"")</f>
        <v/>
      </c>
      <c r="O99" s="98"/>
      <c r="P99" s="98"/>
      <c r="Q99" s="99"/>
      <c r="R99" s="39"/>
      <c r="S99" s="39"/>
      <c r="T99" s="39"/>
      <c r="U99" s="106" t="str">
        <f>IF([7]回答表!F17="水道事業",IF([7]回答表!AD43="○",[7]回答表!B249,""),"")</f>
        <v/>
      </c>
      <c r="V99" s="107"/>
      <c r="W99" s="107"/>
      <c r="X99" s="107"/>
      <c r="Y99" s="107"/>
      <c r="Z99" s="107"/>
      <c r="AA99" s="107"/>
      <c r="AB99" s="107"/>
      <c r="AC99" s="107"/>
      <c r="AD99" s="107"/>
      <c r="AE99" s="107"/>
      <c r="AF99" s="107"/>
      <c r="AG99" s="107"/>
      <c r="AH99" s="107"/>
      <c r="AI99" s="107"/>
      <c r="AJ99" s="108"/>
      <c r="AK99" s="56"/>
      <c r="AL99" s="56"/>
      <c r="AM99" s="106" t="str">
        <f>IF([7]回答表!F17="水道事業",IF([7]回答表!AD43="○",[7]回答表!B255,""),"")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IF([7]回答表!F17="簡易水道事業",IF([7]回答表!X43="○","○",""),"")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IF([7]回答表!F17="簡易水道事業",IF([7]回答表!X43="○",[7]回答表!B154,IF([7]回答表!AA43="○",[7]回答表!B201,"")),"")</f>
        <v/>
      </c>
      <c r="AN111" s="107"/>
      <c r="AO111" s="107"/>
      <c r="AP111" s="107"/>
      <c r="AQ111" s="107"/>
      <c r="AR111" s="107"/>
      <c r="AS111" s="107"/>
      <c r="AT111" s="107"/>
      <c r="AU111" s="107"/>
      <c r="AV111" s="107"/>
      <c r="AW111" s="107"/>
      <c r="AX111" s="107"/>
      <c r="AY111" s="107"/>
      <c r="AZ111" s="107"/>
      <c r="BA111" s="107"/>
      <c r="BB111" s="108"/>
      <c r="BC111" s="40"/>
      <c r="BD111" s="35"/>
      <c r="BE111" s="115" t="str">
        <f>IF([7]回答表!F17="簡易水道事業",IF([7]回答表!X43="○",[7]回答表!B190,IF([7]回答表!AA43="○",[7]回答表!B238,"")),"")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IF([7]回答表!F17="簡易水道事業",IF([7]回答表!X43="○",[7]回答表!Y181,IF([7]回答表!AA43="○",[7]回答表!Y229,"")),"")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IF([7]回答表!F17="簡易水道事業",IF([7]回答表!X43="○",[7]回答表!E190,IF([7]回答表!AA43="○",[7]回答表!E238,"")),"")</f>
        <v/>
      </c>
      <c r="BF114" s="83"/>
      <c r="BG114" s="83"/>
      <c r="BH114" s="83"/>
      <c r="BI114" s="82" t="str">
        <f>IF([7]回答表!F17="簡易水道事業",IF([7]回答表!X43="○",[7]回答表!E191,IF([7]回答表!AA43="○",[7]回答表!E239,"")),"")</f>
        <v/>
      </c>
      <c r="BJ114" s="83"/>
      <c r="BK114" s="83"/>
      <c r="BL114" s="83"/>
      <c r="BM114" s="82" t="str">
        <f>IF([7]回答表!F17="簡易水道事業",IF([7]回答表!X43="○",[7]回答表!E192,IF([7]回答表!AA43="○",[7]回答表!E240,"")),"")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IF([7]回答表!F17="簡易水道事業",IF([7]回答表!AA43="○","○",""),"")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IF([7]回答表!F17="簡易水道事業",IF([7]回答表!X43="○",[7]回答表!Y182,IF([7]回答表!AA43="○",[7]回答表!Y230,"")),"")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IF([7]回答表!F17="簡易水道事業",IF([7]回答表!AD43="○","○",""),"")</f>
        <v/>
      </c>
      <c r="O123" s="98"/>
      <c r="P123" s="98"/>
      <c r="Q123" s="99"/>
      <c r="R123" s="39"/>
      <c r="S123" s="39"/>
      <c r="T123" s="39"/>
      <c r="U123" s="106" t="str">
        <f>IF([7]回答表!F17="簡易水道事業",IF([7]回答表!AD43="○",[7]回答表!B249,""),"")</f>
        <v/>
      </c>
      <c r="V123" s="107"/>
      <c r="W123" s="107"/>
      <c r="X123" s="107"/>
      <c r="Y123" s="107"/>
      <c r="Z123" s="107"/>
      <c r="AA123" s="107"/>
      <c r="AB123" s="107"/>
      <c r="AC123" s="107"/>
      <c r="AD123" s="107"/>
      <c r="AE123" s="107"/>
      <c r="AF123" s="107"/>
      <c r="AG123" s="107"/>
      <c r="AH123" s="107"/>
      <c r="AI123" s="107"/>
      <c r="AJ123" s="108"/>
      <c r="AK123" s="56"/>
      <c r="AL123" s="56"/>
      <c r="AM123" s="106" t="str">
        <f>IF([7]回答表!F17="簡易水道事業",IF([7]回答表!AD43="○",[7]回答表!B255,""),"")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IF([7]回答表!F17="下水道事業",IF([7]回答表!X43="○","○",""),"")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IF([7]回答表!F17="下水道事業",IF([7]回答表!X43="○",[7]回答表!B154,IF([7]回答表!AA43="○",[7]回答表!B201,"")),"")</f>
        <v/>
      </c>
      <c r="AN135" s="107"/>
      <c r="AO135" s="107"/>
      <c r="AP135" s="107"/>
      <c r="AQ135" s="107"/>
      <c r="AR135" s="107"/>
      <c r="AS135" s="107"/>
      <c r="AT135" s="107"/>
      <c r="AU135" s="107"/>
      <c r="AV135" s="107"/>
      <c r="AW135" s="107"/>
      <c r="AX135" s="107"/>
      <c r="AY135" s="107"/>
      <c r="AZ135" s="107"/>
      <c r="BA135" s="107"/>
      <c r="BB135" s="108"/>
      <c r="BC135" s="40"/>
      <c r="BD135" s="35"/>
      <c r="BE135" s="115" t="str">
        <f>IF([7]回答表!F17="下水道事業",IF([7]回答表!X43="○",[7]回答表!B190,IF([7]回答表!AA43="○",[7]回答表!B238,"")),"")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IF([7]回答表!F17="下水道事業",IF([7]回答表!X43="○",[7]回答表!Y184,IF([7]回答表!AA43="○",[7]回答表!Y232,"")),"")</f>
        <v/>
      </c>
      <c r="V137" s="119"/>
      <c r="W137" s="119"/>
      <c r="X137" s="119"/>
      <c r="Y137" s="119"/>
      <c r="Z137" s="119"/>
      <c r="AA137" s="119"/>
      <c r="AB137" s="120"/>
      <c r="AC137" s="118" t="str">
        <f>IF([7]回答表!F17="下水道事業",IF([7]回答表!X43="○",[7]回答表!Y185,IF([7]回答表!AA43="○",[7]回答表!Y233,"")),"")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IF([7]回答表!F17="下水道事業",IF([7]回答表!X43="○",[7]回答表!E190,IF([7]回答表!AA43="○",[7]回答表!E238,"")),"")</f>
        <v/>
      </c>
      <c r="BF138" s="83"/>
      <c r="BG138" s="83"/>
      <c r="BH138" s="83"/>
      <c r="BI138" s="82" t="str">
        <f>IF([7]回答表!F17="下水道事業",IF([7]回答表!X43="○",[7]回答表!E191,IF([7]回答表!AA43="○",[7]回答表!E239,"")),"")</f>
        <v/>
      </c>
      <c r="BJ138" s="83"/>
      <c r="BK138" s="83"/>
      <c r="BL138" s="83"/>
      <c r="BM138" s="82" t="str">
        <f>IF([7]回答表!F17="下水道事業",IF([7]回答表!X43="○",[7]回答表!E192,IF([7]回答表!AA43="○",[7]回答表!E240,"")),"")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IF([7]回答表!F17="下水道事業",IF([7]回答表!AA43="○","○",""),"")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IF([7]回答表!F17="下水道事業",IF([7]回答表!X43="○",[7]回答表!Y186,IF([7]回答表!AA43="○",[7]回答表!Y234,"")),"")</f>
        <v/>
      </c>
      <c r="V142" s="119"/>
      <c r="W142" s="119"/>
      <c r="X142" s="119"/>
      <c r="Y142" s="119"/>
      <c r="Z142" s="119"/>
      <c r="AA142" s="119"/>
      <c r="AB142" s="120"/>
      <c r="AC142" s="118" t="str">
        <f>IF([7]回答表!F17="下水道事業",IF([7]回答表!X43="○",[7]回答表!Y187,IF([7]回答表!AA43="○",[7]回答表!Y235,"")),"")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IF([7]回答表!F17="下水道事業",IF([7]回答表!AD43="○","○",""),"")</f>
        <v>○</v>
      </c>
      <c r="O147" s="98"/>
      <c r="P147" s="98"/>
      <c r="Q147" s="99"/>
      <c r="R147" s="39"/>
      <c r="S147" s="39"/>
      <c r="T147" s="39"/>
      <c r="U147" s="269" t="str">
        <f>IF([7]回答表!F17="下水道事業",IF([7]回答表!AD43="○",[7]回答表!B249,""),"")</f>
        <v>特定環境公共下水道処理施設を廃止し、公共下水道処理施設へ統合する計画である。</v>
      </c>
      <c r="V147" s="270"/>
      <c r="W147" s="270"/>
      <c r="X147" s="270"/>
      <c r="Y147" s="270"/>
      <c r="Z147" s="270"/>
      <c r="AA147" s="270"/>
      <c r="AB147" s="270"/>
      <c r="AC147" s="270"/>
      <c r="AD147" s="270"/>
      <c r="AE147" s="270"/>
      <c r="AF147" s="270"/>
      <c r="AG147" s="270"/>
      <c r="AH147" s="270"/>
      <c r="AI147" s="270"/>
      <c r="AJ147" s="271"/>
      <c r="AK147" s="56"/>
      <c r="AL147" s="56"/>
      <c r="AM147" s="106" t="str">
        <f>IF([7]回答表!F17="下水道事業",IF([7]回答表!AD43="○",[7]回答表!B255,""),"")</f>
        <v>令和6年度実施に向け調整中である。</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272"/>
      <c r="V148" s="273"/>
      <c r="W148" s="273"/>
      <c r="X148" s="273"/>
      <c r="Y148" s="273"/>
      <c r="Z148" s="273"/>
      <c r="AA148" s="273"/>
      <c r="AB148" s="273"/>
      <c r="AC148" s="273"/>
      <c r="AD148" s="273"/>
      <c r="AE148" s="273"/>
      <c r="AF148" s="273"/>
      <c r="AG148" s="273"/>
      <c r="AH148" s="273"/>
      <c r="AI148" s="273"/>
      <c r="AJ148" s="274"/>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272"/>
      <c r="V149" s="273"/>
      <c r="W149" s="273"/>
      <c r="X149" s="273"/>
      <c r="Y149" s="273"/>
      <c r="Z149" s="273"/>
      <c r="AA149" s="273"/>
      <c r="AB149" s="273"/>
      <c r="AC149" s="273"/>
      <c r="AD149" s="273"/>
      <c r="AE149" s="273"/>
      <c r="AF149" s="273"/>
      <c r="AG149" s="273"/>
      <c r="AH149" s="273"/>
      <c r="AI149" s="273"/>
      <c r="AJ149" s="274"/>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275"/>
      <c r="V150" s="276"/>
      <c r="W150" s="276"/>
      <c r="X150" s="276"/>
      <c r="Y150" s="276"/>
      <c r="Z150" s="276"/>
      <c r="AA150" s="276"/>
      <c r="AB150" s="276"/>
      <c r="AC150" s="276"/>
      <c r="AD150" s="276"/>
      <c r="AE150" s="276"/>
      <c r="AF150" s="276"/>
      <c r="AG150" s="276"/>
      <c r="AH150" s="276"/>
      <c r="AI150" s="276"/>
      <c r="AJ150" s="277"/>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IF([7]回答表!BD17="○",IF([7]回答表!X43="○","○",""),"")</f>
        <v/>
      </c>
      <c r="O159" s="98"/>
      <c r="P159" s="98"/>
      <c r="Q159" s="99"/>
      <c r="R159" s="39"/>
      <c r="S159" s="39"/>
      <c r="T159" s="39"/>
      <c r="U159" s="106" t="str">
        <f>IF([7]回答表!BD17="○",IF([7]回答表!X43="○",[7]回答表!B154,IF([7]回答表!AA43="○",[7]回答表!B201,"")),"")</f>
        <v/>
      </c>
      <c r="V159" s="107"/>
      <c r="W159" s="107"/>
      <c r="X159" s="107"/>
      <c r="Y159" s="107"/>
      <c r="Z159" s="107"/>
      <c r="AA159" s="107"/>
      <c r="AB159" s="107"/>
      <c r="AC159" s="107"/>
      <c r="AD159" s="107"/>
      <c r="AE159" s="107"/>
      <c r="AF159" s="107"/>
      <c r="AG159" s="107"/>
      <c r="AH159" s="107"/>
      <c r="AI159" s="107"/>
      <c r="AJ159" s="108"/>
      <c r="AK159" s="50"/>
      <c r="AL159" s="50"/>
      <c r="AM159" s="115" t="str">
        <f>IF([7]回答表!BD17="○",IF([7]回答表!X43="○",[7]回答表!B190,IF([7]回答表!AA43="○",[7]回答表!B238,"")),"")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IF([7]回答表!BD17="○",IF([7]回答表!X43="○",[7]回答表!E190,IF([7]回答表!AA43="○",[7]回答表!E238,"")),"")</f>
        <v/>
      </c>
      <c r="AN162" s="83"/>
      <c r="AO162" s="83"/>
      <c r="AP162" s="83"/>
      <c r="AQ162" s="82" t="str">
        <f>IF([7]回答表!BD17="○",IF([7]回答表!X43="○",[7]回答表!E191,IF([7]回答表!AA43="○",[7]回答表!E239,"")),"")</f>
        <v/>
      </c>
      <c r="AR162" s="83"/>
      <c r="AS162" s="83"/>
      <c r="AT162" s="83"/>
      <c r="AU162" s="82" t="str">
        <f>IF([7]回答表!BD17="○",IF([7]回答表!X43="○",[7]回答表!E192,IF([7]回答表!AA43="○",[7]回答表!E240,"")),"")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IF([7]回答表!BD17="○",IF([7]回答表!AA43="○","○",""),"")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IF([7]回答表!BD17="○",IF([7]回答表!AD43="○","○",""),"")</f>
        <v/>
      </c>
      <c r="O171" s="98"/>
      <c r="P171" s="98"/>
      <c r="Q171" s="99"/>
      <c r="R171" s="39"/>
      <c r="S171" s="39"/>
      <c r="T171" s="39"/>
      <c r="U171" s="106" t="str">
        <f>IF([7]回答表!BD17="○",IF([7]回答表!AD43="○",[7]回答表!B249,""),"")</f>
        <v/>
      </c>
      <c r="V171" s="107"/>
      <c r="W171" s="107"/>
      <c r="X171" s="107"/>
      <c r="Y171" s="107"/>
      <c r="Z171" s="107"/>
      <c r="AA171" s="107"/>
      <c r="AB171" s="107"/>
      <c r="AC171" s="107"/>
      <c r="AD171" s="107"/>
      <c r="AE171" s="107"/>
      <c r="AF171" s="107"/>
      <c r="AG171" s="107"/>
      <c r="AH171" s="107"/>
      <c r="AI171" s="107"/>
      <c r="AJ171" s="108"/>
      <c r="AK171" s="56"/>
      <c r="AL171" s="56"/>
      <c r="AM171" s="106" t="str">
        <f>IF([7]回答表!BD17="○",IF([7]回答表!AD43="○",[7]回答表!B255,""),"")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IF([7]回答表!X44="○","○","")</f>
        <v/>
      </c>
      <c r="O183" s="98"/>
      <c r="P183" s="98"/>
      <c r="Q183" s="99"/>
      <c r="R183" s="39"/>
      <c r="S183" s="39"/>
      <c r="T183" s="39"/>
      <c r="U183" s="106" t="str">
        <f>IF([7]回答表!X44="○",[7]回答表!B266,IF([7]回答表!AA44="○",[7]回答表!B283,""))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IF([7]回答表!X44="○",[7]回答表!U272,IF([7]回答表!AA44="○",[7]回答表!U289,""))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IF([7]回答表!X44="○",[7]回答表!G272,IF([7]回答表!AA44="○",[7]回答表!G289,""))</f>
        <v/>
      </c>
      <c r="AN186" s="119"/>
      <c r="AO186" s="119"/>
      <c r="AP186" s="119"/>
      <c r="AQ186" s="119"/>
      <c r="AR186" s="119"/>
      <c r="AS186" s="119"/>
      <c r="AT186" s="120"/>
      <c r="AU186" s="118" t="str">
        <f>IF([7]回答表!X44="○",[7]回答表!G273,IF([7]回答表!AA44="○",[7]回答表!G290,""))</f>
        <v/>
      </c>
      <c r="AV186" s="119"/>
      <c r="AW186" s="119"/>
      <c r="AX186" s="119"/>
      <c r="AY186" s="119"/>
      <c r="AZ186" s="119"/>
      <c r="BA186" s="119"/>
      <c r="BB186" s="120"/>
      <c r="BC186" s="40"/>
      <c r="BD186" s="35"/>
      <c r="BE186" s="82" t="str">
        <f>IF([7]回答表!X44="○",[7]回答表!X272,IF([7]回答表!AA44="○",[7]回答表!X289,""))</f>
        <v/>
      </c>
      <c r="BF186" s="83"/>
      <c r="BG186" s="83"/>
      <c r="BH186" s="83"/>
      <c r="BI186" s="82" t="str">
        <f>IF([7]回答表!X44="○",[7]回答表!X273,IF([7]回答表!AA44="○",[7]回答表!X290,""))</f>
        <v/>
      </c>
      <c r="BJ186" s="83"/>
      <c r="BK186" s="83"/>
      <c r="BL186" s="86"/>
      <c r="BM186" s="82" t="str">
        <f>IF([7]回答表!X44="○",[7]回答表!X274,IF([7]回答表!AA44="○",[7]回答表!X291,""))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IF([7]回答表!AA44="○","○","")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IF([7]回答表!AD44="○","○","")</f>
        <v/>
      </c>
      <c r="O195" s="98"/>
      <c r="P195" s="98"/>
      <c r="Q195" s="99"/>
      <c r="R195" s="39"/>
      <c r="S195" s="39"/>
      <c r="T195" s="39"/>
      <c r="U195" s="106" t="str">
        <f>IF([7]回答表!AD44="○",[7]回答表!B296,"")</f>
        <v/>
      </c>
      <c r="V195" s="107"/>
      <c r="W195" s="107"/>
      <c r="X195" s="107"/>
      <c r="Y195" s="107"/>
      <c r="Z195" s="107"/>
      <c r="AA195" s="107"/>
      <c r="AB195" s="107"/>
      <c r="AC195" s="107"/>
      <c r="AD195" s="107"/>
      <c r="AE195" s="107"/>
      <c r="AF195" s="107"/>
      <c r="AG195" s="107"/>
      <c r="AH195" s="107"/>
      <c r="AI195" s="107"/>
      <c r="AJ195" s="108"/>
      <c r="AK195" s="61"/>
      <c r="AL195" s="61"/>
      <c r="AM195" s="106" t="str">
        <f>IF([7]回答表!AD44="○",[7]回答表!B302,"")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IF([7]回答表!X45="○","○","")</f>
        <v/>
      </c>
      <c r="O207" s="98"/>
      <c r="P207" s="98"/>
      <c r="Q207" s="99"/>
      <c r="R207" s="39"/>
      <c r="S207" s="39"/>
      <c r="T207" s="39"/>
      <c r="U207" s="106" t="str">
        <f>IF([7]回答表!X45="○",[7]回答表!B314,IF([7]回答表!AA45="○",[7]回答表!B337,""))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IF([7]回答表!X45="○",[7]回答表!B320,"")</f>
        <v/>
      </c>
      <c r="AO207" s="164"/>
      <c r="AP207" s="164"/>
      <c r="AQ207" s="164"/>
      <c r="AR207" s="164"/>
      <c r="AS207" s="164"/>
      <c r="AT207" s="164"/>
      <c r="AU207" s="164"/>
      <c r="AV207" s="164"/>
      <c r="AW207" s="164"/>
      <c r="AX207" s="164"/>
      <c r="AY207" s="164"/>
      <c r="AZ207" s="164"/>
      <c r="BA207" s="164"/>
      <c r="BB207" s="165"/>
      <c r="BC207" s="40"/>
      <c r="BD207" s="35"/>
      <c r="BE207" s="115" t="str">
        <f>IF([7]回答表!X45="○",[7]回答表!B326,IF([7]回答表!AA45="○",[7]回答表!B343,""))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IF([7]回答表!X45="○",[7]回答表!E326,IF([7]回答表!AA45="○",[7]回答表!E343,""))</f>
        <v/>
      </c>
      <c r="BF210" s="83"/>
      <c r="BG210" s="83"/>
      <c r="BH210" s="83"/>
      <c r="BI210" s="82" t="str">
        <f>IF([7]回答表!X45="○",[7]回答表!E327,IF([7]回答表!AA45="○",[7]回答表!E344,""))</f>
        <v/>
      </c>
      <c r="BJ210" s="83"/>
      <c r="BK210" s="83"/>
      <c r="BL210" s="86"/>
      <c r="BM210" s="82" t="str">
        <f>IF([7]回答表!X45="○",[7]回答表!E328,IF([7]回答表!AA45="○",[7]回答表!E345,""))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IF([7]回答表!AA45="○","○","")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IF([7]回答表!AD45="○","○","")</f>
        <v/>
      </c>
      <c r="O219" s="98"/>
      <c r="P219" s="98"/>
      <c r="Q219" s="99"/>
      <c r="R219" s="39"/>
      <c r="S219" s="39"/>
      <c r="T219" s="39"/>
      <c r="U219" s="106" t="str">
        <f>IF([7]回答表!AD45="○",[7]回答表!B350,"")</f>
        <v/>
      </c>
      <c r="V219" s="107"/>
      <c r="W219" s="107"/>
      <c r="X219" s="107"/>
      <c r="Y219" s="107"/>
      <c r="Z219" s="107"/>
      <c r="AA219" s="107"/>
      <c r="AB219" s="107"/>
      <c r="AC219" s="107"/>
      <c r="AD219" s="107"/>
      <c r="AE219" s="107"/>
      <c r="AF219" s="107"/>
      <c r="AG219" s="107"/>
      <c r="AH219" s="107"/>
      <c r="AI219" s="107"/>
      <c r="AJ219" s="108"/>
      <c r="AK219" s="61"/>
      <c r="AL219" s="61"/>
      <c r="AM219" s="106" t="str">
        <f>IF([7]回答表!AD45="○",[7]回答表!B356,"")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IF([7]回答表!X46="○","○","")</f>
        <v/>
      </c>
      <c r="O231" s="98"/>
      <c r="P231" s="98"/>
      <c r="Q231" s="99"/>
      <c r="R231" s="39"/>
      <c r="S231" s="39"/>
      <c r="T231" s="39"/>
      <c r="U231" s="106" t="str">
        <f>IF([7]回答表!X46="○",[7]回答表!B368,IF([7]回答表!AA46="○",[7]回答表!B382,""))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IF([7]回答表!X46="○",[7]回答表!BC375,IF([7]回答表!AA46="○",[7]回答表!BC389,""))</f>
        <v/>
      </c>
      <c r="AR231" s="150"/>
      <c r="AS231" s="150"/>
      <c r="AT231" s="150"/>
      <c r="AU231" s="155" t="s">
        <v>63</v>
      </c>
      <c r="AV231" s="156"/>
      <c r="AW231" s="156"/>
      <c r="AX231" s="157"/>
      <c r="AY231" s="150" t="str">
        <f>IF([7]回答表!X46="○",[7]回答表!BC380,IF([7]回答表!AA46="○",[7]回答表!BC394,""))</f>
        <v/>
      </c>
      <c r="AZ231" s="150"/>
      <c r="BA231" s="150"/>
      <c r="BB231" s="150"/>
      <c r="BC231" s="40"/>
      <c r="BD231" s="35"/>
      <c r="BE231" s="115" t="str">
        <f>IF([7]回答表!X46="○",[7]回答表!S374,IF([7]回答表!AA46="○",[7]回答表!S388,""))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IF([7]回答表!X46="○",[7]回答表!BC376,IF([7]回答表!AA46="○",[7]回答表!BC390,""))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IF([7]回答表!X46="○",[7]回答表!V374,IF([7]回答表!AA46="○",[7]回答表!V388,""))</f>
        <v/>
      </c>
      <c r="BF234" s="83"/>
      <c r="BG234" s="83"/>
      <c r="BH234" s="83"/>
      <c r="BI234" s="82" t="str">
        <f>IF([7]回答表!X46="○",[7]回答表!V375,IF([7]回答表!AA46="○",[7]回答表!V389,""))</f>
        <v/>
      </c>
      <c r="BJ234" s="83"/>
      <c r="BK234" s="83"/>
      <c r="BL234" s="86"/>
      <c r="BM234" s="82" t="str">
        <f>IF([7]回答表!X46="○",[7]回答表!V376,IF([7]回答表!AA46="○",[7]回答表!V390,""))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IF([7]回答表!X46="○",[7]回答表!BC377,IF([7]回答表!AA46="○",[7]回答表!BC391,""))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IF([7]回答表!X46="○",[7]回答表!BC381,IF([7]回答表!AA46="○",[7]回答表!BC395,""))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IF([7]回答表!AA46="○","○","")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IF([7]回答表!X46="○",[7]回答表!BC378,IF([7]回答表!AA46="○",[7]回答表!BC392,""))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IF([7]回答表!X46="○",[7]回答表!BC379,IF([7]回答表!AA46="○",[7]回答表!BC393,""))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IF([7]回答表!AD46="○","○","")</f>
        <v/>
      </c>
      <c r="O243" s="98"/>
      <c r="P243" s="98"/>
      <c r="Q243" s="99"/>
      <c r="R243" s="39"/>
      <c r="S243" s="39"/>
      <c r="T243" s="39"/>
      <c r="U243" s="106" t="str">
        <f>IF([7]回答表!AD46="○",[7]回答表!B396,"")</f>
        <v/>
      </c>
      <c r="V243" s="107"/>
      <c r="W243" s="107"/>
      <c r="X243" s="107"/>
      <c r="Y243" s="107"/>
      <c r="Z243" s="107"/>
      <c r="AA243" s="107"/>
      <c r="AB243" s="107"/>
      <c r="AC243" s="107"/>
      <c r="AD243" s="107"/>
      <c r="AE243" s="107"/>
      <c r="AF243" s="107"/>
      <c r="AG243" s="107"/>
      <c r="AH243" s="107"/>
      <c r="AI243" s="107"/>
      <c r="AJ243" s="108"/>
      <c r="AK243" s="56"/>
      <c r="AL243" s="56"/>
      <c r="AM243" s="106" t="str">
        <f>IF([7]回答表!AD46="○",[7]回答表!B402,"")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IF([7]回答表!X47="○","○","")</f>
        <v/>
      </c>
      <c r="O254" s="98"/>
      <c r="P254" s="98"/>
      <c r="Q254" s="99"/>
      <c r="R254" s="39"/>
      <c r="S254" s="39"/>
      <c r="T254" s="39"/>
      <c r="U254" s="106" t="str">
        <f>IF([7]回答表!X47="○",[7]回答表!B414,IF([7]回答表!AA47="○",[7]回答表!B431,""))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IF([7]回答表!X47="○",[7]回答表!B424,IF([7]回答表!AA47="○",[7]回答表!B441,""))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IF([7]回答表!X47="○",[7]回答表!G420,IF([7]回答表!AA47="○",[7]回答表!G437,""))</f>
        <v/>
      </c>
      <c r="AN256" s="119"/>
      <c r="AO256" s="119"/>
      <c r="AP256" s="119"/>
      <c r="AQ256" s="119"/>
      <c r="AR256" s="119"/>
      <c r="AS256" s="119"/>
      <c r="AT256" s="120"/>
      <c r="AU256" s="118" t="str">
        <f>IF([7]回答表!X47="○",[7]回答表!G421,IF([7]回答表!AA47="○",[7]回答表!G438,""))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IF([7]回答表!X47="○",[7]回答表!E424,IF([7]回答表!AA47="○",[7]回答表!E441,""))</f>
        <v/>
      </c>
      <c r="BF257" s="83"/>
      <c r="BG257" s="83"/>
      <c r="BH257" s="83"/>
      <c r="BI257" s="82" t="str">
        <f>IF([7]回答表!X47="○",[7]回答表!E425,IF([7]回答表!AA47="○",[7]回答表!E442,""))</f>
        <v/>
      </c>
      <c r="BJ257" s="83"/>
      <c r="BK257" s="83"/>
      <c r="BL257" s="86"/>
      <c r="BM257" s="82" t="str">
        <f>IF([7]回答表!X47="○",[7]回答表!E426,IF([7]回答表!AA47="○",[7]回答表!E443,""))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IF([7]回答表!AA47="○","○","")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IF([7]回答表!AD47="○","○","")</f>
        <v/>
      </c>
      <c r="O266" s="98"/>
      <c r="P266" s="98"/>
      <c r="Q266" s="99"/>
      <c r="R266" s="39"/>
      <c r="S266" s="39"/>
      <c r="T266" s="39"/>
      <c r="U266" s="106" t="str">
        <f>IF([7]回答表!AD47="○",[7]回答表!B448,"")</f>
        <v/>
      </c>
      <c r="V266" s="107"/>
      <c r="W266" s="107"/>
      <c r="X266" s="107"/>
      <c r="Y266" s="107"/>
      <c r="Z266" s="107"/>
      <c r="AA266" s="107"/>
      <c r="AB266" s="107"/>
      <c r="AC266" s="107"/>
      <c r="AD266" s="107"/>
      <c r="AE266" s="107"/>
      <c r="AF266" s="107"/>
      <c r="AG266" s="107"/>
      <c r="AH266" s="107"/>
      <c r="AI266" s="107"/>
      <c r="AJ266" s="108"/>
      <c r="AK266" s="50"/>
      <c r="AL266" s="50"/>
      <c r="AM266" s="106" t="str">
        <f>IF([7]回答表!AD47="○",[7]回答表!B454,"")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IF([7]回答表!R48="○",[7]回答表!B467,"")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DE152-E583-41E3-AC8D-D284ADF09E13}">
  <sheetPr>
    <pageSetUpPr fitToPage="1"/>
  </sheetPr>
  <dimension ref="A1:CE298"/>
  <sheetViews>
    <sheetView showZeros="0"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IF(COUNTIF([9]回答表!K15,"*")&gt;0,[9]回答表!K15,"")</f>
        <v>由利本荘市</v>
      </c>
      <c r="D11" s="246"/>
      <c r="E11" s="246"/>
      <c r="F11" s="246"/>
      <c r="G11" s="246"/>
      <c r="H11" s="246"/>
      <c r="I11" s="246"/>
      <c r="J11" s="246"/>
      <c r="K11" s="246"/>
      <c r="L11" s="246"/>
      <c r="M11" s="246"/>
      <c r="N11" s="246"/>
      <c r="O11" s="246"/>
      <c r="P11" s="246"/>
      <c r="Q11" s="246"/>
      <c r="R11" s="246"/>
      <c r="S11" s="246"/>
      <c r="T11" s="246"/>
      <c r="U11" s="253" t="str">
        <f>IF(COUNTIF([9]回答表!F17,"*")&gt;0,[9]回答表!F17,"")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IF(COUNTIF([9]回答表!W17,"*")&gt;0,[9]回答表!W17,"")</f>
        <v>農業集落排水施設</v>
      </c>
      <c r="AP11" s="248"/>
      <c r="AQ11" s="248"/>
      <c r="AR11" s="248"/>
      <c r="AS11" s="248"/>
      <c r="AT11" s="248"/>
      <c r="AU11" s="248"/>
      <c r="AV11" s="248"/>
      <c r="AW11" s="248"/>
      <c r="AX11" s="248"/>
      <c r="AY11" s="248"/>
      <c r="AZ11" s="248"/>
      <c r="BA11" s="248"/>
      <c r="BB11" s="248"/>
      <c r="BC11" s="248"/>
      <c r="BD11" s="248"/>
      <c r="BE11" s="249"/>
      <c r="BF11" s="252" t="str">
        <f>IF(COUNTIF([9]回答表!F19,"*")&gt;0,[9]回答表!F19,"")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IF([9]回答表!R41="○","○","")</f>
        <v/>
      </c>
      <c r="E24" s="122"/>
      <c r="F24" s="122"/>
      <c r="G24" s="122"/>
      <c r="H24" s="122"/>
      <c r="I24" s="122"/>
      <c r="J24" s="123"/>
      <c r="K24" s="121" t="str">
        <f>IF([9]回答表!R42="○","○","")</f>
        <v/>
      </c>
      <c r="L24" s="122"/>
      <c r="M24" s="122"/>
      <c r="N24" s="122"/>
      <c r="O24" s="122"/>
      <c r="P24" s="122"/>
      <c r="Q24" s="123"/>
      <c r="R24" s="121" t="str">
        <f>IF([9]回答表!R43="○","○","")</f>
        <v>○</v>
      </c>
      <c r="S24" s="122"/>
      <c r="T24" s="122"/>
      <c r="U24" s="122"/>
      <c r="V24" s="122"/>
      <c r="W24" s="122"/>
      <c r="X24" s="123"/>
      <c r="Y24" s="121" t="str">
        <f>IF([9]回答表!R44="○","○","")</f>
        <v/>
      </c>
      <c r="Z24" s="122"/>
      <c r="AA24" s="122"/>
      <c r="AB24" s="122"/>
      <c r="AC24" s="122"/>
      <c r="AD24" s="122"/>
      <c r="AE24" s="123"/>
      <c r="AF24" s="121" t="str">
        <f>IF([9]回答表!R45="○","○","")</f>
        <v/>
      </c>
      <c r="AG24" s="122"/>
      <c r="AH24" s="122"/>
      <c r="AI24" s="122"/>
      <c r="AJ24" s="122"/>
      <c r="AK24" s="122"/>
      <c r="AL24" s="123"/>
      <c r="AM24" s="121" t="str">
        <f>IF([9]回答表!R46="○","○","")</f>
        <v/>
      </c>
      <c r="AN24" s="122"/>
      <c r="AO24" s="122"/>
      <c r="AP24" s="122"/>
      <c r="AQ24" s="122"/>
      <c r="AR24" s="122"/>
      <c r="AS24" s="123"/>
      <c r="AT24" s="121" t="str">
        <f>IF([9]回答表!R47="○","○","")</f>
        <v/>
      </c>
      <c r="AU24" s="122"/>
      <c r="AV24" s="122"/>
      <c r="AW24" s="122"/>
      <c r="AX24" s="122"/>
      <c r="AY24" s="122"/>
      <c r="AZ24" s="123"/>
      <c r="BA24" s="19"/>
      <c r="BB24" s="118" t="str">
        <f>IF([9]回答表!R48="○","○","")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IF([9]回答表!X41="○","○","")</f>
        <v/>
      </c>
      <c r="O36" s="98"/>
      <c r="P36" s="98"/>
      <c r="Q36" s="99"/>
      <c r="R36" s="39"/>
      <c r="S36" s="39"/>
      <c r="T36" s="39"/>
      <c r="U36" s="106" t="str">
        <f>IF([9]回答表!X41="○",[9]回答表!B56,IF([9]回答表!AA41="○",[9]回答表!B76,""))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IF([9]回答表!X41="○",[9]回答表!S62,IF([9]回答表!AA41="○",[9]回答表!S82,""))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IF([9]回答表!X41="○",[9]回答表!G62,IF([9]回答表!AA41="○",[9]回答表!G82,""))</f>
        <v/>
      </c>
      <c r="AN38" s="119"/>
      <c r="AO38" s="119"/>
      <c r="AP38" s="119"/>
      <c r="AQ38" s="119"/>
      <c r="AR38" s="119"/>
      <c r="AS38" s="119"/>
      <c r="AT38" s="120"/>
      <c r="AU38" s="118" t="str">
        <f>IF([9]回答表!X41="○",[9]回答表!G63,IF([9]回答表!AA41="○",[9]回答表!G83,""))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IF([9]回答表!X41="○",[9]回答表!V62,IF([9]回答表!AA41="○",[9]回答表!V82,""))</f>
        <v/>
      </c>
      <c r="BF39" s="199"/>
      <c r="BG39" s="199"/>
      <c r="BH39" s="200"/>
      <c r="BI39" s="82" t="str">
        <f>IF([9]回答表!X41="○",[9]回答表!V63,IF([9]回答表!AA41="○",[9]回答表!V83,""))</f>
        <v/>
      </c>
      <c r="BJ39" s="199"/>
      <c r="BK39" s="199"/>
      <c r="BL39" s="200"/>
      <c r="BM39" s="82" t="str">
        <f>IF([9]回答表!X41="○",[9]回答表!V64,IF([9]回答表!AA41="○",[9]回答表!V84,""))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IF([9]回答表!X41="○",[9]回答表!O68,IF([9]回答表!AA41="○",[9]回答表!O88,""))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IF([9]回答表!X41="○",[9]回答表!O69,IF([9]回答表!AA41="○",[9]回答表!O89,""))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IF([9]回答表!AA41="○","○","")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IF([9]回答表!X41="○",[9]回答表!O70,IF([9]回答表!AA41="○",[9]回答表!O90,""))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IF([9]回答表!X41="○",[9]回答表!O71,IF([9]回答表!AA41="○",[9]回答表!O91,""))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IF([9]回答表!X41="○",[9]回答表!AG68,IF([9]回答表!AA41="○",[9]回答表!AG88,""))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IF([9]回答表!X41="○",[9]回答表!AG69,IF([9]回答表!AA41="○",[9]回答表!AG89,""))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IF([9]回答表!X41="○",[9]回答表!AG70,IF([9]回答表!AA41="○",[9]回答表!AG90,""))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IF([9]回答表!AD41="○","○","")</f>
        <v/>
      </c>
      <c r="O52" s="98"/>
      <c r="P52" s="98"/>
      <c r="Q52" s="99"/>
      <c r="R52" s="39"/>
      <c r="S52" s="39"/>
      <c r="T52" s="39"/>
      <c r="U52" s="106" t="str">
        <f>IF([9]回答表!AD41="○",[9]回答表!B96,"")</f>
        <v/>
      </c>
      <c r="V52" s="107"/>
      <c r="W52" s="107"/>
      <c r="X52" s="107"/>
      <c r="Y52" s="107"/>
      <c r="Z52" s="107"/>
      <c r="AA52" s="107"/>
      <c r="AB52" s="107"/>
      <c r="AC52" s="107"/>
      <c r="AD52" s="107"/>
      <c r="AE52" s="107"/>
      <c r="AF52" s="107"/>
      <c r="AG52" s="107"/>
      <c r="AH52" s="107"/>
      <c r="AI52" s="107"/>
      <c r="AJ52" s="108"/>
      <c r="AK52" s="56"/>
      <c r="AL52" s="56"/>
      <c r="AM52" s="106" t="str">
        <f>IF([9]回答表!AD41="○",[9]回答表!B101,"")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IF([9]回答表!X42="○","○","")</f>
        <v/>
      </c>
      <c r="O63" s="98"/>
      <c r="P63" s="98"/>
      <c r="Q63" s="99"/>
      <c r="R63" s="39"/>
      <c r="S63" s="39"/>
      <c r="T63" s="39"/>
      <c r="U63" s="106" t="str">
        <f>IF([9]回答表!X42="○",[9]回答表!B111,IF([9]回答表!AA42="○",[9]回答表!B124,""))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IF([9]回答表!X42="○",[9]回答表!S117,IF([9]回答表!AA42="○",[9]回答表!S130,""))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IF([9]回答表!X42="○",[9]回答表!J117,IF([9]回答表!AA42="○",[9]回答表!J130,""))</f>
        <v/>
      </c>
      <c r="AN66" s="119"/>
      <c r="AO66" s="119"/>
      <c r="AP66" s="119"/>
      <c r="AQ66" s="119"/>
      <c r="AR66" s="119"/>
      <c r="AS66" s="119"/>
      <c r="AT66" s="120"/>
      <c r="AU66" s="118" t="str">
        <f>IF([9]回答表!X42="○",[9]回答表!J118,IF([9]回答表!AA42="○",[9]回答表!J131,""))</f>
        <v/>
      </c>
      <c r="AV66" s="119"/>
      <c r="AW66" s="119"/>
      <c r="AX66" s="119"/>
      <c r="AY66" s="119"/>
      <c r="AZ66" s="119"/>
      <c r="BA66" s="119"/>
      <c r="BB66" s="120"/>
      <c r="BC66" s="40"/>
      <c r="BD66" s="35"/>
      <c r="BE66" s="82" t="str">
        <f>IF([9]回答表!X42="○",[9]回答表!V117,IF([9]回答表!AA42="○",[9]回答表!V130,""))</f>
        <v/>
      </c>
      <c r="BF66" s="83"/>
      <c r="BG66" s="83"/>
      <c r="BH66" s="83"/>
      <c r="BI66" s="82" t="str">
        <f>IF([9]回答表!X42="○",[9]回答表!V118,IF([9]回答表!AA42="○",[9]回答表!V131,""))</f>
        <v/>
      </c>
      <c r="BJ66" s="83"/>
      <c r="BK66" s="83"/>
      <c r="BL66" s="83"/>
      <c r="BM66" s="82" t="str">
        <f>IF([9]回答表!X42="○",[9]回答表!V119,IF([9]回答表!AA42="○",[9]回答表!V132,""))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IF([9]回答表!AA42="○","○","")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IF([9]回答表!AD42="○","○","")</f>
        <v/>
      </c>
      <c r="O75" s="98"/>
      <c r="P75" s="98"/>
      <c r="Q75" s="99"/>
      <c r="R75" s="39"/>
      <c r="S75" s="39"/>
      <c r="T75" s="39"/>
      <c r="U75" s="106" t="str">
        <f>IF([9]回答表!AD42="○",[9]回答表!B137,"")</f>
        <v/>
      </c>
      <c r="V75" s="107"/>
      <c r="W75" s="107"/>
      <c r="X75" s="107"/>
      <c r="Y75" s="107"/>
      <c r="Z75" s="107"/>
      <c r="AA75" s="107"/>
      <c r="AB75" s="107"/>
      <c r="AC75" s="107"/>
      <c r="AD75" s="107"/>
      <c r="AE75" s="107"/>
      <c r="AF75" s="107"/>
      <c r="AG75" s="107"/>
      <c r="AH75" s="107"/>
      <c r="AI75" s="107"/>
      <c r="AJ75" s="108"/>
      <c r="AK75" s="56"/>
      <c r="AL75" s="56"/>
      <c r="AM75" s="106" t="str">
        <f>IF([9]回答表!AD42="○",[9]回答表!B143,"")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IF([9]回答表!F17="水道事業",IF([9]回答表!X43="○","○",""),"")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IF([9]回答表!F17="水道事業",IF([9]回答表!X43="○",[9]回答表!B154,IF([9]回答表!AA43="○",[9]回答表!B201,"")),"")</f>
        <v/>
      </c>
      <c r="AN87" s="107"/>
      <c r="AO87" s="107"/>
      <c r="AP87" s="107"/>
      <c r="AQ87" s="107"/>
      <c r="AR87" s="107"/>
      <c r="AS87" s="107"/>
      <c r="AT87" s="107"/>
      <c r="AU87" s="107"/>
      <c r="AV87" s="107"/>
      <c r="AW87" s="107"/>
      <c r="AX87" s="107"/>
      <c r="AY87" s="107"/>
      <c r="AZ87" s="107"/>
      <c r="BA87" s="107"/>
      <c r="BB87" s="108"/>
      <c r="BC87" s="40"/>
      <c r="BD87" s="35"/>
      <c r="BE87" s="115" t="str">
        <f>IF([9]回答表!F17="水道事業",IF([9]回答表!X43="○",[9]回答表!B190,IF([9]回答表!AA43="○",[9]回答表!B238,"")),"")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IF([9]回答表!F17="水道事業",IF([9]回答表!X43="○",[9]回答表!J162,IF([9]回答表!AA43="○",[9]回答表!J209,"")),"")</f>
        <v/>
      </c>
      <c r="V89" s="119"/>
      <c r="W89" s="119"/>
      <c r="X89" s="119"/>
      <c r="Y89" s="119"/>
      <c r="Z89" s="119"/>
      <c r="AA89" s="119"/>
      <c r="AB89" s="120"/>
      <c r="AC89" s="118" t="str">
        <f>IF([9]回答表!F17="水道事業",IF([9]回答表!X43="○",[9]回答表!J169,IF([9]回答表!AA43="○",[9]回答表!J216,"")),"")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IF([9]回答表!F17="水道事業",IF([9]回答表!X43="○",[9]回答表!E190,IF([9]回答表!AA43="○",[9]回答表!E238,"")),"")</f>
        <v/>
      </c>
      <c r="BF90" s="83"/>
      <c r="BG90" s="83"/>
      <c r="BH90" s="83"/>
      <c r="BI90" s="82" t="str">
        <f>IF([9]回答表!F17="水道事業",IF([9]回答表!X43="○",[9]回答表!E191,IF([9]回答表!AA43="○",[9]回答表!E239,"")),"")</f>
        <v/>
      </c>
      <c r="BJ90" s="83"/>
      <c r="BK90" s="83"/>
      <c r="BL90" s="83"/>
      <c r="BM90" s="82" t="str">
        <f>IF([9]回答表!F17="水道事業",IF([9]回答表!X43="○",[9]回答表!E192,IF([9]回答表!AA43="○",[9]回答表!E240,"")),"")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IF([9]回答表!F17="水道事業",IF([9]回答表!AA43="○","○",""),"")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IF([9]回答表!F17="水道事業",IF([9]回答表!X43="○",[9]回答表!J172,IF([9]回答表!AA43="○",[9]回答表!J219,"")),"")</f>
        <v/>
      </c>
      <c r="V94" s="119"/>
      <c r="W94" s="119"/>
      <c r="X94" s="119"/>
      <c r="Y94" s="119"/>
      <c r="Z94" s="119"/>
      <c r="AA94" s="119"/>
      <c r="AB94" s="120"/>
      <c r="AC94" s="118" t="str">
        <f>IF([9]回答表!F17="水道事業",IF([9]回答表!X43="○",[9]回答表!J176,IF([9]回答表!AA43="○",[9]回答表!J223,"")),"")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IF([9]回答表!F17="水道事業",IF([9]回答表!AD43="○","○",""),"")</f>
        <v/>
      </c>
      <c r="O99" s="98"/>
      <c r="P99" s="98"/>
      <c r="Q99" s="99"/>
      <c r="R99" s="39"/>
      <c r="S99" s="39"/>
      <c r="T99" s="39"/>
      <c r="U99" s="106" t="str">
        <f>IF([9]回答表!F17="水道事業",IF([9]回答表!AD43="○",[9]回答表!B249,""),"")</f>
        <v/>
      </c>
      <c r="V99" s="107"/>
      <c r="W99" s="107"/>
      <c r="X99" s="107"/>
      <c r="Y99" s="107"/>
      <c r="Z99" s="107"/>
      <c r="AA99" s="107"/>
      <c r="AB99" s="107"/>
      <c r="AC99" s="107"/>
      <c r="AD99" s="107"/>
      <c r="AE99" s="107"/>
      <c r="AF99" s="107"/>
      <c r="AG99" s="107"/>
      <c r="AH99" s="107"/>
      <c r="AI99" s="107"/>
      <c r="AJ99" s="108"/>
      <c r="AK99" s="56"/>
      <c r="AL99" s="56"/>
      <c r="AM99" s="106" t="str">
        <f>IF([9]回答表!F17="水道事業",IF([9]回答表!AD43="○",[9]回答表!B255,""),"")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IF([9]回答表!F17="簡易水道事業",IF([9]回答表!X43="○","○",""),"")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IF([9]回答表!F17="簡易水道事業",IF([9]回答表!X43="○",[9]回答表!B154,IF([9]回答表!AA43="○",[9]回答表!B201,"")),"")</f>
        <v/>
      </c>
      <c r="AN111" s="107"/>
      <c r="AO111" s="107"/>
      <c r="AP111" s="107"/>
      <c r="AQ111" s="107"/>
      <c r="AR111" s="107"/>
      <c r="AS111" s="107"/>
      <c r="AT111" s="107"/>
      <c r="AU111" s="107"/>
      <c r="AV111" s="107"/>
      <c r="AW111" s="107"/>
      <c r="AX111" s="107"/>
      <c r="AY111" s="107"/>
      <c r="AZ111" s="107"/>
      <c r="BA111" s="107"/>
      <c r="BB111" s="108"/>
      <c r="BC111" s="40"/>
      <c r="BD111" s="35"/>
      <c r="BE111" s="115" t="str">
        <f>IF([9]回答表!F17="簡易水道事業",IF([9]回答表!X43="○",[9]回答表!B190,IF([9]回答表!AA43="○",[9]回答表!B238,"")),"")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IF([9]回答表!F17="簡易水道事業",IF([9]回答表!X43="○",[9]回答表!Y181,IF([9]回答表!AA43="○",[9]回答表!Y229,"")),"")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IF([9]回答表!F17="簡易水道事業",IF([9]回答表!X43="○",[9]回答表!E190,IF([9]回答表!AA43="○",[9]回答表!E238,"")),"")</f>
        <v/>
      </c>
      <c r="BF114" s="83"/>
      <c r="BG114" s="83"/>
      <c r="BH114" s="83"/>
      <c r="BI114" s="82" t="str">
        <f>IF([9]回答表!F17="簡易水道事業",IF([9]回答表!X43="○",[9]回答表!E191,IF([9]回答表!AA43="○",[9]回答表!E239,"")),"")</f>
        <v/>
      </c>
      <c r="BJ114" s="83"/>
      <c r="BK114" s="83"/>
      <c r="BL114" s="83"/>
      <c r="BM114" s="82" t="str">
        <f>IF([9]回答表!F17="簡易水道事業",IF([9]回答表!X43="○",[9]回答表!E192,IF([9]回答表!AA43="○",[9]回答表!E240,"")),"")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IF([9]回答表!F17="簡易水道事業",IF([9]回答表!AA43="○","○",""),"")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IF([9]回答表!F17="簡易水道事業",IF([9]回答表!X43="○",[9]回答表!Y182,IF([9]回答表!AA43="○",[9]回答表!Y230,"")),"")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IF([9]回答表!F17="簡易水道事業",IF([9]回答表!AD43="○","○",""),"")</f>
        <v/>
      </c>
      <c r="O123" s="98"/>
      <c r="P123" s="98"/>
      <c r="Q123" s="99"/>
      <c r="R123" s="39"/>
      <c r="S123" s="39"/>
      <c r="T123" s="39"/>
      <c r="U123" s="106" t="str">
        <f>IF([9]回答表!F17="簡易水道事業",IF([9]回答表!AD43="○",[9]回答表!B249,""),"")</f>
        <v/>
      </c>
      <c r="V123" s="107"/>
      <c r="W123" s="107"/>
      <c r="X123" s="107"/>
      <c r="Y123" s="107"/>
      <c r="Z123" s="107"/>
      <c r="AA123" s="107"/>
      <c r="AB123" s="107"/>
      <c r="AC123" s="107"/>
      <c r="AD123" s="107"/>
      <c r="AE123" s="107"/>
      <c r="AF123" s="107"/>
      <c r="AG123" s="107"/>
      <c r="AH123" s="107"/>
      <c r="AI123" s="107"/>
      <c r="AJ123" s="108"/>
      <c r="AK123" s="56"/>
      <c r="AL123" s="56"/>
      <c r="AM123" s="106" t="str">
        <f>IF([9]回答表!F17="簡易水道事業",IF([9]回答表!AD43="○",[9]回答表!B255,""),"")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IF([9]回答表!F17="下水道事業",IF([9]回答表!X43="○","○",""),"")</f>
        <v>○</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IF([9]回答表!F17="下水道事業",IF([9]回答表!X43="○",[9]回答表!B154,IF([9]回答表!AA43="○",[9]回答表!B201,"")),"")</f>
        <v>平成23年度～令和元年度まで4処理施設を廃止し近隣施設へ統合し、維持管理費約5,000千円の経費削減をしている。</v>
      </c>
      <c r="AN135" s="107"/>
      <c r="AO135" s="107"/>
      <c r="AP135" s="107"/>
      <c r="AQ135" s="107"/>
      <c r="AR135" s="107"/>
      <c r="AS135" s="107"/>
      <c r="AT135" s="107"/>
      <c r="AU135" s="107"/>
      <c r="AV135" s="107"/>
      <c r="AW135" s="107"/>
      <c r="AX135" s="107"/>
      <c r="AY135" s="107"/>
      <c r="AZ135" s="107"/>
      <c r="BA135" s="107"/>
      <c r="BB135" s="108"/>
      <c r="BC135" s="40"/>
      <c r="BD135" s="35"/>
      <c r="BE135" s="115" t="str">
        <f>IF([9]回答表!F17="下水道事業",IF([9]回答表!X43="○",[9]回答表!B190,IF([9]回答表!AA43="○",[9]回答表!B238,"")),"")</f>
        <v>平成</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IF([9]回答表!F17="下水道事業",IF([9]回答表!X43="○",[9]回答表!Y184,IF([9]回答表!AA43="○",[9]回答表!Y232,"")),"")</f>
        <v>○</v>
      </c>
      <c r="V137" s="119"/>
      <c r="W137" s="119"/>
      <c r="X137" s="119"/>
      <c r="Y137" s="119"/>
      <c r="Z137" s="119"/>
      <c r="AA137" s="119"/>
      <c r="AB137" s="120"/>
      <c r="AC137" s="118">
        <f>IF([9]回答表!F17="下水道事業",IF([9]回答表!X43="○",[9]回答表!Y185,IF([9]回答表!AA43="○",[9]回答表!Y233,"")),"")</f>
        <v>0</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f>IF([9]回答表!F17="下水道事業",IF([9]回答表!X43="○",[9]回答表!E190,IF([9]回答表!AA43="○",[9]回答表!E238,"")),"")</f>
        <v>23</v>
      </c>
      <c r="BF138" s="83"/>
      <c r="BG138" s="83"/>
      <c r="BH138" s="83"/>
      <c r="BI138" s="82">
        <f>IF([9]回答表!F17="下水道事業",IF([9]回答表!X43="○",[9]回答表!E191,IF([9]回答表!AA43="○",[9]回答表!E239,"")),"")</f>
        <v>4</v>
      </c>
      <c r="BJ138" s="83"/>
      <c r="BK138" s="83"/>
      <c r="BL138" s="83"/>
      <c r="BM138" s="82">
        <f>IF([9]回答表!F17="下水道事業",IF([9]回答表!X43="○",[9]回答表!E192,IF([9]回答表!AA43="○",[9]回答表!E240,"")),"")</f>
        <v>1</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IF([9]回答表!F17="下水道事業",IF([9]回答表!AA43="○","○",""),"")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f>IF([9]回答表!F17="下水道事業",IF([9]回答表!X43="○",[9]回答表!Y186,IF([9]回答表!AA43="○",[9]回答表!Y234,"")),"")</f>
        <v>0</v>
      </c>
      <c r="V142" s="119"/>
      <c r="W142" s="119"/>
      <c r="X142" s="119"/>
      <c r="Y142" s="119"/>
      <c r="Z142" s="119"/>
      <c r="AA142" s="119"/>
      <c r="AB142" s="120"/>
      <c r="AC142" s="118">
        <f>IF([9]回答表!F17="下水道事業",IF([9]回答表!X43="○",[9]回答表!Y187,IF([9]回答表!AA43="○",[9]回答表!Y235,"")),"")</f>
        <v>0</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IF([9]回答表!F17="下水道事業",IF([9]回答表!AD43="○","○",""),"")</f>
        <v/>
      </c>
      <c r="O147" s="98"/>
      <c r="P147" s="98"/>
      <c r="Q147" s="99"/>
      <c r="R147" s="39"/>
      <c r="S147" s="39"/>
      <c r="T147" s="39"/>
      <c r="U147" s="106" t="str">
        <f>IF([9]回答表!F17="下水道事業",IF([9]回答表!AD43="○",[9]回答表!B249,""),"")</f>
        <v/>
      </c>
      <c r="V147" s="107"/>
      <c r="W147" s="107"/>
      <c r="X147" s="107"/>
      <c r="Y147" s="107"/>
      <c r="Z147" s="107"/>
      <c r="AA147" s="107"/>
      <c r="AB147" s="107"/>
      <c r="AC147" s="107"/>
      <c r="AD147" s="107"/>
      <c r="AE147" s="107"/>
      <c r="AF147" s="107"/>
      <c r="AG147" s="107"/>
      <c r="AH147" s="107"/>
      <c r="AI147" s="107"/>
      <c r="AJ147" s="108"/>
      <c r="AK147" s="56"/>
      <c r="AL147" s="56"/>
      <c r="AM147" s="106" t="str">
        <f>IF([9]回答表!F17="下水道事業",IF([9]回答表!AD43="○",[9]回答表!B255,""),"")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IF([9]回答表!BD17="○",IF([9]回答表!X43="○","○",""),"")</f>
        <v/>
      </c>
      <c r="O159" s="98"/>
      <c r="P159" s="98"/>
      <c r="Q159" s="99"/>
      <c r="R159" s="39"/>
      <c r="S159" s="39"/>
      <c r="T159" s="39"/>
      <c r="U159" s="106" t="str">
        <f>IF([9]回答表!BD17="○",IF([9]回答表!X43="○",[9]回答表!B154,IF([9]回答表!AA43="○",[9]回答表!B201,"")),"")</f>
        <v/>
      </c>
      <c r="V159" s="107"/>
      <c r="W159" s="107"/>
      <c r="X159" s="107"/>
      <c r="Y159" s="107"/>
      <c r="Z159" s="107"/>
      <c r="AA159" s="107"/>
      <c r="AB159" s="107"/>
      <c r="AC159" s="107"/>
      <c r="AD159" s="107"/>
      <c r="AE159" s="107"/>
      <c r="AF159" s="107"/>
      <c r="AG159" s="107"/>
      <c r="AH159" s="107"/>
      <c r="AI159" s="107"/>
      <c r="AJ159" s="108"/>
      <c r="AK159" s="50"/>
      <c r="AL159" s="50"/>
      <c r="AM159" s="115" t="str">
        <f>IF([9]回答表!BD17="○",IF([9]回答表!X43="○",[9]回答表!B190,IF([9]回答表!AA43="○",[9]回答表!B238,"")),"")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IF([9]回答表!BD17="○",IF([9]回答表!X43="○",[9]回答表!E190,IF([9]回答表!AA43="○",[9]回答表!E238,"")),"")</f>
        <v/>
      </c>
      <c r="AN162" s="83"/>
      <c r="AO162" s="83"/>
      <c r="AP162" s="83"/>
      <c r="AQ162" s="82" t="str">
        <f>IF([9]回答表!BD17="○",IF([9]回答表!X43="○",[9]回答表!E191,IF([9]回答表!AA43="○",[9]回答表!E239,"")),"")</f>
        <v/>
      </c>
      <c r="AR162" s="83"/>
      <c r="AS162" s="83"/>
      <c r="AT162" s="83"/>
      <c r="AU162" s="82" t="str">
        <f>IF([9]回答表!BD17="○",IF([9]回答表!X43="○",[9]回答表!E192,IF([9]回答表!AA43="○",[9]回答表!E240,"")),"")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IF([9]回答表!BD17="○",IF([9]回答表!AA43="○","○",""),"")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IF([9]回答表!BD17="○",IF([9]回答表!AD43="○","○",""),"")</f>
        <v/>
      </c>
      <c r="O171" s="98"/>
      <c r="P171" s="98"/>
      <c r="Q171" s="99"/>
      <c r="R171" s="39"/>
      <c r="S171" s="39"/>
      <c r="T171" s="39"/>
      <c r="U171" s="106" t="str">
        <f>IF([9]回答表!BD17="○",IF([9]回答表!AD43="○",[9]回答表!B249,""),"")</f>
        <v/>
      </c>
      <c r="V171" s="107"/>
      <c r="W171" s="107"/>
      <c r="X171" s="107"/>
      <c r="Y171" s="107"/>
      <c r="Z171" s="107"/>
      <c r="AA171" s="107"/>
      <c r="AB171" s="107"/>
      <c r="AC171" s="107"/>
      <c r="AD171" s="107"/>
      <c r="AE171" s="107"/>
      <c r="AF171" s="107"/>
      <c r="AG171" s="107"/>
      <c r="AH171" s="107"/>
      <c r="AI171" s="107"/>
      <c r="AJ171" s="108"/>
      <c r="AK171" s="56"/>
      <c r="AL171" s="56"/>
      <c r="AM171" s="106" t="str">
        <f>IF([9]回答表!BD17="○",IF([9]回答表!AD43="○",[9]回答表!B255,""),"")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IF([9]回答表!X44="○","○","")</f>
        <v/>
      </c>
      <c r="O183" s="98"/>
      <c r="P183" s="98"/>
      <c r="Q183" s="99"/>
      <c r="R183" s="39"/>
      <c r="S183" s="39"/>
      <c r="T183" s="39"/>
      <c r="U183" s="106" t="str">
        <f>IF([9]回答表!X44="○",[9]回答表!B266,IF([9]回答表!AA44="○",[9]回答表!B283,""))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IF([9]回答表!X44="○",[9]回答表!U272,IF([9]回答表!AA44="○",[9]回答表!U289,""))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IF([9]回答表!X44="○",[9]回答表!G272,IF([9]回答表!AA44="○",[9]回答表!G289,""))</f>
        <v/>
      </c>
      <c r="AN186" s="119"/>
      <c r="AO186" s="119"/>
      <c r="AP186" s="119"/>
      <c r="AQ186" s="119"/>
      <c r="AR186" s="119"/>
      <c r="AS186" s="119"/>
      <c r="AT186" s="120"/>
      <c r="AU186" s="118" t="str">
        <f>IF([9]回答表!X44="○",[9]回答表!G273,IF([9]回答表!AA44="○",[9]回答表!G290,""))</f>
        <v/>
      </c>
      <c r="AV186" s="119"/>
      <c r="AW186" s="119"/>
      <c r="AX186" s="119"/>
      <c r="AY186" s="119"/>
      <c r="AZ186" s="119"/>
      <c r="BA186" s="119"/>
      <c r="BB186" s="120"/>
      <c r="BC186" s="40"/>
      <c r="BD186" s="35"/>
      <c r="BE186" s="82" t="str">
        <f>IF([9]回答表!X44="○",[9]回答表!X272,IF([9]回答表!AA44="○",[9]回答表!X289,""))</f>
        <v/>
      </c>
      <c r="BF186" s="83"/>
      <c r="BG186" s="83"/>
      <c r="BH186" s="83"/>
      <c r="BI186" s="82" t="str">
        <f>IF([9]回答表!X44="○",[9]回答表!X273,IF([9]回答表!AA44="○",[9]回答表!X290,""))</f>
        <v/>
      </c>
      <c r="BJ186" s="83"/>
      <c r="BK186" s="83"/>
      <c r="BL186" s="86"/>
      <c r="BM186" s="82" t="str">
        <f>IF([9]回答表!X44="○",[9]回答表!X274,IF([9]回答表!AA44="○",[9]回答表!X291,""))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IF([9]回答表!AA44="○","○","")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IF([9]回答表!AD44="○","○","")</f>
        <v/>
      </c>
      <c r="O195" s="98"/>
      <c r="P195" s="98"/>
      <c r="Q195" s="99"/>
      <c r="R195" s="39"/>
      <c r="S195" s="39"/>
      <c r="T195" s="39"/>
      <c r="U195" s="106" t="str">
        <f>IF([9]回答表!AD44="○",[9]回答表!B296,"")</f>
        <v/>
      </c>
      <c r="V195" s="107"/>
      <c r="W195" s="107"/>
      <c r="X195" s="107"/>
      <c r="Y195" s="107"/>
      <c r="Z195" s="107"/>
      <c r="AA195" s="107"/>
      <c r="AB195" s="107"/>
      <c r="AC195" s="107"/>
      <c r="AD195" s="107"/>
      <c r="AE195" s="107"/>
      <c r="AF195" s="107"/>
      <c r="AG195" s="107"/>
      <c r="AH195" s="107"/>
      <c r="AI195" s="107"/>
      <c r="AJ195" s="108"/>
      <c r="AK195" s="61"/>
      <c r="AL195" s="61"/>
      <c r="AM195" s="106" t="str">
        <f>IF([9]回答表!AD44="○",[9]回答表!B302,"")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IF([9]回答表!X45="○","○","")</f>
        <v/>
      </c>
      <c r="O207" s="98"/>
      <c r="P207" s="98"/>
      <c r="Q207" s="99"/>
      <c r="R207" s="39"/>
      <c r="S207" s="39"/>
      <c r="T207" s="39"/>
      <c r="U207" s="106" t="str">
        <f>IF([9]回答表!X45="○",[9]回答表!B314,IF([9]回答表!AA45="○",[9]回答表!B337,""))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IF([9]回答表!X45="○",[9]回答表!B320,"")</f>
        <v/>
      </c>
      <c r="AO207" s="164"/>
      <c r="AP207" s="164"/>
      <c r="AQ207" s="164"/>
      <c r="AR207" s="164"/>
      <c r="AS207" s="164"/>
      <c r="AT207" s="164"/>
      <c r="AU207" s="164"/>
      <c r="AV207" s="164"/>
      <c r="AW207" s="164"/>
      <c r="AX207" s="164"/>
      <c r="AY207" s="164"/>
      <c r="AZ207" s="164"/>
      <c r="BA207" s="164"/>
      <c r="BB207" s="165"/>
      <c r="BC207" s="40"/>
      <c r="BD207" s="35"/>
      <c r="BE207" s="115" t="str">
        <f>IF([9]回答表!X45="○",[9]回答表!B326,IF([9]回答表!AA45="○",[9]回答表!B343,""))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IF([9]回答表!X45="○",[9]回答表!E326,IF([9]回答表!AA45="○",[9]回答表!E343,""))</f>
        <v/>
      </c>
      <c r="BF210" s="83"/>
      <c r="BG210" s="83"/>
      <c r="BH210" s="83"/>
      <c r="BI210" s="82" t="str">
        <f>IF([9]回答表!X45="○",[9]回答表!E327,IF([9]回答表!AA45="○",[9]回答表!E344,""))</f>
        <v/>
      </c>
      <c r="BJ210" s="83"/>
      <c r="BK210" s="83"/>
      <c r="BL210" s="86"/>
      <c r="BM210" s="82" t="str">
        <f>IF([9]回答表!X45="○",[9]回答表!E328,IF([9]回答表!AA45="○",[9]回答表!E345,""))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IF([9]回答表!AA45="○","○","")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IF([9]回答表!AD45="○","○","")</f>
        <v/>
      </c>
      <c r="O219" s="98"/>
      <c r="P219" s="98"/>
      <c r="Q219" s="99"/>
      <c r="R219" s="39"/>
      <c r="S219" s="39"/>
      <c r="T219" s="39"/>
      <c r="U219" s="106" t="str">
        <f>IF([9]回答表!AD45="○",[9]回答表!B350,"")</f>
        <v/>
      </c>
      <c r="V219" s="107"/>
      <c r="W219" s="107"/>
      <c r="X219" s="107"/>
      <c r="Y219" s="107"/>
      <c r="Z219" s="107"/>
      <c r="AA219" s="107"/>
      <c r="AB219" s="107"/>
      <c r="AC219" s="107"/>
      <c r="AD219" s="107"/>
      <c r="AE219" s="107"/>
      <c r="AF219" s="107"/>
      <c r="AG219" s="107"/>
      <c r="AH219" s="107"/>
      <c r="AI219" s="107"/>
      <c r="AJ219" s="108"/>
      <c r="AK219" s="61"/>
      <c r="AL219" s="61"/>
      <c r="AM219" s="106" t="str">
        <f>IF([9]回答表!AD45="○",[9]回答表!B356,"")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IF([9]回答表!X46="○","○","")</f>
        <v/>
      </c>
      <c r="O231" s="98"/>
      <c r="P231" s="98"/>
      <c r="Q231" s="99"/>
      <c r="R231" s="39"/>
      <c r="S231" s="39"/>
      <c r="T231" s="39"/>
      <c r="U231" s="106" t="str">
        <f>IF([9]回答表!X46="○",[9]回答表!B368,IF([9]回答表!AA46="○",[9]回答表!B382,""))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IF([9]回答表!X46="○",[9]回答表!BC375,IF([9]回答表!AA46="○",[9]回答表!BC389,""))</f>
        <v/>
      </c>
      <c r="AR231" s="150"/>
      <c r="AS231" s="150"/>
      <c r="AT231" s="150"/>
      <c r="AU231" s="155" t="s">
        <v>63</v>
      </c>
      <c r="AV231" s="156"/>
      <c r="AW231" s="156"/>
      <c r="AX231" s="157"/>
      <c r="AY231" s="150" t="str">
        <f>IF([9]回答表!X46="○",[9]回答表!BC380,IF([9]回答表!AA46="○",[9]回答表!BC394,""))</f>
        <v/>
      </c>
      <c r="AZ231" s="150"/>
      <c r="BA231" s="150"/>
      <c r="BB231" s="150"/>
      <c r="BC231" s="40"/>
      <c r="BD231" s="35"/>
      <c r="BE231" s="115" t="str">
        <f>IF([9]回答表!X46="○",[9]回答表!S374,IF([9]回答表!AA46="○",[9]回答表!S388,""))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IF([9]回答表!X46="○",[9]回答表!BC376,IF([9]回答表!AA46="○",[9]回答表!BC390,""))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IF([9]回答表!X46="○",[9]回答表!V374,IF([9]回答表!AA46="○",[9]回答表!V388,""))</f>
        <v/>
      </c>
      <c r="BF234" s="83"/>
      <c r="BG234" s="83"/>
      <c r="BH234" s="83"/>
      <c r="BI234" s="82" t="str">
        <f>IF([9]回答表!X46="○",[9]回答表!V375,IF([9]回答表!AA46="○",[9]回答表!V389,""))</f>
        <v/>
      </c>
      <c r="BJ234" s="83"/>
      <c r="BK234" s="83"/>
      <c r="BL234" s="86"/>
      <c r="BM234" s="82" t="str">
        <f>IF([9]回答表!X46="○",[9]回答表!V376,IF([9]回答表!AA46="○",[9]回答表!V390,""))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IF([9]回答表!X46="○",[9]回答表!BC377,IF([9]回答表!AA46="○",[9]回答表!BC391,""))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IF([9]回答表!X46="○",[9]回答表!BC381,IF([9]回答表!AA46="○",[9]回答表!BC395,""))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IF([9]回答表!AA46="○","○","")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IF([9]回答表!X46="○",[9]回答表!BC378,IF([9]回答表!AA46="○",[9]回答表!BC392,""))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IF([9]回答表!X46="○",[9]回答表!BC379,IF([9]回答表!AA46="○",[9]回答表!BC393,""))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IF([9]回答表!AD46="○","○","")</f>
        <v/>
      </c>
      <c r="O243" s="98"/>
      <c r="P243" s="98"/>
      <c r="Q243" s="99"/>
      <c r="R243" s="39"/>
      <c r="S243" s="39"/>
      <c r="T243" s="39"/>
      <c r="U243" s="106" t="str">
        <f>IF([9]回答表!AD46="○",[9]回答表!B396,"")</f>
        <v/>
      </c>
      <c r="V243" s="107"/>
      <c r="W243" s="107"/>
      <c r="X243" s="107"/>
      <c r="Y243" s="107"/>
      <c r="Z243" s="107"/>
      <c r="AA243" s="107"/>
      <c r="AB243" s="107"/>
      <c r="AC243" s="107"/>
      <c r="AD243" s="107"/>
      <c r="AE243" s="107"/>
      <c r="AF243" s="107"/>
      <c r="AG243" s="107"/>
      <c r="AH243" s="107"/>
      <c r="AI243" s="107"/>
      <c r="AJ243" s="108"/>
      <c r="AK243" s="56"/>
      <c r="AL243" s="56"/>
      <c r="AM243" s="106" t="str">
        <f>IF([9]回答表!AD46="○",[9]回答表!B402,"")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IF([9]回答表!X47="○","○","")</f>
        <v/>
      </c>
      <c r="O254" s="98"/>
      <c r="P254" s="98"/>
      <c r="Q254" s="99"/>
      <c r="R254" s="39"/>
      <c r="S254" s="39"/>
      <c r="T254" s="39"/>
      <c r="U254" s="106" t="str">
        <f>IF([9]回答表!X47="○",[9]回答表!B414,IF([9]回答表!AA47="○",[9]回答表!B431,""))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IF([9]回答表!X47="○",[9]回答表!B424,IF([9]回答表!AA47="○",[9]回答表!B441,""))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IF([9]回答表!X47="○",[9]回答表!G420,IF([9]回答表!AA47="○",[9]回答表!G437,""))</f>
        <v/>
      </c>
      <c r="AN256" s="119"/>
      <c r="AO256" s="119"/>
      <c r="AP256" s="119"/>
      <c r="AQ256" s="119"/>
      <c r="AR256" s="119"/>
      <c r="AS256" s="119"/>
      <c r="AT256" s="120"/>
      <c r="AU256" s="118" t="str">
        <f>IF([9]回答表!X47="○",[9]回答表!G421,IF([9]回答表!AA47="○",[9]回答表!G438,""))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IF([9]回答表!X47="○",[9]回答表!E424,IF([9]回答表!AA47="○",[9]回答表!E441,""))</f>
        <v/>
      </c>
      <c r="BF257" s="83"/>
      <c r="BG257" s="83"/>
      <c r="BH257" s="83"/>
      <c r="BI257" s="82" t="str">
        <f>IF([9]回答表!X47="○",[9]回答表!E425,IF([9]回答表!AA47="○",[9]回答表!E442,""))</f>
        <v/>
      </c>
      <c r="BJ257" s="83"/>
      <c r="BK257" s="83"/>
      <c r="BL257" s="86"/>
      <c r="BM257" s="82" t="str">
        <f>IF([9]回答表!X47="○",[9]回答表!E426,IF([9]回答表!AA47="○",[9]回答表!E443,""))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IF([9]回答表!AA47="○","○","")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IF([9]回答表!AD47="○","○","")</f>
        <v/>
      </c>
      <c r="O266" s="98"/>
      <c r="P266" s="98"/>
      <c r="Q266" s="99"/>
      <c r="R266" s="39"/>
      <c r="S266" s="39"/>
      <c r="T266" s="39"/>
      <c r="U266" s="106" t="str">
        <f>IF([9]回答表!AD47="○",[9]回答表!B448,"")</f>
        <v/>
      </c>
      <c r="V266" s="107"/>
      <c r="W266" s="107"/>
      <c r="X266" s="107"/>
      <c r="Y266" s="107"/>
      <c r="Z266" s="107"/>
      <c r="AA266" s="107"/>
      <c r="AB266" s="107"/>
      <c r="AC266" s="107"/>
      <c r="AD266" s="107"/>
      <c r="AE266" s="107"/>
      <c r="AF266" s="107"/>
      <c r="AG266" s="107"/>
      <c r="AH266" s="107"/>
      <c r="AI266" s="107"/>
      <c r="AJ266" s="108"/>
      <c r="AK266" s="50"/>
      <c r="AL266" s="50"/>
      <c r="AM266" s="106" t="str">
        <f>IF([9]回答表!AD47="○",[9]回答表!B454,"")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IF([9]回答表!R48="○",[9]回答表!B467,"")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D243:M246"/>
    <mergeCell ref="N243:Q246"/>
    <mergeCell ref="U243:AJ246"/>
    <mergeCell ref="AR105:BB106"/>
    <mergeCell ref="D107:Q108"/>
    <mergeCell ref="R107:BB108"/>
    <mergeCell ref="D111:M114"/>
    <mergeCell ref="N111:Q114"/>
    <mergeCell ref="D99:M102"/>
    <mergeCell ref="N99:Q102"/>
    <mergeCell ref="U99:AJ102"/>
    <mergeCell ref="AM99:BP102"/>
    <mergeCell ref="BI111:BL113"/>
    <mergeCell ref="U111:AJ112"/>
    <mergeCell ref="U116:AJ117"/>
    <mergeCell ref="U118:AJ120"/>
    <mergeCell ref="U113:AJ115"/>
    <mergeCell ref="AM111:BB120"/>
    <mergeCell ref="BE111:BH113"/>
    <mergeCell ref="BE114:BH117"/>
    <mergeCell ref="D117:M120"/>
    <mergeCell ref="N117:Q120"/>
    <mergeCell ref="BE118:BH120"/>
    <mergeCell ref="C11:T13"/>
    <mergeCell ref="BE261:BH263"/>
    <mergeCell ref="BI261:BL263"/>
    <mergeCell ref="BM261:BP263"/>
    <mergeCell ref="D266:M269"/>
    <mergeCell ref="N266:Q269"/>
    <mergeCell ref="U266:AJ269"/>
    <mergeCell ref="AM266:BP269"/>
    <mergeCell ref="BE254:BH256"/>
    <mergeCell ref="BI254:BL256"/>
    <mergeCell ref="AM243:BP246"/>
    <mergeCell ref="AY236:BB240"/>
    <mergeCell ref="D237:M240"/>
    <mergeCell ref="N237:Q240"/>
    <mergeCell ref="AM237:AP238"/>
    <mergeCell ref="AQ237:AT238"/>
    <mergeCell ref="BE238:BH240"/>
    <mergeCell ref="BM238:BP240"/>
    <mergeCell ref="BE234:BH237"/>
    <mergeCell ref="BI234:BL237"/>
    <mergeCell ref="BI238:BL240"/>
    <mergeCell ref="AM239:AP240"/>
    <mergeCell ref="AQ239:AT240"/>
    <mergeCell ref="D123:M126"/>
    <mergeCell ref="AR249:BB249"/>
    <mergeCell ref="D250:Q251"/>
    <mergeCell ref="R250:BB251"/>
    <mergeCell ref="D254:M257"/>
    <mergeCell ref="N254:Q257"/>
    <mergeCell ref="U254:AJ263"/>
    <mergeCell ref="BM254:BP256"/>
    <mergeCell ref="AM256:AT258"/>
    <mergeCell ref="AU256:BB258"/>
    <mergeCell ref="BE257:BH260"/>
    <mergeCell ref="BI257:BL260"/>
    <mergeCell ref="BM257:BP260"/>
    <mergeCell ref="AM254:AT255"/>
    <mergeCell ref="AU254:BB255"/>
    <mergeCell ref="D260:M263"/>
    <mergeCell ref="N260:Q263"/>
    <mergeCell ref="AO43:BB43"/>
    <mergeCell ref="N231:Q234"/>
    <mergeCell ref="U231:AJ240"/>
    <mergeCell ref="AM231:AP232"/>
    <mergeCell ref="AQ231:AT232"/>
    <mergeCell ref="AU231:AX235"/>
    <mergeCell ref="AQ235:AT236"/>
    <mergeCell ref="AU236:AX240"/>
    <mergeCell ref="N219:Q222"/>
    <mergeCell ref="N123:Q126"/>
    <mergeCell ref="U123:AJ126"/>
    <mergeCell ref="AM123:BP126"/>
    <mergeCell ref="U219:AJ222"/>
    <mergeCell ref="D83:Q84"/>
    <mergeCell ref="R83:BB84"/>
    <mergeCell ref="AM235:AP236"/>
    <mergeCell ref="AM46:AN46"/>
    <mergeCell ref="AM47:AN47"/>
    <mergeCell ref="AM48:AN48"/>
    <mergeCell ref="AC89:AJ91"/>
    <mergeCell ref="U92:AB93"/>
    <mergeCell ref="AC92:AJ93"/>
    <mergeCell ref="BM234:BP237"/>
    <mergeCell ref="D213:M216"/>
    <mergeCell ref="N213:Q216"/>
    <mergeCell ref="AR201:BB202"/>
    <mergeCell ref="D203:Q204"/>
    <mergeCell ref="R203:BB204"/>
    <mergeCell ref="D207:M210"/>
    <mergeCell ref="N207:Q210"/>
    <mergeCell ref="U207:AJ216"/>
    <mergeCell ref="AN207:BB216"/>
    <mergeCell ref="AM219:BP222"/>
    <mergeCell ref="AR225:BB226"/>
    <mergeCell ref="D227:Q228"/>
    <mergeCell ref="R227:BB228"/>
    <mergeCell ref="AY231:BB235"/>
    <mergeCell ref="BE231:BH233"/>
    <mergeCell ref="BI231:BL233"/>
    <mergeCell ref="BM231:BP233"/>
    <mergeCell ref="AM233:AP234"/>
    <mergeCell ref="AQ233:AT234"/>
    <mergeCell ref="D231:M234"/>
    <mergeCell ref="D219:M222"/>
    <mergeCell ref="D195:M198"/>
    <mergeCell ref="N195:Q198"/>
    <mergeCell ref="U195:AJ198"/>
    <mergeCell ref="AM195:BP198"/>
    <mergeCell ref="BI183:BL185"/>
    <mergeCell ref="BM183:BP185"/>
    <mergeCell ref="AM186:AT188"/>
    <mergeCell ref="AU186:BB188"/>
    <mergeCell ref="BE186:BH189"/>
    <mergeCell ref="BI186:BL189"/>
    <mergeCell ref="AR177:BB178"/>
    <mergeCell ref="D179:Q180"/>
    <mergeCell ref="R179:BB180"/>
    <mergeCell ref="AQ162:AT165"/>
    <mergeCell ref="AU162:AX165"/>
    <mergeCell ref="D165:M168"/>
    <mergeCell ref="N165:Q168"/>
    <mergeCell ref="AM166:AP168"/>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BE142:BH144"/>
    <mergeCell ref="BI142:BL144"/>
    <mergeCell ref="BM142:BP144"/>
    <mergeCell ref="D147:M150"/>
    <mergeCell ref="N147:Q150"/>
    <mergeCell ref="U147:AJ150"/>
    <mergeCell ref="AQ166:AT168"/>
    <mergeCell ref="AU166:AX168"/>
    <mergeCell ref="D159:M162"/>
    <mergeCell ref="N159:Q162"/>
    <mergeCell ref="U159:AJ168"/>
    <mergeCell ref="AM159:AP161"/>
    <mergeCell ref="AQ159:AT161"/>
    <mergeCell ref="AU159:AX161"/>
    <mergeCell ref="AM162:AP165"/>
    <mergeCell ref="D141:M144"/>
    <mergeCell ref="N141:Q144"/>
    <mergeCell ref="U142:AB144"/>
    <mergeCell ref="AC142:AJ144"/>
    <mergeCell ref="AM147:BP150"/>
    <mergeCell ref="AR153:BB154"/>
    <mergeCell ref="D155:Q156"/>
    <mergeCell ref="R155:BB156"/>
    <mergeCell ref="AR129:BB130"/>
    <mergeCell ref="D131:Q132"/>
    <mergeCell ref="R131:BB132"/>
    <mergeCell ref="D135:M138"/>
    <mergeCell ref="N135:Q138"/>
    <mergeCell ref="U135:AB136"/>
    <mergeCell ref="U137:AB139"/>
    <mergeCell ref="AC137:AJ139"/>
    <mergeCell ref="BE138:BH141"/>
    <mergeCell ref="BI138:BL141"/>
    <mergeCell ref="BM138:BP141"/>
    <mergeCell ref="U140:AB141"/>
    <mergeCell ref="AC140:AJ141"/>
    <mergeCell ref="AC135:AJ136"/>
    <mergeCell ref="AM135:BB144"/>
    <mergeCell ref="D87:M90"/>
    <mergeCell ref="N87:Q90"/>
    <mergeCell ref="U87:AB88"/>
    <mergeCell ref="AC87:AJ88"/>
    <mergeCell ref="AM87:BB96"/>
    <mergeCell ref="D93:M96"/>
    <mergeCell ref="N93:Q96"/>
    <mergeCell ref="U94:AB96"/>
    <mergeCell ref="AC94:AJ96"/>
    <mergeCell ref="U89:AB91"/>
    <mergeCell ref="BM70:BP72"/>
    <mergeCell ref="D44:M47"/>
    <mergeCell ref="N44:Q47"/>
    <mergeCell ref="D63:M66"/>
    <mergeCell ref="N63:Q66"/>
    <mergeCell ref="U63:AJ72"/>
    <mergeCell ref="D75:M78"/>
    <mergeCell ref="N75:Q78"/>
    <mergeCell ref="U75:AJ78"/>
    <mergeCell ref="AM75:BP78"/>
    <mergeCell ref="BE63:BH65"/>
    <mergeCell ref="BI63:BL65"/>
    <mergeCell ref="BM63:BP65"/>
    <mergeCell ref="AM66:AT68"/>
    <mergeCell ref="AU66:BB68"/>
    <mergeCell ref="BE66:BH69"/>
    <mergeCell ref="U8:AN10"/>
    <mergeCell ref="U11:AN13"/>
    <mergeCell ref="AO11:BE13"/>
    <mergeCell ref="AO8:BE10"/>
    <mergeCell ref="AM63:AT65"/>
    <mergeCell ref="AU63:BB65"/>
    <mergeCell ref="D69:M72"/>
    <mergeCell ref="N69:Q72"/>
    <mergeCell ref="AO44:BB44"/>
    <mergeCell ref="AO45:BB45"/>
    <mergeCell ref="AO46:BB46"/>
    <mergeCell ref="AO47:BB47"/>
    <mergeCell ref="AO48:BB48"/>
    <mergeCell ref="AM44:AN44"/>
    <mergeCell ref="BE39:BH42"/>
    <mergeCell ref="BE43:BH45"/>
    <mergeCell ref="D59:Q60"/>
    <mergeCell ref="R59:BB60"/>
    <mergeCell ref="AM42:AN42"/>
    <mergeCell ref="AM43:AN43"/>
    <mergeCell ref="AM45:AN45"/>
    <mergeCell ref="N36:Q39"/>
    <mergeCell ref="BE70:BH72"/>
    <mergeCell ref="AO42:BB42"/>
    <mergeCell ref="C8:T10"/>
    <mergeCell ref="BM114:BP117"/>
    <mergeCell ref="BI118:BL120"/>
    <mergeCell ref="BM118:BP120"/>
    <mergeCell ref="D24:J26"/>
    <mergeCell ref="K24:Q26"/>
    <mergeCell ref="D52:M55"/>
    <mergeCell ref="N52:Q55"/>
    <mergeCell ref="AR31:BB31"/>
    <mergeCell ref="Y23:AE23"/>
    <mergeCell ref="AF23:AL23"/>
    <mergeCell ref="AM23:AS23"/>
    <mergeCell ref="AT23:AZ23"/>
    <mergeCell ref="R24:X26"/>
    <mergeCell ref="Y24:AE26"/>
    <mergeCell ref="AF24:AL26"/>
    <mergeCell ref="BB20:BJ23"/>
    <mergeCell ref="BB24:BJ26"/>
    <mergeCell ref="U36:AJ47"/>
    <mergeCell ref="AM36:AT37"/>
    <mergeCell ref="BF8:BP10"/>
    <mergeCell ref="BF11:BP13"/>
    <mergeCell ref="AM24:AS26"/>
    <mergeCell ref="AT24:AZ26"/>
    <mergeCell ref="D18:AZ19"/>
    <mergeCell ref="D20:J23"/>
    <mergeCell ref="K20:Q23"/>
    <mergeCell ref="R20:X23"/>
    <mergeCell ref="Y20:AZ22"/>
    <mergeCell ref="D32:Q33"/>
    <mergeCell ref="R32:BB33"/>
    <mergeCell ref="AU36:BB37"/>
    <mergeCell ref="BE36:BH38"/>
    <mergeCell ref="D36:M39"/>
    <mergeCell ref="C275:BQ277"/>
    <mergeCell ref="D279:BP297"/>
    <mergeCell ref="BE87:BH89"/>
    <mergeCell ref="BI87:BL89"/>
    <mergeCell ref="BM87:BP89"/>
    <mergeCell ref="BM39:BP42"/>
    <mergeCell ref="BM43:BP45"/>
    <mergeCell ref="AR58:BB58"/>
    <mergeCell ref="AR81:BB82"/>
    <mergeCell ref="U52:AJ55"/>
    <mergeCell ref="AM52:BP55"/>
    <mergeCell ref="BI36:BL38"/>
    <mergeCell ref="BM36:BP38"/>
    <mergeCell ref="AM38:AT40"/>
    <mergeCell ref="AU38:BB40"/>
    <mergeCell ref="BE214:BH216"/>
    <mergeCell ref="BI214:BL216"/>
    <mergeCell ref="BM214:BP216"/>
    <mergeCell ref="BI39:BL42"/>
    <mergeCell ref="BI43:BL45"/>
    <mergeCell ref="BI66:BL69"/>
    <mergeCell ref="BM66:BP69"/>
    <mergeCell ref="BI70:BL72"/>
    <mergeCell ref="BM111:BP113"/>
    <mergeCell ref="BI114:BL117"/>
    <mergeCell ref="BE207:BH209"/>
    <mergeCell ref="BI207:BL209"/>
    <mergeCell ref="BM207:BP209"/>
    <mergeCell ref="BE210:BH213"/>
    <mergeCell ref="BI210:BL213"/>
    <mergeCell ref="BM210:BP213"/>
    <mergeCell ref="BE90:BH93"/>
    <mergeCell ref="BI90:BL93"/>
    <mergeCell ref="BM90:BP93"/>
    <mergeCell ref="BE94:BH96"/>
    <mergeCell ref="BI94:BL96"/>
    <mergeCell ref="BM94:BP96"/>
    <mergeCell ref="BE135:BH137"/>
    <mergeCell ref="BI135:BL137"/>
    <mergeCell ref="BM135:BP137"/>
    <mergeCell ref="BI190:BL192"/>
    <mergeCell ref="BM190:BP192"/>
  </mergeCells>
  <phoneticPr fontId="2"/>
  <conditionalFormatting sqref="A29:XFD30 A28:BI28 BR28:XFD28">
    <cfRule type="expression" dxfId="9"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FA71-2CB6-4D62-9E4F-049AD2474D63}">
  <sheetPr>
    <pageSetUpPr fitToPage="1"/>
  </sheetPr>
  <dimension ref="A1:CE298"/>
  <sheetViews>
    <sheetView showZeros="0"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IF(COUNTIF([3]回答表!K15,"*")&gt;0,[3]回答表!K15,"")</f>
        <v>由利本荘市</v>
      </c>
      <c r="D11" s="246"/>
      <c r="E11" s="246"/>
      <c r="F11" s="246"/>
      <c r="G11" s="246"/>
      <c r="H11" s="246"/>
      <c r="I11" s="246"/>
      <c r="J11" s="246"/>
      <c r="K11" s="246"/>
      <c r="L11" s="246"/>
      <c r="M11" s="246"/>
      <c r="N11" s="246"/>
      <c r="O11" s="246"/>
      <c r="P11" s="246"/>
      <c r="Q11" s="246"/>
      <c r="R11" s="246"/>
      <c r="S11" s="246"/>
      <c r="T11" s="246"/>
      <c r="U11" s="253" t="str">
        <f>IF(COUNTIF([3]回答表!F17,"*")&gt;0,[3]回答表!F17,"")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IF(COUNTIF([3]回答表!W17,"*")&gt;0,[3]回答表!W17,"")</f>
        <v>漁業集落排水施設</v>
      </c>
      <c r="AP11" s="248"/>
      <c r="AQ11" s="248"/>
      <c r="AR11" s="248"/>
      <c r="AS11" s="248"/>
      <c r="AT11" s="248"/>
      <c r="AU11" s="248"/>
      <c r="AV11" s="248"/>
      <c r="AW11" s="248"/>
      <c r="AX11" s="248"/>
      <c r="AY11" s="248"/>
      <c r="AZ11" s="248"/>
      <c r="BA11" s="248"/>
      <c r="BB11" s="248"/>
      <c r="BC11" s="248"/>
      <c r="BD11" s="248"/>
      <c r="BE11" s="249"/>
      <c r="BF11" s="252" t="str">
        <f>IF(COUNTIF([3]回答表!F19,"*")&gt;0,[3]回答表!F19,"")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IF([3]回答表!R41="○","○","")</f>
        <v/>
      </c>
      <c r="E24" s="122"/>
      <c r="F24" s="122"/>
      <c r="G24" s="122"/>
      <c r="H24" s="122"/>
      <c r="I24" s="122"/>
      <c r="J24" s="123"/>
      <c r="K24" s="121" t="str">
        <f>IF([3]回答表!R42="○","○","")</f>
        <v/>
      </c>
      <c r="L24" s="122"/>
      <c r="M24" s="122"/>
      <c r="N24" s="122"/>
      <c r="O24" s="122"/>
      <c r="P24" s="122"/>
      <c r="Q24" s="123"/>
      <c r="R24" s="121" t="str">
        <f>IF([3]回答表!R43="○","○","")</f>
        <v>○</v>
      </c>
      <c r="S24" s="122"/>
      <c r="T24" s="122"/>
      <c r="U24" s="122"/>
      <c r="V24" s="122"/>
      <c r="W24" s="122"/>
      <c r="X24" s="123"/>
      <c r="Y24" s="121" t="str">
        <f>IF([3]回答表!R44="○","○","")</f>
        <v/>
      </c>
      <c r="Z24" s="122"/>
      <c r="AA24" s="122"/>
      <c r="AB24" s="122"/>
      <c r="AC24" s="122"/>
      <c r="AD24" s="122"/>
      <c r="AE24" s="123"/>
      <c r="AF24" s="121" t="str">
        <f>IF([3]回答表!R45="○","○","")</f>
        <v/>
      </c>
      <c r="AG24" s="122"/>
      <c r="AH24" s="122"/>
      <c r="AI24" s="122"/>
      <c r="AJ24" s="122"/>
      <c r="AK24" s="122"/>
      <c r="AL24" s="123"/>
      <c r="AM24" s="121" t="str">
        <f>IF([3]回答表!R46="○","○","")</f>
        <v/>
      </c>
      <c r="AN24" s="122"/>
      <c r="AO24" s="122"/>
      <c r="AP24" s="122"/>
      <c r="AQ24" s="122"/>
      <c r="AR24" s="122"/>
      <c r="AS24" s="123"/>
      <c r="AT24" s="121" t="str">
        <f>IF([3]回答表!R47="○","○","")</f>
        <v/>
      </c>
      <c r="AU24" s="122"/>
      <c r="AV24" s="122"/>
      <c r="AW24" s="122"/>
      <c r="AX24" s="122"/>
      <c r="AY24" s="122"/>
      <c r="AZ24" s="123"/>
      <c r="BA24" s="19"/>
      <c r="BB24" s="118" t="str">
        <f>IF([3]回答表!R48="○","○","")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IF([3]回答表!X41="○","○","")</f>
        <v/>
      </c>
      <c r="O36" s="98"/>
      <c r="P36" s="98"/>
      <c r="Q36" s="99"/>
      <c r="R36" s="39"/>
      <c r="S36" s="39"/>
      <c r="T36" s="39"/>
      <c r="U36" s="106" t="str">
        <f>IF([3]回答表!X41="○",[3]回答表!B56,IF([3]回答表!AA41="○",[3]回答表!B76,""))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IF([3]回答表!X41="○",[3]回答表!S62,IF([3]回答表!AA41="○",[3]回答表!S82,""))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IF([3]回答表!X41="○",[3]回答表!G62,IF([3]回答表!AA41="○",[3]回答表!G82,""))</f>
        <v/>
      </c>
      <c r="AN38" s="119"/>
      <c r="AO38" s="119"/>
      <c r="AP38" s="119"/>
      <c r="AQ38" s="119"/>
      <c r="AR38" s="119"/>
      <c r="AS38" s="119"/>
      <c r="AT38" s="120"/>
      <c r="AU38" s="118" t="str">
        <f>IF([3]回答表!X41="○",[3]回答表!G63,IF([3]回答表!AA41="○",[3]回答表!G83,""))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IF([3]回答表!X41="○",[3]回答表!V62,IF([3]回答表!AA41="○",[3]回答表!V82,""))</f>
        <v/>
      </c>
      <c r="BF39" s="199"/>
      <c r="BG39" s="199"/>
      <c r="BH39" s="200"/>
      <c r="BI39" s="82" t="str">
        <f>IF([3]回答表!X41="○",[3]回答表!V63,IF([3]回答表!AA41="○",[3]回答表!V83,""))</f>
        <v/>
      </c>
      <c r="BJ39" s="199"/>
      <c r="BK39" s="199"/>
      <c r="BL39" s="200"/>
      <c r="BM39" s="82" t="str">
        <f>IF([3]回答表!X41="○",[3]回答表!V64,IF([3]回答表!AA41="○",[3]回答表!V84,""))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IF([3]回答表!X41="○",[3]回答表!O68,IF([3]回答表!AA41="○",[3]回答表!O88,""))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IF([3]回答表!X41="○",[3]回答表!O69,IF([3]回答表!AA41="○",[3]回答表!O89,""))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IF([3]回答表!AA41="○","○","")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IF([3]回答表!X41="○",[3]回答表!O70,IF([3]回答表!AA41="○",[3]回答表!O90,""))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IF([3]回答表!X41="○",[3]回答表!O71,IF([3]回答表!AA41="○",[3]回答表!O91,""))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IF([3]回答表!X41="○",[3]回答表!AG68,IF([3]回答表!AA41="○",[3]回答表!AG88,""))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IF([3]回答表!X41="○",[3]回答表!AG69,IF([3]回答表!AA41="○",[3]回答表!AG89,""))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IF([3]回答表!X41="○",[3]回答表!AG70,IF([3]回答表!AA41="○",[3]回答表!AG90,""))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IF([3]回答表!AD41="○","○","")</f>
        <v/>
      </c>
      <c r="O52" s="98"/>
      <c r="P52" s="98"/>
      <c r="Q52" s="99"/>
      <c r="R52" s="39"/>
      <c r="S52" s="39"/>
      <c r="T52" s="39"/>
      <c r="U52" s="106" t="str">
        <f>IF([3]回答表!AD41="○",[3]回答表!B96,"")</f>
        <v/>
      </c>
      <c r="V52" s="107"/>
      <c r="W52" s="107"/>
      <c r="X52" s="107"/>
      <c r="Y52" s="107"/>
      <c r="Z52" s="107"/>
      <c r="AA52" s="107"/>
      <c r="AB52" s="107"/>
      <c r="AC52" s="107"/>
      <c r="AD52" s="107"/>
      <c r="AE52" s="107"/>
      <c r="AF52" s="107"/>
      <c r="AG52" s="107"/>
      <c r="AH52" s="107"/>
      <c r="AI52" s="107"/>
      <c r="AJ52" s="108"/>
      <c r="AK52" s="56"/>
      <c r="AL52" s="56"/>
      <c r="AM52" s="106" t="str">
        <f>IF([3]回答表!AD41="○",[3]回答表!B101,"")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IF([3]回答表!X42="○","○","")</f>
        <v/>
      </c>
      <c r="O63" s="98"/>
      <c r="P63" s="98"/>
      <c r="Q63" s="99"/>
      <c r="R63" s="39"/>
      <c r="S63" s="39"/>
      <c r="T63" s="39"/>
      <c r="U63" s="106" t="str">
        <f>IF([3]回答表!X42="○",[3]回答表!B111,IF([3]回答表!AA42="○",[3]回答表!B124,""))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IF([3]回答表!X42="○",[3]回答表!S117,IF([3]回答表!AA42="○",[3]回答表!S130,""))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IF([3]回答表!X42="○",[3]回答表!J117,IF([3]回答表!AA42="○",[3]回答表!J130,""))</f>
        <v/>
      </c>
      <c r="AN66" s="119"/>
      <c r="AO66" s="119"/>
      <c r="AP66" s="119"/>
      <c r="AQ66" s="119"/>
      <c r="AR66" s="119"/>
      <c r="AS66" s="119"/>
      <c r="AT66" s="120"/>
      <c r="AU66" s="118" t="str">
        <f>IF([3]回答表!X42="○",[3]回答表!J118,IF([3]回答表!AA42="○",[3]回答表!J131,""))</f>
        <v/>
      </c>
      <c r="AV66" s="119"/>
      <c r="AW66" s="119"/>
      <c r="AX66" s="119"/>
      <c r="AY66" s="119"/>
      <c r="AZ66" s="119"/>
      <c r="BA66" s="119"/>
      <c r="BB66" s="120"/>
      <c r="BC66" s="40"/>
      <c r="BD66" s="35"/>
      <c r="BE66" s="82" t="str">
        <f>IF([3]回答表!X42="○",[3]回答表!V117,IF([3]回答表!AA42="○",[3]回答表!V130,""))</f>
        <v/>
      </c>
      <c r="BF66" s="83"/>
      <c r="BG66" s="83"/>
      <c r="BH66" s="83"/>
      <c r="BI66" s="82" t="str">
        <f>IF([3]回答表!X42="○",[3]回答表!V118,IF([3]回答表!AA42="○",[3]回答表!V131,""))</f>
        <v/>
      </c>
      <c r="BJ66" s="83"/>
      <c r="BK66" s="83"/>
      <c r="BL66" s="83"/>
      <c r="BM66" s="82" t="str">
        <f>IF([3]回答表!X42="○",[3]回答表!V119,IF([3]回答表!AA42="○",[3]回答表!V132,""))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IF([3]回答表!AD42="○","○","")</f>
        <v/>
      </c>
      <c r="O75" s="98"/>
      <c r="P75" s="98"/>
      <c r="Q75" s="99"/>
      <c r="R75" s="39"/>
      <c r="S75" s="39"/>
      <c r="T75" s="39"/>
      <c r="U75" s="106" t="str">
        <f>IF([3]回答表!AD42="○",[3]回答表!B137,"")</f>
        <v/>
      </c>
      <c r="V75" s="107"/>
      <c r="W75" s="107"/>
      <c r="X75" s="107"/>
      <c r="Y75" s="107"/>
      <c r="Z75" s="107"/>
      <c r="AA75" s="107"/>
      <c r="AB75" s="107"/>
      <c r="AC75" s="107"/>
      <c r="AD75" s="107"/>
      <c r="AE75" s="107"/>
      <c r="AF75" s="107"/>
      <c r="AG75" s="107"/>
      <c r="AH75" s="107"/>
      <c r="AI75" s="107"/>
      <c r="AJ75" s="108"/>
      <c r="AK75" s="56"/>
      <c r="AL75" s="56"/>
      <c r="AM75" s="106" t="str">
        <f>IF([3]回答表!AD42="○",[3]回答表!B143,"")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IF([3]回答表!F17="水道事業",IF([3]回答表!X43="○","○",""),"")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IF([3]回答表!F17="水道事業",IF([3]回答表!X43="○",[3]回答表!B154,IF([3]回答表!AA43="○",[3]回答表!B201,"")),"")</f>
        <v/>
      </c>
      <c r="AN87" s="107"/>
      <c r="AO87" s="107"/>
      <c r="AP87" s="107"/>
      <c r="AQ87" s="107"/>
      <c r="AR87" s="107"/>
      <c r="AS87" s="107"/>
      <c r="AT87" s="107"/>
      <c r="AU87" s="107"/>
      <c r="AV87" s="107"/>
      <c r="AW87" s="107"/>
      <c r="AX87" s="107"/>
      <c r="AY87" s="107"/>
      <c r="AZ87" s="107"/>
      <c r="BA87" s="107"/>
      <c r="BB87" s="108"/>
      <c r="BC87" s="40"/>
      <c r="BD87" s="35"/>
      <c r="BE87" s="115" t="str">
        <f>IF([3]回答表!F17="水道事業",IF([3]回答表!X43="○",[3]回答表!B190,IF([3]回答表!AA43="○",[3]回答表!B238,"")),"")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IF([3]回答表!F17="水道事業",IF([3]回答表!X43="○",[3]回答表!J162,IF([3]回答表!AA43="○",[3]回答表!J209,"")),"")</f>
        <v/>
      </c>
      <c r="V89" s="119"/>
      <c r="W89" s="119"/>
      <c r="X89" s="119"/>
      <c r="Y89" s="119"/>
      <c r="Z89" s="119"/>
      <c r="AA89" s="119"/>
      <c r="AB89" s="120"/>
      <c r="AC89" s="118" t="str">
        <f>IF([3]回答表!F17="水道事業",IF([3]回答表!X43="○",[3]回答表!J169,IF([3]回答表!AA43="○",[3]回答表!J216,"")),"")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IF([3]回答表!F17="水道事業",IF([3]回答表!X43="○",[3]回答表!E190,IF([3]回答表!AA43="○",[3]回答表!E238,"")),"")</f>
        <v/>
      </c>
      <c r="BF90" s="83"/>
      <c r="BG90" s="83"/>
      <c r="BH90" s="83"/>
      <c r="BI90" s="82" t="str">
        <f>IF([3]回答表!F17="水道事業",IF([3]回答表!X43="○",[3]回答表!E191,IF([3]回答表!AA43="○",[3]回答表!E239,"")),"")</f>
        <v/>
      </c>
      <c r="BJ90" s="83"/>
      <c r="BK90" s="83"/>
      <c r="BL90" s="83"/>
      <c r="BM90" s="82" t="str">
        <f>IF([3]回答表!F17="水道事業",IF([3]回答表!X43="○",[3]回答表!E192,IF([3]回答表!AA43="○",[3]回答表!E240,"")),"")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IF([3]回答表!F17="水道事業",IF([3]回答表!AA43="○","○",""),"")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IF([3]回答表!F17="水道事業",IF([3]回答表!X43="○",[3]回答表!J172,IF([3]回答表!AA43="○",[3]回答表!J219,"")),"")</f>
        <v/>
      </c>
      <c r="V94" s="119"/>
      <c r="W94" s="119"/>
      <c r="X94" s="119"/>
      <c r="Y94" s="119"/>
      <c r="Z94" s="119"/>
      <c r="AA94" s="119"/>
      <c r="AB94" s="120"/>
      <c r="AC94" s="118" t="str">
        <f>IF([3]回答表!F17="水道事業",IF([3]回答表!X43="○",[3]回答表!J176,IF([3]回答表!AA43="○",[3]回答表!J223,"")),"")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IF([3]回答表!F17="水道事業",IF([3]回答表!AD43="○","○",""),"")</f>
        <v/>
      </c>
      <c r="O99" s="98"/>
      <c r="P99" s="98"/>
      <c r="Q99" s="99"/>
      <c r="R99" s="39"/>
      <c r="S99" s="39"/>
      <c r="T99" s="39"/>
      <c r="U99" s="106" t="str">
        <f>IF([3]回答表!F17="水道事業",IF([3]回答表!AD43="○",[3]回答表!B249,""),"")</f>
        <v/>
      </c>
      <c r="V99" s="107"/>
      <c r="W99" s="107"/>
      <c r="X99" s="107"/>
      <c r="Y99" s="107"/>
      <c r="Z99" s="107"/>
      <c r="AA99" s="107"/>
      <c r="AB99" s="107"/>
      <c r="AC99" s="107"/>
      <c r="AD99" s="107"/>
      <c r="AE99" s="107"/>
      <c r="AF99" s="107"/>
      <c r="AG99" s="107"/>
      <c r="AH99" s="107"/>
      <c r="AI99" s="107"/>
      <c r="AJ99" s="108"/>
      <c r="AK99" s="56"/>
      <c r="AL99" s="56"/>
      <c r="AM99" s="106" t="str">
        <f>IF([3]回答表!F17="水道事業",IF([3]回答表!AD43="○",[3]回答表!B255,""),"")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IF([3]回答表!F17="簡易水道事業",IF([3]回答表!X43="○","○",""),"")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IF([3]回答表!F17="簡易水道事業",IF([3]回答表!X43="○",[3]回答表!B154,IF([3]回答表!AA43="○",[3]回答表!B201,"")),"")</f>
        <v/>
      </c>
      <c r="AN111" s="107"/>
      <c r="AO111" s="107"/>
      <c r="AP111" s="107"/>
      <c r="AQ111" s="107"/>
      <c r="AR111" s="107"/>
      <c r="AS111" s="107"/>
      <c r="AT111" s="107"/>
      <c r="AU111" s="107"/>
      <c r="AV111" s="107"/>
      <c r="AW111" s="107"/>
      <c r="AX111" s="107"/>
      <c r="AY111" s="107"/>
      <c r="AZ111" s="107"/>
      <c r="BA111" s="107"/>
      <c r="BB111" s="108"/>
      <c r="BC111" s="40"/>
      <c r="BD111" s="35"/>
      <c r="BE111" s="115" t="str">
        <f>IF([3]回答表!F17="簡易水道事業",IF([3]回答表!X43="○",[3]回答表!B190,IF([3]回答表!AA43="○",[3]回答表!B238,"")),"")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IF([3]回答表!F17="簡易水道事業",IF([3]回答表!X43="○",[3]回答表!Y181,IF([3]回答表!AA43="○",[3]回答表!Y229,"")),"")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IF([3]回答表!F17="簡易水道事業",IF([3]回答表!X43="○",[3]回答表!E190,IF([3]回答表!AA43="○",[3]回答表!E238,"")),"")</f>
        <v/>
      </c>
      <c r="BF114" s="83"/>
      <c r="BG114" s="83"/>
      <c r="BH114" s="83"/>
      <c r="BI114" s="82" t="str">
        <f>IF([3]回答表!F17="簡易水道事業",IF([3]回答表!X43="○",[3]回答表!E191,IF([3]回答表!AA43="○",[3]回答表!E239,"")),"")</f>
        <v/>
      </c>
      <c r="BJ114" s="83"/>
      <c r="BK114" s="83"/>
      <c r="BL114" s="83"/>
      <c r="BM114" s="82" t="str">
        <f>IF([3]回答表!F17="簡易水道事業",IF([3]回答表!X43="○",[3]回答表!E192,IF([3]回答表!AA43="○",[3]回答表!E240,"")),"")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IF([3]回答表!F17="簡易水道事業",IF([3]回答表!AA43="○","○",""),"")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IF([3]回答表!F17="簡易水道事業",IF([3]回答表!X43="○",[3]回答表!Y182,IF([3]回答表!AA43="○",[3]回答表!Y230,"")),"")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IF([3]回答表!F17="簡易水道事業",IF([3]回答表!AD43="○","○",""),"")</f>
        <v/>
      </c>
      <c r="O123" s="98"/>
      <c r="P123" s="98"/>
      <c r="Q123" s="99"/>
      <c r="R123" s="39"/>
      <c r="S123" s="39"/>
      <c r="T123" s="39"/>
      <c r="U123" s="106" t="str">
        <f>IF([3]回答表!F17="簡易水道事業",IF([3]回答表!AD43="○",[3]回答表!B249,""),"")</f>
        <v/>
      </c>
      <c r="V123" s="107"/>
      <c r="W123" s="107"/>
      <c r="X123" s="107"/>
      <c r="Y123" s="107"/>
      <c r="Z123" s="107"/>
      <c r="AA123" s="107"/>
      <c r="AB123" s="107"/>
      <c r="AC123" s="107"/>
      <c r="AD123" s="107"/>
      <c r="AE123" s="107"/>
      <c r="AF123" s="107"/>
      <c r="AG123" s="107"/>
      <c r="AH123" s="107"/>
      <c r="AI123" s="107"/>
      <c r="AJ123" s="108"/>
      <c r="AK123" s="56"/>
      <c r="AL123" s="56"/>
      <c r="AM123" s="106" t="str">
        <f>IF([3]回答表!F17="簡易水道事業",IF([3]回答表!AD43="○",[3]回答表!B255,""),"")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IF([3]回答表!F17="下水道事業",IF([3]回答表!X43="○","○",""),"")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IF([3]回答表!F17="下水道事業",IF([3]回答表!X43="○",[3]回答表!B154,IF([3]回答表!AA43="○",[3]回答表!B201,"")),"")</f>
        <v/>
      </c>
      <c r="AN135" s="107"/>
      <c r="AO135" s="107"/>
      <c r="AP135" s="107"/>
      <c r="AQ135" s="107"/>
      <c r="AR135" s="107"/>
      <c r="AS135" s="107"/>
      <c r="AT135" s="107"/>
      <c r="AU135" s="107"/>
      <c r="AV135" s="107"/>
      <c r="AW135" s="107"/>
      <c r="AX135" s="107"/>
      <c r="AY135" s="107"/>
      <c r="AZ135" s="107"/>
      <c r="BA135" s="107"/>
      <c r="BB135" s="108"/>
      <c r="BC135" s="40"/>
      <c r="BD135" s="35"/>
      <c r="BE135" s="115" t="str">
        <f>IF([3]回答表!F17="下水道事業",IF([3]回答表!X43="○",[3]回答表!B190,IF([3]回答表!AA43="○",[3]回答表!B238,"")),"")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IF([3]回答表!F17="下水道事業",IF([3]回答表!X43="○",[3]回答表!Y184,IF([3]回答表!AA43="○",[3]回答表!Y232,"")),"")</f>
        <v/>
      </c>
      <c r="V137" s="119"/>
      <c r="W137" s="119"/>
      <c r="X137" s="119"/>
      <c r="Y137" s="119"/>
      <c r="Z137" s="119"/>
      <c r="AA137" s="119"/>
      <c r="AB137" s="120"/>
      <c r="AC137" s="118" t="str">
        <f>IF([3]回答表!F17="下水道事業",IF([3]回答表!X43="○",[3]回答表!Y185,IF([3]回答表!AA43="○",[3]回答表!Y233,"")),"")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IF([3]回答表!F17="下水道事業",IF([3]回答表!X43="○",[3]回答表!E190,IF([3]回答表!AA43="○",[3]回答表!E238,"")),"")</f>
        <v/>
      </c>
      <c r="BF138" s="83"/>
      <c r="BG138" s="83"/>
      <c r="BH138" s="83"/>
      <c r="BI138" s="82" t="str">
        <f>IF([3]回答表!F17="下水道事業",IF([3]回答表!X43="○",[3]回答表!E191,IF([3]回答表!AA43="○",[3]回答表!E239,"")),"")</f>
        <v/>
      </c>
      <c r="BJ138" s="83"/>
      <c r="BK138" s="83"/>
      <c r="BL138" s="83"/>
      <c r="BM138" s="82" t="str">
        <f>IF([3]回答表!F17="下水道事業",IF([3]回答表!X43="○",[3]回答表!E192,IF([3]回答表!AA43="○",[3]回答表!E240,"")),"")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IF([3]回答表!F17="下水道事業",IF([3]回答表!AA43="○","○",""),"")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IF([3]回答表!F17="下水道事業",IF([3]回答表!X43="○",[3]回答表!Y186,IF([3]回答表!AA43="○",[3]回答表!Y234,"")),"")</f>
        <v/>
      </c>
      <c r="V142" s="119"/>
      <c r="W142" s="119"/>
      <c r="X142" s="119"/>
      <c r="Y142" s="119"/>
      <c r="Z142" s="119"/>
      <c r="AA142" s="119"/>
      <c r="AB142" s="120"/>
      <c r="AC142" s="118" t="str">
        <f>IF([3]回答表!F17="下水道事業",IF([3]回答表!X43="○",[3]回答表!Y187,IF([3]回答表!AA43="○",[3]回答表!Y235,"")),"")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IF([3]回答表!F17="下水道事業",IF([3]回答表!AD43="○","○",""),"")</f>
        <v>○</v>
      </c>
      <c r="O147" s="98"/>
      <c r="P147" s="98"/>
      <c r="Q147" s="99"/>
      <c r="R147" s="39"/>
      <c r="S147" s="39"/>
      <c r="T147" s="39"/>
      <c r="U147" s="278" t="str">
        <f>IF([3]回答表!F17="下水道事業",IF([3]回答表!AD43="○",[3]回答表!B249,""),"")</f>
        <v>漁集処理施設を廃止し、特環処理施設へ統合するか、漁集処理施設を浄化槽施設にするかを検討している。</v>
      </c>
      <c r="V147" s="279"/>
      <c r="W147" s="279"/>
      <c r="X147" s="279"/>
      <c r="Y147" s="279"/>
      <c r="Z147" s="279"/>
      <c r="AA147" s="279"/>
      <c r="AB147" s="279"/>
      <c r="AC147" s="279"/>
      <c r="AD147" s="279"/>
      <c r="AE147" s="279"/>
      <c r="AF147" s="279"/>
      <c r="AG147" s="279"/>
      <c r="AH147" s="279"/>
      <c r="AI147" s="279"/>
      <c r="AJ147" s="280"/>
      <c r="AK147" s="56"/>
      <c r="AL147" s="56"/>
      <c r="AM147" s="260" t="str">
        <f>IF([3]回答表!F17="下水道事業",IF([3]回答表!AD43="○",[3]回答表!B255,""),"")</f>
        <v>令和2年度に生活排水整備構想の見直しを行うこととしており、そのなかで事業費等の検討を行い最適な選択を行っていく。</v>
      </c>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2"/>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281"/>
      <c r="V148" s="282"/>
      <c r="W148" s="282"/>
      <c r="X148" s="282"/>
      <c r="Y148" s="282"/>
      <c r="Z148" s="282"/>
      <c r="AA148" s="282"/>
      <c r="AB148" s="282"/>
      <c r="AC148" s="282"/>
      <c r="AD148" s="282"/>
      <c r="AE148" s="282"/>
      <c r="AF148" s="282"/>
      <c r="AG148" s="282"/>
      <c r="AH148" s="282"/>
      <c r="AI148" s="282"/>
      <c r="AJ148" s="283"/>
      <c r="AK148" s="56"/>
      <c r="AL148" s="56"/>
      <c r="AM148" s="263"/>
      <c r="AN148" s="264"/>
      <c r="AO148" s="264"/>
      <c r="AP148" s="264"/>
      <c r="AQ148" s="264"/>
      <c r="AR148" s="264"/>
      <c r="AS148" s="264"/>
      <c r="AT148" s="264"/>
      <c r="AU148" s="264"/>
      <c r="AV148" s="264"/>
      <c r="AW148" s="264"/>
      <c r="AX148" s="264"/>
      <c r="AY148" s="264"/>
      <c r="AZ148" s="264"/>
      <c r="BA148" s="264"/>
      <c r="BB148" s="264"/>
      <c r="BC148" s="264"/>
      <c r="BD148" s="264"/>
      <c r="BE148" s="264"/>
      <c r="BF148" s="264"/>
      <c r="BG148" s="264"/>
      <c r="BH148" s="264"/>
      <c r="BI148" s="264"/>
      <c r="BJ148" s="264"/>
      <c r="BK148" s="264"/>
      <c r="BL148" s="264"/>
      <c r="BM148" s="264"/>
      <c r="BN148" s="264"/>
      <c r="BO148" s="264"/>
      <c r="BP148" s="265"/>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281"/>
      <c r="V149" s="282"/>
      <c r="W149" s="282"/>
      <c r="X149" s="282"/>
      <c r="Y149" s="282"/>
      <c r="Z149" s="282"/>
      <c r="AA149" s="282"/>
      <c r="AB149" s="282"/>
      <c r="AC149" s="282"/>
      <c r="AD149" s="282"/>
      <c r="AE149" s="282"/>
      <c r="AF149" s="282"/>
      <c r="AG149" s="282"/>
      <c r="AH149" s="282"/>
      <c r="AI149" s="282"/>
      <c r="AJ149" s="283"/>
      <c r="AK149" s="56"/>
      <c r="AL149" s="56"/>
      <c r="AM149" s="263"/>
      <c r="AN149" s="264"/>
      <c r="AO149" s="264"/>
      <c r="AP149" s="264"/>
      <c r="AQ149" s="264"/>
      <c r="AR149" s="264"/>
      <c r="AS149" s="264"/>
      <c r="AT149" s="264"/>
      <c r="AU149" s="264"/>
      <c r="AV149" s="264"/>
      <c r="AW149" s="264"/>
      <c r="AX149" s="264"/>
      <c r="AY149" s="264"/>
      <c r="AZ149" s="264"/>
      <c r="BA149" s="264"/>
      <c r="BB149" s="264"/>
      <c r="BC149" s="264"/>
      <c r="BD149" s="264"/>
      <c r="BE149" s="264"/>
      <c r="BF149" s="264"/>
      <c r="BG149" s="264"/>
      <c r="BH149" s="264"/>
      <c r="BI149" s="264"/>
      <c r="BJ149" s="264"/>
      <c r="BK149" s="264"/>
      <c r="BL149" s="264"/>
      <c r="BM149" s="264"/>
      <c r="BN149" s="264"/>
      <c r="BO149" s="264"/>
      <c r="BP149" s="265"/>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284"/>
      <c r="V150" s="285"/>
      <c r="W150" s="285"/>
      <c r="X150" s="285"/>
      <c r="Y150" s="285"/>
      <c r="Z150" s="285"/>
      <c r="AA150" s="285"/>
      <c r="AB150" s="285"/>
      <c r="AC150" s="285"/>
      <c r="AD150" s="285"/>
      <c r="AE150" s="285"/>
      <c r="AF150" s="285"/>
      <c r="AG150" s="285"/>
      <c r="AH150" s="285"/>
      <c r="AI150" s="285"/>
      <c r="AJ150" s="286"/>
      <c r="AK150" s="56"/>
      <c r="AL150" s="56"/>
      <c r="AM150" s="266"/>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8"/>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IF([3]回答表!BD17="○",IF([3]回答表!X43="○","○",""),"")</f>
        <v/>
      </c>
      <c r="O159" s="98"/>
      <c r="P159" s="98"/>
      <c r="Q159" s="99"/>
      <c r="R159" s="39"/>
      <c r="S159" s="39"/>
      <c r="T159" s="39"/>
      <c r="U159" s="106" t="str">
        <f>IF([3]回答表!BD17="○",IF([3]回答表!X43="○",[3]回答表!B154,IF([3]回答表!AA43="○",[3]回答表!B201,"")),"")</f>
        <v/>
      </c>
      <c r="V159" s="107"/>
      <c r="W159" s="107"/>
      <c r="X159" s="107"/>
      <c r="Y159" s="107"/>
      <c r="Z159" s="107"/>
      <c r="AA159" s="107"/>
      <c r="AB159" s="107"/>
      <c r="AC159" s="107"/>
      <c r="AD159" s="107"/>
      <c r="AE159" s="107"/>
      <c r="AF159" s="107"/>
      <c r="AG159" s="107"/>
      <c r="AH159" s="107"/>
      <c r="AI159" s="107"/>
      <c r="AJ159" s="108"/>
      <c r="AK159" s="50"/>
      <c r="AL159" s="50"/>
      <c r="AM159" s="115" t="str">
        <f>IF([3]回答表!BD17="○",IF([3]回答表!X43="○",[3]回答表!B190,IF([3]回答表!AA43="○",[3]回答表!B238,"")),"")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IF([3]回答表!BD17="○",IF([3]回答表!X43="○",[3]回答表!E190,IF([3]回答表!AA43="○",[3]回答表!E238,"")),"")</f>
        <v/>
      </c>
      <c r="AN162" s="83"/>
      <c r="AO162" s="83"/>
      <c r="AP162" s="83"/>
      <c r="AQ162" s="82" t="str">
        <f>IF([3]回答表!BD17="○",IF([3]回答表!X43="○",[3]回答表!E191,IF([3]回答表!AA43="○",[3]回答表!E239,"")),"")</f>
        <v/>
      </c>
      <c r="AR162" s="83"/>
      <c r="AS162" s="83"/>
      <c r="AT162" s="83"/>
      <c r="AU162" s="82" t="str">
        <f>IF([3]回答表!BD17="○",IF([3]回答表!X43="○",[3]回答表!E192,IF([3]回答表!AA43="○",[3]回答表!E240,"")),"")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IF([3]回答表!BD17="○",IF([3]回答表!AA43="○","○",""),"")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IF([3]回答表!BD17="○",IF([3]回答表!AD43="○","○",""),"")</f>
        <v/>
      </c>
      <c r="O171" s="98"/>
      <c r="P171" s="98"/>
      <c r="Q171" s="99"/>
      <c r="R171" s="39"/>
      <c r="S171" s="39"/>
      <c r="T171" s="39"/>
      <c r="U171" s="106" t="str">
        <f>IF([3]回答表!BD17="○",IF([3]回答表!AD43="○",[3]回答表!B249,""),"")</f>
        <v/>
      </c>
      <c r="V171" s="107"/>
      <c r="W171" s="107"/>
      <c r="X171" s="107"/>
      <c r="Y171" s="107"/>
      <c r="Z171" s="107"/>
      <c r="AA171" s="107"/>
      <c r="AB171" s="107"/>
      <c r="AC171" s="107"/>
      <c r="AD171" s="107"/>
      <c r="AE171" s="107"/>
      <c r="AF171" s="107"/>
      <c r="AG171" s="107"/>
      <c r="AH171" s="107"/>
      <c r="AI171" s="107"/>
      <c r="AJ171" s="108"/>
      <c r="AK171" s="56"/>
      <c r="AL171" s="56"/>
      <c r="AM171" s="106" t="str">
        <f>IF([3]回答表!BD17="○",IF([3]回答表!AD43="○",[3]回答表!B255,""),"")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IF([3]回答表!X44="○","○","")</f>
        <v/>
      </c>
      <c r="O183" s="98"/>
      <c r="P183" s="98"/>
      <c r="Q183" s="99"/>
      <c r="R183" s="39"/>
      <c r="S183" s="39"/>
      <c r="T183" s="39"/>
      <c r="U183" s="106" t="str">
        <f>IF([3]回答表!X44="○",[3]回答表!B266,IF([3]回答表!AA44="○",[3]回答表!B283,""))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IF([3]回答表!X44="○",[3]回答表!U272,IF([3]回答表!AA44="○",[3]回答表!U289,""))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IF([3]回答表!X44="○",[3]回答表!G272,IF([3]回答表!AA44="○",[3]回答表!G289,""))</f>
        <v/>
      </c>
      <c r="AN186" s="119"/>
      <c r="AO186" s="119"/>
      <c r="AP186" s="119"/>
      <c r="AQ186" s="119"/>
      <c r="AR186" s="119"/>
      <c r="AS186" s="119"/>
      <c r="AT186" s="120"/>
      <c r="AU186" s="118" t="str">
        <f>IF([3]回答表!X44="○",[3]回答表!G273,IF([3]回答表!AA44="○",[3]回答表!G290,""))</f>
        <v/>
      </c>
      <c r="AV186" s="119"/>
      <c r="AW186" s="119"/>
      <c r="AX186" s="119"/>
      <c r="AY186" s="119"/>
      <c r="AZ186" s="119"/>
      <c r="BA186" s="119"/>
      <c r="BB186" s="120"/>
      <c r="BC186" s="40"/>
      <c r="BD186" s="35"/>
      <c r="BE186" s="82" t="str">
        <f>IF([3]回答表!X44="○",[3]回答表!X272,IF([3]回答表!AA44="○",[3]回答表!X289,""))</f>
        <v/>
      </c>
      <c r="BF186" s="83"/>
      <c r="BG186" s="83"/>
      <c r="BH186" s="83"/>
      <c r="BI186" s="82" t="str">
        <f>IF([3]回答表!X44="○",[3]回答表!X273,IF([3]回答表!AA44="○",[3]回答表!X290,""))</f>
        <v/>
      </c>
      <c r="BJ186" s="83"/>
      <c r="BK186" s="83"/>
      <c r="BL186" s="86"/>
      <c r="BM186" s="82" t="str">
        <f>IF([3]回答表!X44="○",[3]回答表!X274,IF([3]回答表!AA44="○",[3]回答表!X291,""))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IF([3]回答表!AD44="○","○","")</f>
        <v/>
      </c>
      <c r="O195" s="98"/>
      <c r="P195" s="98"/>
      <c r="Q195" s="99"/>
      <c r="R195" s="39"/>
      <c r="S195" s="39"/>
      <c r="T195" s="39"/>
      <c r="U195" s="106" t="str">
        <f>IF([3]回答表!AD44="○",[3]回答表!B296,"")</f>
        <v/>
      </c>
      <c r="V195" s="107"/>
      <c r="W195" s="107"/>
      <c r="X195" s="107"/>
      <c r="Y195" s="107"/>
      <c r="Z195" s="107"/>
      <c r="AA195" s="107"/>
      <c r="AB195" s="107"/>
      <c r="AC195" s="107"/>
      <c r="AD195" s="107"/>
      <c r="AE195" s="107"/>
      <c r="AF195" s="107"/>
      <c r="AG195" s="107"/>
      <c r="AH195" s="107"/>
      <c r="AI195" s="107"/>
      <c r="AJ195" s="108"/>
      <c r="AK195" s="61"/>
      <c r="AL195" s="61"/>
      <c r="AM195" s="106" t="str">
        <f>IF([3]回答表!AD44="○",[3]回答表!B302,"")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IF([3]回答表!X45="○","○","")</f>
        <v/>
      </c>
      <c r="O207" s="98"/>
      <c r="P207" s="98"/>
      <c r="Q207" s="99"/>
      <c r="R207" s="39"/>
      <c r="S207" s="39"/>
      <c r="T207" s="39"/>
      <c r="U207" s="106" t="str">
        <f>IF([3]回答表!X45="○",[3]回答表!B314,IF([3]回答表!AA45="○",[3]回答表!B337,""))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IF([3]回答表!X45="○",[3]回答表!B320,"")</f>
        <v/>
      </c>
      <c r="AO207" s="164"/>
      <c r="AP207" s="164"/>
      <c r="AQ207" s="164"/>
      <c r="AR207" s="164"/>
      <c r="AS207" s="164"/>
      <c r="AT207" s="164"/>
      <c r="AU207" s="164"/>
      <c r="AV207" s="164"/>
      <c r="AW207" s="164"/>
      <c r="AX207" s="164"/>
      <c r="AY207" s="164"/>
      <c r="AZ207" s="164"/>
      <c r="BA207" s="164"/>
      <c r="BB207" s="165"/>
      <c r="BC207" s="40"/>
      <c r="BD207" s="35"/>
      <c r="BE207" s="115" t="str">
        <f>IF([3]回答表!X45="○",[3]回答表!B326,IF([3]回答表!AA45="○",[3]回答表!B343,""))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IF([3]回答表!X45="○",[3]回答表!E326,IF([3]回答表!AA45="○",[3]回答表!E343,""))</f>
        <v/>
      </c>
      <c r="BF210" s="83"/>
      <c r="BG210" s="83"/>
      <c r="BH210" s="83"/>
      <c r="BI210" s="82" t="str">
        <f>IF([3]回答表!X45="○",[3]回答表!E327,IF([3]回答表!AA45="○",[3]回答表!E344,""))</f>
        <v/>
      </c>
      <c r="BJ210" s="83"/>
      <c r="BK210" s="83"/>
      <c r="BL210" s="86"/>
      <c r="BM210" s="82" t="str">
        <f>IF([3]回答表!X45="○",[3]回答表!E328,IF([3]回答表!AA45="○",[3]回答表!E345,""))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IF([3]回答表!AD45="○","○","")</f>
        <v/>
      </c>
      <c r="O219" s="98"/>
      <c r="P219" s="98"/>
      <c r="Q219" s="99"/>
      <c r="R219" s="39"/>
      <c r="S219" s="39"/>
      <c r="T219" s="39"/>
      <c r="U219" s="106" t="str">
        <f>IF([3]回答表!AD45="○",[3]回答表!B350,"")</f>
        <v/>
      </c>
      <c r="V219" s="107"/>
      <c r="W219" s="107"/>
      <c r="X219" s="107"/>
      <c r="Y219" s="107"/>
      <c r="Z219" s="107"/>
      <c r="AA219" s="107"/>
      <c r="AB219" s="107"/>
      <c r="AC219" s="107"/>
      <c r="AD219" s="107"/>
      <c r="AE219" s="107"/>
      <c r="AF219" s="107"/>
      <c r="AG219" s="107"/>
      <c r="AH219" s="107"/>
      <c r="AI219" s="107"/>
      <c r="AJ219" s="108"/>
      <c r="AK219" s="61"/>
      <c r="AL219" s="61"/>
      <c r="AM219" s="106" t="str">
        <f>IF([3]回答表!AD45="○",[3]回答表!B356,"")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IF([3]回答表!X46="○","○","")</f>
        <v/>
      </c>
      <c r="O231" s="98"/>
      <c r="P231" s="98"/>
      <c r="Q231" s="99"/>
      <c r="R231" s="39"/>
      <c r="S231" s="39"/>
      <c r="T231" s="39"/>
      <c r="U231" s="106" t="str">
        <f>IF([3]回答表!X46="○",[3]回答表!B368,IF([3]回答表!AA46="○",[3]回答表!B382,""))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IF([3]回答表!X46="○",[3]回答表!BC375,IF([3]回答表!AA46="○",[3]回答表!BC389,""))</f>
        <v/>
      </c>
      <c r="AR231" s="150"/>
      <c r="AS231" s="150"/>
      <c r="AT231" s="150"/>
      <c r="AU231" s="155" t="s">
        <v>63</v>
      </c>
      <c r="AV231" s="156"/>
      <c r="AW231" s="156"/>
      <c r="AX231" s="157"/>
      <c r="AY231" s="150" t="str">
        <f>IF([3]回答表!X46="○",[3]回答表!BC380,IF([3]回答表!AA46="○",[3]回答表!BC394,""))</f>
        <v/>
      </c>
      <c r="AZ231" s="150"/>
      <c r="BA231" s="150"/>
      <c r="BB231" s="150"/>
      <c r="BC231" s="40"/>
      <c r="BD231" s="35"/>
      <c r="BE231" s="115" t="str">
        <f>IF([3]回答表!X46="○",[3]回答表!S374,IF([3]回答表!AA46="○",[3]回答表!S388,""))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IF([3]回答表!X46="○",[3]回答表!BC376,IF([3]回答表!AA46="○",[3]回答表!BC390,""))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IF([3]回答表!X46="○",[3]回答表!V374,IF([3]回答表!AA46="○",[3]回答表!V388,""))</f>
        <v/>
      </c>
      <c r="BF234" s="83"/>
      <c r="BG234" s="83"/>
      <c r="BH234" s="83"/>
      <c r="BI234" s="82" t="str">
        <f>IF([3]回答表!X46="○",[3]回答表!V375,IF([3]回答表!AA46="○",[3]回答表!V389,""))</f>
        <v/>
      </c>
      <c r="BJ234" s="83"/>
      <c r="BK234" s="83"/>
      <c r="BL234" s="86"/>
      <c r="BM234" s="82" t="str">
        <f>IF([3]回答表!X46="○",[3]回答表!V376,IF([3]回答表!AA46="○",[3]回答表!V390,""))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IF([3]回答表!X46="○",[3]回答表!BC377,IF([3]回答表!AA46="○",[3]回答表!BC391,""))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IF([3]回答表!X46="○",[3]回答表!BC381,IF([3]回答表!AA46="○",[3]回答表!BC395,""))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IF([3]回答表!X46="○",[3]回答表!BC378,IF([3]回答表!AA46="○",[3]回答表!BC392,""))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IF([3]回答表!X46="○",[3]回答表!BC379,IF([3]回答表!AA46="○",[3]回答表!BC393,""))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IF([3]回答表!AD46="○","○","")</f>
        <v/>
      </c>
      <c r="O243" s="98"/>
      <c r="P243" s="98"/>
      <c r="Q243" s="99"/>
      <c r="R243" s="39"/>
      <c r="S243" s="39"/>
      <c r="T243" s="39"/>
      <c r="U243" s="106" t="str">
        <f>IF([3]回答表!AD46="○",[3]回答表!B396,"")</f>
        <v/>
      </c>
      <c r="V243" s="107"/>
      <c r="W243" s="107"/>
      <c r="X243" s="107"/>
      <c r="Y243" s="107"/>
      <c r="Z243" s="107"/>
      <c r="AA243" s="107"/>
      <c r="AB243" s="107"/>
      <c r="AC243" s="107"/>
      <c r="AD243" s="107"/>
      <c r="AE243" s="107"/>
      <c r="AF243" s="107"/>
      <c r="AG243" s="107"/>
      <c r="AH243" s="107"/>
      <c r="AI243" s="107"/>
      <c r="AJ243" s="108"/>
      <c r="AK243" s="56"/>
      <c r="AL243" s="56"/>
      <c r="AM243" s="106" t="str">
        <f>IF([3]回答表!AD46="○",[3]回答表!B402,"")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IF([3]回答表!X47="○","○","")</f>
        <v/>
      </c>
      <c r="O254" s="98"/>
      <c r="P254" s="98"/>
      <c r="Q254" s="99"/>
      <c r="R254" s="39"/>
      <c r="S254" s="39"/>
      <c r="T254" s="39"/>
      <c r="U254" s="106" t="str">
        <f>IF([3]回答表!X47="○",[3]回答表!B414,IF([3]回答表!AA47="○",[3]回答表!B431,""))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IF([3]回答表!X47="○",[3]回答表!B424,IF([3]回答表!AA47="○",[3]回答表!B441,""))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IF([3]回答表!X47="○",[3]回答表!G420,IF([3]回答表!AA47="○",[3]回答表!G437,""))</f>
        <v/>
      </c>
      <c r="AN256" s="119"/>
      <c r="AO256" s="119"/>
      <c r="AP256" s="119"/>
      <c r="AQ256" s="119"/>
      <c r="AR256" s="119"/>
      <c r="AS256" s="119"/>
      <c r="AT256" s="120"/>
      <c r="AU256" s="118" t="str">
        <f>IF([3]回答表!X47="○",[3]回答表!G421,IF([3]回答表!AA47="○",[3]回答表!G438,""))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IF([3]回答表!X47="○",[3]回答表!E424,IF([3]回答表!AA47="○",[3]回答表!E441,""))</f>
        <v/>
      </c>
      <c r="BF257" s="83"/>
      <c r="BG257" s="83"/>
      <c r="BH257" s="83"/>
      <c r="BI257" s="82" t="str">
        <f>IF([3]回答表!X47="○",[3]回答表!E425,IF([3]回答表!AA47="○",[3]回答表!E442,""))</f>
        <v/>
      </c>
      <c r="BJ257" s="83"/>
      <c r="BK257" s="83"/>
      <c r="BL257" s="86"/>
      <c r="BM257" s="82" t="str">
        <f>IF([3]回答表!X47="○",[3]回答表!E426,IF([3]回答表!AA47="○",[3]回答表!E443,""))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IF([3]回答表!AD47="○","○","")</f>
        <v/>
      </c>
      <c r="O266" s="98"/>
      <c r="P266" s="98"/>
      <c r="Q266" s="99"/>
      <c r="R266" s="39"/>
      <c r="S266" s="39"/>
      <c r="T266" s="39"/>
      <c r="U266" s="106" t="str">
        <f>IF([3]回答表!AD47="○",[3]回答表!B448,"")</f>
        <v/>
      </c>
      <c r="V266" s="107"/>
      <c r="W266" s="107"/>
      <c r="X266" s="107"/>
      <c r="Y266" s="107"/>
      <c r="Z266" s="107"/>
      <c r="AA266" s="107"/>
      <c r="AB266" s="107"/>
      <c r="AC266" s="107"/>
      <c r="AD266" s="107"/>
      <c r="AE266" s="107"/>
      <c r="AF266" s="107"/>
      <c r="AG266" s="107"/>
      <c r="AH266" s="107"/>
      <c r="AI266" s="107"/>
      <c r="AJ266" s="108"/>
      <c r="AK266" s="50"/>
      <c r="AL266" s="50"/>
      <c r="AM266" s="106" t="str">
        <f>IF([3]回答表!AD47="○",[3]回答表!B454,"")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IF([3]回答表!R48="○",[3]回答表!B467,"")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C5773-C7B3-401B-831A-0C5256FAB163}">
  <sheetPr>
    <pageSetUpPr fitToPage="1"/>
  </sheetPr>
  <dimension ref="A1:CE298"/>
  <sheetViews>
    <sheetView showZeros="0"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IF(COUNTIF([6]回答表!K15,"*")&gt;0,[6]回答表!K15,"")</f>
        <v>由利本荘市</v>
      </c>
      <c r="D11" s="246"/>
      <c r="E11" s="246"/>
      <c r="F11" s="246"/>
      <c r="G11" s="246"/>
      <c r="H11" s="246"/>
      <c r="I11" s="246"/>
      <c r="J11" s="246"/>
      <c r="K11" s="246"/>
      <c r="L11" s="246"/>
      <c r="M11" s="246"/>
      <c r="N11" s="246"/>
      <c r="O11" s="246"/>
      <c r="P11" s="246"/>
      <c r="Q11" s="246"/>
      <c r="R11" s="246"/>
      <c r="S11" s="246"/>
      <c r="T11" s="246"/>
      <c r="U11" s="253" t="str">
        <f>IF(COUNTIF([6]回答表!F17,"*")&gt;0,[6]回答表!F17,"")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IF(COUNTIF([6]回答表!W17,"*")&gt;0,[6]回答表!W17,"")</f>
        <v>小規模集合排水施設</v>
      </c>
      <c r="AP11" s="248"/>
      <c r="AQ11" s="248"/>
      <c r="AR11" s="248"/>
      <c r="AS11" s="248"/>
      <c r="AT11" s="248"/>
      <c r="AU11" s="248"/>
      <c r="AV11" s="248"/>
      <c r="AW11" s="248"/>
      <c r="AX11" s="248"/>
      <c r="AY11" s="248"/>
      <c r="AZ11" s="248"/>
      <c r="BA11" s="248"/>
      <c r="BB11" s="248"/>
      <c r="BC11" s="248"/>
      <c r="BD11" s="248"/>
      <c r="BE11" s="249"/>
      <c r="BF11" s="252" t="str">
        <f>IF(COUNTIF([6]回答表!F19,"*")&gt;0,[6]回答表!F19,"")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IF([6]回答表!R41="○","○","")</f>
        <v/>
      </c>
      <c r="E24" s="122"/>
      <c r="F24" s="122"/>
      <c r="G24" s="122"/>
      <c r="H24" s="122"/>
      <c r="I24" s="122"/>
      <c r="J24" s="123"/>
      <c r="K24" s="121" t="str">
        <f>IF([6]回答表!R42="○","○","")</f>
        <v/>
      </c>
      <c r="L24" s="122"/>
      <c r="M24" s="122"/>
      <c r="N24" s="122"/>
      <c r="O24" s="122"/>
      <c r="P24" s="122"/>
      <c r="Q24" s="123"/>
      <c r="R24" s="121" t="str">
        <f>IF([6]回答表!R43="○","○","")</f>
        <v/>
      </c>
      <c r="S24" s="122"/>
      <c r="T24" s="122"/>
      <c r="U24" s="122"/>
      <c r="V24" s="122"/>
      <c r="W24" s="122"/>
      <c r="X24" s="123"/>
      <c r="Y24" s="121" t="str">
        <f>IF([6]回答表!R44="○","○","")</f>
        <v/>
      </c>
      <c r="Z24" s="122"/>
      <c r="AA24" s="122"/>
      <c r="AB24" s="122"/>
      <c r="AC24" s="122"/>
      <c r="AD24" s="122"/>
      <c r="AE24" s="123"/>
      <c r="AF24" s="121" t="str">
        <f>IF([6]回答表!R45="○","○","")</f>
        <v/>
      </c>
      <c r="AG24" s="122"/>
      <c r="AH24" s="122"/>
      <c r="AI24" s="122"/>
      <c r="AJ24" s="122"/>
      <c r="AK24" s="122"/>
      <c r="AL24" s="123"/>
      <c r="AM24" s="121" t="str">
        <f>IF([6]回答表!R46="○","○","")</f>
        <v/>
      </c>
      <c r="AN24" s="122"/>
      <c r="AO24" s="122"/>
      <c r="AP24" s="122"/>
      <c r="AQ24" s="122"/>
      <c r="AR24" s="122"/>
      <c r="AS24" s="123"/>
      <c r="AT24" s="121" t="str">
        <f>IF([6]回答表!R47="○","○","")</f>
        <v/>
      </c>
      <c r="AU24" s="122"/>
      <c r="AV24" s="122"/>
      <c r="AW24" s="122"/>
      <c r="AX24" s="122"/>
      <c r="AY24" s="122"/>
      <c r="AZ24" s="123"/>
      <c r="BA24" s="19"/>
      <c r="BB24" s="118" t="str">
        <f>IF([6]回答表!R48="○","○","")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IF([6]回答表!X41="○","○","")</f>
        <v/>
      </c>
      <c r="O36" s="98"/>
      <c r="P36" s="98"/>
      <c r="Q36" s="99"/>
      <c r="R36" s="39"/>
      <c r="S36" s="39"/>
      <c r="T36" s="39"/>
      <c r="U36" s="106" t="str">
        <f>IF([6]回答表!X41="○",[6]回答表!B56,IF([6]回答表!AA41="○",[6]回答表!B76,""))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IF([6]回答表!X41="○",[6]回答表!S62,IF([6]回答表!AA41="○",[6]回答表!S82,""))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IF([6]回答表!X41="○",[6]回答表!G62,IF([6]回答表!AA41="○",[6]回答表!G82,""))</f>
        <v/>
      </c>
      <c r="AN38" s="119"/>
      <c r="AO38" s="119"/>
      <c r="AP38" s="119"/>
      <c r="AQ38" s="119"/>
      <c r="AR38" s="119"/>
      <c r="AS38" s="119"/>
      <c r="AT38" s="120"/>
      <c r="AU38" s="118" t="str">
        <f>IF([6]回答表!X41="○",[6]回答表!G63,IF([6]回答表!AA41="○",[6]回答表!G83,""))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IF([6]回答表!X41="○",[6]回答表!V62,IF([6]回答表!AA41="○",[6]回答表!V82,""))</f>
        <v/>
      </c>
      <c r="BF39" s="199"/>
      <c r="BG39" s="199"/>
      <c r="BH39" s="200"/>
      <c r="BI39" s="82" t="str">
        <f>IF([6]回答表!X41="○",[6]回答表!V63,IF([6]回答表!AA41="○",[6]回答表!V83,""))</f>
        <v/>
      </c>
      <c r="BJ39" s="199"/>
      <c r="BK39" s="199"/>
      <c r="BL39" s="200"/>
      <c r="BM39" s="82" t="str">
        <f>IF([6]回答表!X41="○",[6]回答表!V64,IF([6]回答表!AA41="○",[6]回答表!V84,""))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IF([6]回答表!X41="○",[6]回答表!O68,IF([6]回答表!AA41="○",[6]回答表!O88,""))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IF([6]回答表!X41="○",[6]回答表!O69,IF([6]回答表!AA41="○",[6]回答表!O89,""))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IF([6]回答表!AA41="○","○","")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IF([6]回答表!X41="○",[6]回答表!O70,IF([6]回答表!AA41="○",[6]回答表!O90,""))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IF([6]回答表!X41="○",[6]回答表!O71,IF([6]回答表!AA41="○",[6]回答表!O91,""))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IF([6]回答表!X41="○",[6]回答表!AG68,IF([6]回答表!AA41="○",[6]回答表!AG88,""))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IF([6]回答表!X41="○",[6]回答表!AG69,IF([6]回答表!AA41="○",[6]回答表!AG89,""))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IF([6]回答表!X41="○",[6]回答表!AG70,IF([6]回答表!AA41="○",[6]回答表!AG90,""))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IF([6]回答表!AD41="○","○","")</f>
        <v/>
      </c>
      <c r="O52" s="98"/>
      <c r="P52" s="98"/>
      <c r="Q52" s="99"/>
      <c r="R52" s="39"/>
      <c r="S52" s="39"/>
      <c r="T52" s="39"/>
      <c r="U52" s="106" t="str">
        <f>IF([6]回答表!AD41="○",[6]回答表!B96,"")</f>
        <v/>
      </c>
      <c r="V52" s="107"/>
      <c r="W52" s="107"/>
      <c r="X52" s="107"/>
      <c r="Y52" s="107"/>
      <c r="Z52" s="107"/>
      <c r="AA52" s="107"/>
      <c r="AB52" s="107"/>
      <c r="AC52" s="107"/>
      <c r="AD52" s="107"/>
      <c r="AE52" s="107"/>
      <c r="AF52" s="107"/>
      <c r="AG52" s="107"/>
      <c r="AH52" s="107"/>
      <c r="AI52" s="107"/>
      <c r="AJ52" s="108"/>
      <c r="AK52" s="56"/>
      <c r="AL52" s="56"/>
      <c r="AM52" s="106" t="str">
        <f>IF([6]回答表!AD41="○",[6]回答表!B101,"")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IF([6]回答表!X42="○","○","")</f>
        <v/>
      </c>
      <c r="O63" s="98"/>
      <c r="P63" s="98"/>
      <c r="Q63" s="99"/>
      <c r="R63" s="39"/>
      <c r="S63" s="39"/>
      <c r="T63" s="39"/>
      <c r="U63" s="106" t="str">
        <f>IF([6]回答表!X42="○",[6]回答表!B111,IF([6]回答表!AA42="○",[6]回答表!B124,""))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IF([6]回答表!X42="○",[6]回答表!S117,IF([6]回答表!AA42="○",[6]回答表!S130,""))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IF([6]回答表!X42="○",[6]回答表!J117,IF([6]回答表!AA42="○",[6]回答表!J130,""))</f>
        <v/>
      </c>
      <c r="AN66" s="119"/>
      <c r="AO66" s="119"/>
      <c r="AP66" s="119"/>
      <c r="AQ66" s="119"/>
      <c r="AR66" s="119"/>
      <c r="AS66" s="119"/>
      <c r="AT66" s="120"/>
      <c r="AU66" s="118" t="str">
        <f>IF([6]回答表!X42="○",[6]回答表!J118,IF([6]回答表!AA42="○",[6]回答表!J131,""))</f>
        <v/>
      </c>
      <c r="AV66" s="119"/>
      <c r="AW66" s="119"/>
      <c r="AX66" s="119"/>
      <c r="AY66" s="119"/>
      <c r="AZ66" s="119"/>
      <c r="BA66" s="119"/>
      <c r="BB66" s="120"/>
      <c r="BC66" s="40"/>
      <c r="BD66" s="35"/>
      <c r="BE66" s="82" t="str">
        <f>IF([6]回答表!X42="○",[6]回答表!V117,IF([6]回答表!AA42="○",[6]回答表!V130,""))</f>
        <v/>
      </c>
      <c r="BF66" s="83"/>
      <c r="BG66" s="83"/>
      <c r="BH66" s="83"/>
      <c r="BI66" s="82" t="str">
        <f>IF([6]回答表!X42="○",[6]回答表!V118,IF([6]回答表!AA42="○",[6]回答表!V131,""))</f>
        <v/>
      </c>
      <c r="BJ66" s="83"/>
      <c r="BK66" s="83"/>
      <c r="BL66" s="83"/>
      <c r="BM66" s="82" t="str">
        <f>IF([6]回答表!X42="○",[6]回答表!V119,IF([6]回答表!AA42="○",[6]回答表!V132,""))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IF([6]回答表!AA42="○","○","")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IF([6]回答表!AD42="○","○","")</f>
        <v/>
      </c>
      <c r="O75" s="98"/>
      <c r="P75" s="98"/>
      <c r="Q75" s="99"/>
      <c r="R75" s="39"/>
      <c r="S75" s="39"/>
      <c r="T75" s="39"/>
      <c r="U75" s="106" t="str">
        <f>IF([6]回答表!AD42="○",[6]回答表!B137,"")</f>
        <v/>
      </c>
      <c r="V75" s="107"/>
      <c r="W75" s="107"/>
      <c r="X75" s="107"/>
      <c r="Y75" s="107"/>
      <c r="Z75" s="107"/>
      <c r="AA75" s="107"/>
      <c r="AB75" s="107"/>
      <c r="AC75" s="107"/>
      <c r="AD75" s="107"/>
      <c r="AE75" s="107"/>
      <c r="AF75" s="107"/>
      <c r="AG75" s="107"/>
      <c r="AH75" s="107"/>
      <c r="AI75" s="107"/>
      <c r="AJ75" s="108"/>
      <c r="AK75" s="56"/>
      <c r="AL75" s="56"/>
      <c r="AM75" s="106" t="str">
        <f>IF([6]回答表!AD42="○",[6]回答表!B143,"")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IF([6]回答表!F17="水道事業",IF([6]回答表!X43="○","○",""),"")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IF([6]回答表!F17="水道事業",IF([6]回答表!X43="○",[6]回答表!B154,IF([6]回答表!AA43="○",[6]回答表!B201,"")),"")</f>
        <v/>
      </c>
      <c r="AN87" s="107"/>
      <c r="AO87" s="107"/>
      <c r="AP87" s="107"/>
      <c r="AQ87" s="107"/>
      <c r="AR87" s="107"/>
      <c r="AS87" s="107"/>
      <c r="AT87" s="107"/>
      <c r="AU87" s="107"/>
      <c r="AV87" s="107"/>
      <c r="AW87" s="107"/>
      <c r="AX87" s="107"/>
      <c r="AY87" s="107"/>
      <c r="AZ87" s="107"/>
      <c r="BA87" s="107"/>
      <c r="BB87" s="108"/>
      <c r="BC87" s="40"/>
      <c r="BD87" s="35"/>
      <c r="BE87" s="115" t="str">
        <f>IF([6]回答表!F17="水道事業",IF([6]回答表!X43="○",[6]回答表!B190,IF([6]回答表!AA43="○",[6]回答表!B238,"")),"")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IF([6]回答表!F17="水道事業",IF([6]回答表!X43="○",[6]回答表!J162,IF([6]回答表!AA43="○",[6]回答表!J209,"")),"")</f>
        <v/>
      </c>
      <c r="V89" s="119"/>
      <c r="W89" s="119"/>
      <c r="X89" s="119"/>
      <c r="Y89" s="119"/>
      <c r="Z89" s="119"/>
      <c r="AA89" s="119"/>
      <c r="AB89" s="120"/>
      <c r="AC89" s="118" t="str">
        <f>IF([6]回答表!F17="水道事業",IF([6]回答表!X43="○",[6]回答表!J169,IF([6]回答表!AA43="○",[6]回答表!J216,"")),"")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IF([6]回答表!F17="水道事業",IF([6]回答表!X43="○",[6]回答表!E190,IF([6]回答表!AA43="○",[6]回答表!E238,"")),"")</f>
        <v/>
      </c>
      <c r="BF90" s="83"/>
      <c r="BG90" s="83"/>
      <c r="BH90" s="83"/>
      <c r="BI90" s="82" t="str">
        <f>IF([6]回答表!F17="水道事業",IF([6]回答表!X43="○",[6]回答表!E191,IF([6]回答表!AA43="○",[6]回答表!E239,"")),"")</f>
        <v/>
      </c>
      <c r="BJ90" s="83"/>
      <c r="BK90" s="83"/>
      <c r="BL90" s="83"/>
      <c r="BM90" s="82" t="str">
        <f>IF([6]回答表!F17="水道事業",IF([6]回答表!X43="○",[6]回答表!E192,IF([6]回答表!AA43="○",[6]回答表!E240,"")),"")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IF([6]回答表!F17="水道事業",IF([6]回答表!AA43="○","○",""),"")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IF([6]回答表!F17="水道事業",IF([6]回答表!X43="○",[6]回答表!J172,IF([6]回答表!AA43="○",[6]回答表!J219,"")),"")</f>
        <v/>
      </c>
      <c r="V94" s="119"/>
      <c r="W94" s="119"/>
      <c r="X94" s="119"/>
      <c r="Y94" s="119"/>
      <c r="Z94" s="119"/>
      <c r="AA94" s="119"/>
      <c r="AB94" s="120"/>
      <c r="AC94" s="118" t="str">
        <f>IF([6]回答表!F17="水道事業",IF([6]回答表!X43="○",[6]回答表!J176,IF([6]回答表!AA43="○",[6]回答表!J223,"")),"")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IF([6]回答表!F17="水道事業",IF([6]回答表!AD43="○","○",""),"")</f>
        <v/>
      </c>
      <c r="O99" s="98"/>
      <c r="P99" s="98"/>
      <c r="Q99" s="99"/>
      <c r="R99" s="39"/>
      <c r="S99" s="39"/>
      <c r="T99" s="39"/>
      <c r="U99" s="106" t="str">
        <f>IF([6]回答表!F17="水道事業",IF([6]回答表!AD43="○",[6]回答表!B249,""),"")</f>
        <v/>
      </c>
      <c r="V99" s="107"/>
      <c r="W99" s="107"/>
      <c r="X99" s="107"/>
      <c r="Y99" s="107"/>
      <c r="Z99" s="107"/>
      <c r="AA99" s="107"/>
      <c r="AB99" s="107"/>
      <c r="AC99" s="107"/>
      <c r="AD99" s="107"/>
      <c r="AE99" s="107"/>
      <c r="AF99" s="107"/>
      <c r="AG99" s="107"/>
      <c r="AH99" s="107"/>
      <c r="AI99" s="107"/>
      <c r="AJ99" s="108"/>
      <c r="AK99" s="56"/>
      <c r="AL99" s="56"/>
      <c r="AM99" s="106" t="str">
        <f>IF([6]回答表!F17="水道事業",IF([6]回答表!AD43="○",[6]回答表!B255,""),"")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IF([6]回答表!F17="簡易水道事業",IF([6]回答表!X43="○","○",""),"")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IF([6]回答表!F17="簡易水道事業",IF([6]回答表!X43="○",[6]回答表!B154,IF([6]回答表!AA43="○",[6]回答表!B201,"")),"")</f>
        <v/>
      </c>
      <c r="AN111" s="107"/>
      <c r="AO111" s="107"/>
      <c r="AP111" s="107"/>
      <c r="AQ111" s="107"/>
      <c r="AR111" s="107"/>
      <c r="AS111" s="107"/>
      <c r="AT111" s="107"/>
      <c r="AU111" s="107"/>
      <c r="AV111" s="107"/>
      <c r="AW111" s="107"/>
      <c r="AX111" s="107"/>
      <c r="AY111" s="107"/>
      <c r="AZ111" s="107"/>
      <c r="BA111" s="107"/>
      <c r="BB111" s="108"/>
      <c r="BC111" s="40"/>
      <c r="BD111" s="35"/>
      <c r="BE111" s="115" t="str">
        <f>IF([6]回答表!F17="簡易水道事業",IF([6]回答表!X43="○",[6]回答表!B190,IF([6]回答表!AA43="○",[6]回答表!B238,"")),"")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IF([6]回答表!F17="簡易水道事業",IF([6]回答表!X43="○",[6]回答表!Y181,IF([6]回答表!AA43="○",[6]回答表!Y229,"")),"")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IF([6]回答表!F17="簡易水道事業",IF([6]回答表!X43="○",[6]回答表!E190,IF([6]回答表!AA43="○",[6]回答表!E238,"")),"")</f>
        <v/>
      </c>
      <c r="BF114" s="83"/>
      <c r="BG114" s="83"/>
      <c r="BH114" s="83"/>
      <c r="BI114" s="82" t="str">
        <f>IF([6]回答表!F17="簡易水道事業",IF([6]回答表!X43="○",[6]回答表!E191,IF([6]回答表!AA43="○",[6]回答表!E239,"")),"")</f>
        <v/>
      </c>
      <c r="BJ114" s="83"/>
      <c r="BK114" s="83"/>
      <c r="BL114" s="83"/>
      <c r="BM114" s="82" t="str">
        <f>IF([6]回答表!F17="簡易水道事業",IF([6]回答表!X43="○",[6]回答表!E192,IF([6]回答表!AA43="○",[6]回答表!E240,"")),"")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IF([6]回答表!F17="簡易水道事業",IF([6]回答表!AA43="○","○",""),"")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IF([6]回答表!F17="簡易水道事業",IF([6]回答表!X43="○",[6]回答表!Y182,IF([6]回答表!AA43="○",[6]回答表!Y230,"")),"")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IF([6]回答表!F17="簡易水道事業",IF([6]回答表!AD43="○","○",""),"")</f>
        <v/>
      </c>
      <c r="O123" s="98"/>
      <c r="P123" s="98"/>
      <c r="Q123" s="99"/>
      <c r="R123" s="39"/>
      <c r="S123" s="39"/>
      <c r="T123" s="39"/>
      <c r="U123" s="106" t="str">
        <f>IF([6]回答表!F17="簡易水道事業",IF([6]回答表!AD43="○",[6]回答表!B249,""),"")</f>
        <v/>
      </c>
      <c r="V123" s="107"/>
      <c r="W123" s="107"/>
      <c r="X123" s="107"/>
      <c r="Y123" s="107"/>
      <c r="Z123" s="107"/>
      <c r="AA123" s="107"/>
      <c r="AB123" s="107"/>
      <c r="AC123" s="107"/>
      <c r="AD123" s="107"/>
      <c r="AE123" s="107"/>
      <c r="AF123" s="107"/>
      <c r="AG123" s="107"/>
      <c r="AH123" s="107"/>
      <c r="AI123" s="107"/>
      <c r="AJ123" s="108"/>
      <c r="AK123" s="56"/>
      <c r="AL123" s="56"/>
      <c r="AM123" s="106" t="str">
        <f>IF([6]回答表!F17="簡易水道事業",IF([6]回答表!AD43="○",[6]回答表!B255,""),"")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IF([6]回答表!F17="下水道事業",IF([6]回答表!X43="○","○",""),"")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IF([6]回答表!F17="下水道事業",IF([6]回答表!X43="○",[6]回答表!B154,IF([6]回答表!AA43="○",[6]回答表!B201,"")),"")</f>
        <v/>
      </c>
      <c r="AN135" s="107"/>
      <c r="AO135" s="107"/>
      <c r="AP135" s="107"/>
      <c r="AQ135" s="107"/>
      <c r="AR135" s="107"/>
      <c r="AS135" s="107"/>
      <c r="AT135" s="107"/>
      <c r="AU135" s="107"/>
      <c r="AV135" s="107"/>
      <c r="AW135" s="107"/>
      <c r="AX135" s="107"/>
      <c r="AY135" s="107"/>
      <c r="AZ135" s="107"/>
      <c r="BA135" s="107"/>
      <c r="BB135" s="108"/>
      <c r="BC135" s="40"/>
      <c r="BD135" s="35"/>
      <c r="BE135" s="115" t="str">
        <f>IF([6]回答表!F17="下水道事業",IF([6]回答表!X43="○",[6]回答表!B190,IF([6]回答表!AA43="○",[6]回答表!B238,"")),"")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IF([6]回答表!F17="下水道事業",IF([6]回答表!X43="○",[6]回答表!Y184,IF([6]回答表!AA43="○",[6]回答表!Y232,"")),"")</f>
        <v/>
      </c>
      <c r="V137" s="119"/>
      <c r="W137" s="119"/>
      <c r="X137" s="119"/>
      <c r="Y137" s="119"/>
      <c r="Z137" s="119"/>
      <c r="AA137" s="119"/>
      <c r="AB137" s="120"/>
      <c r="AC137" s="118" t="str">
        <f>IF([6]回答表!F17="下水道事業",IF([6]回答表!X43="○",[6]回答表!Y185,IF([6]回答表!AA43="○",[6]回答表!Y233,"")),"")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IF([6]回答表!F17="下水道事業",IF([6]回答表!X43="○",[6]回答表!E190,IF([6]回答表!AA43="○",[6]回答表!E238,"")),"")</f>
        <v/>
      </c>
      <c r="BF138" s="83"/>
      <c r="BG138" s="83"/>
      <c r="BH138" s="83"/>
      <c r="BI138" s="82" t="str">
        <f>IF([6]回答表!F17="下水道事業",IF([6]回答表!X43="○",[6]回答表!E191,IF([6]回答表!AA43="○",[6]回答表!E239,"")),"")</f>
        <v/>
      </c>
      <c r="BJ138" s="83"/>
      <c r="BK138" s="83"/>
      <c r="BL138" s="83"/>
      <c r="BM138" s="82" t="str">
        <f>IF([6]回答表!F17="下水道事業",IF([6]回答表!X43="○",[6]回答表!E192,IF([6]回答表!AA43="○",[6]回答表!E240,"")),"")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IF([6]回答表!F17="下水道事業",IF([6]回答表!AA43="○","○",""),"")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IF([6]回答表!F17="下水道事業",IF([6]回答表!X43="○",[6]回答表!Y186,IF([6]回答表!AA43="○",[6]回答表!Y234,"")),"")</f>
        <v/>
      </c>
      <c r="V142" s="119"/>
      <c r="W142" s="119"/>
      <c r="X142" s="119"/>
      <c r="Y142" s="119"/>
      <c r="Z142" s="119"/>
      <c r="AA142" s="119"/>
      <c r="AB142" s="120"/>
      <c r="AC142" s="118" t="str">
        <f>IF([6]回答表!F17="下水道事業",IF([6]回答表!X43="○",[6]回答表!Y187,IF([6]回答表!AA43="○",[6]回答表!Y235,"")),"")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IF([6]回答表!F17="下水道事業",IF([6]回答表!AD43="○","○",""),"")</f>
        <v/>
      </c>
      <c r="O147" s="98"/>
      <c r="P147" s="98"/>
      <c r="Q147" s="99"/>
      <c r="R147" s="39"/>
      <c r="S147" s="39"/>
      <c r="T147" s="39"/>
      <c r="U147" s="106" t="str">
        <f>IF([6]回答表!F17="下水道事業",IF([6]回答表!AD43="○",[6]回答表!B249,""),"")</f>
        <v/>
      </c>
      <c r="V147" s="107"/>
      <c r="W147" s="107"/>
      <c r="X147" s="107"/>
      <c r="Y147" s="107"/>
      <c r="Z147" s="107"/>
      <c r="AA147" s="107"/>
      <c r="AB147" s="107"/>
      <c r="AC147" s="107"/>
      <c r="AD147" s="107"/>
      <c r="AE147" s="107"/>
      <c r="AF147" s="107"/>
      <c r="AG147" s="107"/>
      <c r="AH147" s="107"/>
      <c r="AI147" s="107"/>
      <c r="AJ147" s="108"/>
      <c r="AK147" s="56"/>
      <c r="AL147" s="56"/>
      <c r="AM147" s="106" t="str">
        <f>IF([6]回答表!F17="下水道事業",IF([6]回答表!AD43="○",[6]回答表!B255,""),"")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IF([6]回答表!BD17="○",IF([6]回答表!X43="○","○",""),"")</f>
        <v/>
      </c>
      <c r="O159" s="98"/>
      <c r="P159" s="98"/>
      <c r="Q159" s="99"/>
      <c r="R159" s="39"/>
      <c r="S159" s="39"/>
      <c r="T159" s="39"/>
      <c r="U159" s="106" t="str">
        <f>IF([6]回答表!BD17="○",IF([6]回答表!X43="○",[6]回答表!B154,IF([6]回答表!AA43="○",[6]回答表!B201,"")),"")</f>
        <v/>
      </c>
      <c r="V159" s="107"/>
      <c r="W159" s="107"/>
      <c r="X159" s="107"/>
      <c r="Y159" s="107"/>
      <c r="Z159" s="107"/>
      <c r="AA159" s="107"/>
      <c r="AB159" s="107"/>
      <c r="AC159" s="107"/>
      <c r="AD159" s="107"/>
      <c r="AE159" s="107"/>
      <c r="AF159" s="107"/>
      <c r="AG159" s="107"/>
      <c r="AH159" s="107"/>
      <c r="AI159" s="107"/>
      <c r="AJ159" s="108"/>
      <c r="AK159" s="50"/>
      <c r="AL159" s="50"/>
      <c r="AM159" s="115" t="str">
        <f>IF([6]回答表!BD17="○",IF([6]回答表!X43="○",[6]回答表!B190,IF([6]回答表!AA43="○",[6]回答表!B238,"")),"")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IF([6]回答表!BD17="○",IF([6]回答表!X43="○",[6]回答表!E190,IF([6]回答表!AA43="○",[6]回答表!E238,"")),"")</f>
        <v/>
      </c>
      <c r="AN162" s="83"/>
      <c r="AO162" s="83"/>
      <c r="AP162" s="83"/>
      <c r="AQ162" s="82" t="str">
        <f>IF([6]回答表!BD17="○",IF([6]回答表!X43="○",[6]回答表!E191,IF([6]回答表!AA43="○",[6]回答表!E239,"")),"")</f>
        <v/>
      </c>
      <c r="AR162" s="83"/>
      <c r="AS162" s="83"/>
      <c r="AT162" s="83"/>
      <c r="AU162" s="82" t="str">
        <f>IF([6]回答表!BD17="○",IF([6]回答表!X43="○",[6]回答表!E192,IF([6]回答表!AA43="○",[6]回答表!E240,"")),"")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IF([6]回答表!BD17="○",IF([6]回答表!AA43="○","○",""),"")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IF([6]回答表!BD17="○",IF([6]回答表!AD43="○","○",""),"")</f>
        <v/>
      </c>
      <c r="O171" s="98"/>
      <c r="P171" s="98"/>
      <c r="Q171" s="99"/>
      <c r="R171" s="39"/>
      <c r="S171" s="39"/>
      <c r="T171" s="39"/>
      <c r="U171" s="106" t="str">
        <f>IF([6]回答表!BD17="○",IF([6]回答表!AD43="○",[6]回答表!B249,""),"")</f>
        <v/>
      </c>
      <c r="V171" s="107"/>
      <c r="W171" s="107"/>
      <c r="X171" s="107"/>
      <c r="Y171" s="107"/>
      <c r="Z171" s="107"/>
      <c r="AA171" s="107"/>
      <c r="AB171" s="107"/>
      <c r="AC171" s="107"/>
      <c r="AD171" s="107"/>
      <c r="AE171" s="107"/>
      <c r="AF171" s="107"/>
      <c r="AG171" s="107"/>
      <c r="AH171" s="107"/>
      <c r="AI171" s="107"/>
      <c r="AJ171" s="108"/>
      <c r="AK171" s="56"/>
      <c r="AL171" s="56"/>
      <c r="AM171" s="106" t="str">
        <f>IF([6]回答表!BD17="○",IF([6]回答表!AD43="○",[6]回答表!B255,""),"")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IF([6]回答表!X44="○","○","")</f>
        <v/>
      </c>
      <c r="O183" s="98"/>
      <c r="P183" s="98"/>
      <c r="Q183" s="99"/>
      <c r="R183" s="39"/>
      <c r="S183" s="39"/>
      <c r="T183" s="39"/>
      <c r="U183" s="106" t="str">
        <f>IF([6]回答表!X44="○",[6]回答表!B266,IF([6]回答表!AA44="○",[6]回答表!B283,""))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IF([6]回答表!X44="○",[6]回答表!U272,IF([6]回答表!AA44="○",[6]回答表!U289,""))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IF([6]回答表!X44="○",[6]回答表!G272,IF([6]回答表!AA44="○",[6]回答表!G289,""))</f>
        <v/>
      </c>
      <c r="AN186" s="119"/>
      <c r="AO186" s="119"/>
      <c r="AP186" s="119"/>
      <c r="AQ186" s="119"/>
      <c r="AR186" s="119"/>
      <c r="AS186" s="119"/>
      <c r="AT186" s="120"/>
      <c r="AU186" s="118" t="str">
        <f>IF([6]回答表!X44="○",[6]回答表!G273,IF([6]回答表!AA44="○",[6]回答表!G290,""))</f>
        <v/>
      </c>
      <c r="AV186" s="119"/>
      <c r="AW186" s="119"/>
      <c r="AX186" s="119"/>
      <c r="AY186" s="119"/>
      <c r="AZ186" s="119"/>
      <c r="BA186" s="119"/>
      <c r="BB186" s="120"/>
      <c r="BC186" s="40"/>
      <c r="BD186" s="35"/>
      <c r="BE186" s="82" t="str">
        <f>IF([6]回答表!X44="○",[6]回答表!X272,IF([6]回答表!AA44="○",[6]回答表!X289,""))</f>
        <v/>
      </c>
      <c r="BF186" s="83"/>
      <c r="BG186" s="83"/>
      <c r="BH186" s="83"/>
      <c r="BI186" s="82" t="str">
        <f>IF([6]回答表!X44="○",[6]回答表!X273,IF([6]回答表!AA44="○",[6]回答表!X290,""))</f>
        <v/>
      </c>
      <c r="BJ186" s="83"/>
      <c r="BK186" s="83"/>
      <c r="BL186" s="86"/>
      <c r="BM186" s="82" t="str">
        <f>IF([6]回答表!X44="○",[6]回答表!X274,IF([6]回答表!AA44="○",[6]回答表!X291,""))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IF([6]回答表!AA44="○","○","")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IF([6]回答表!AD44="○","○","")</f>
        <v/>
      </c>
      <c r="O195" s="98"/>
      <c r="P195" s="98"/>
      <c r="Q195" s="99"/>
      <c r="R195" s="39"/>
      <c r="S195" s="39"/>
      <c r="T195" s="39"/>
      <c r="U195" s="106" t="str">
        <f>IF([6]回答表!AD44="○",[6]回答表!B296,"")</f>
        <v/>
      </c>
      <c r="V195" s="107"/>
      <c r="W195" s="107"/>
      <c r="X195" s="107"/>
      <c r="Y195" s="107"/>
      <c r="Z195" s="107"/>
      <c r="AA195" s="107"/>
      <c r="AB195" s="107"/>
      <c r="AC195" s="107"/>
      <c r="AD195" s="107"/>
      <c r="AE195" s="107"/>
      <c r="AF195" s="107"/>
      <c r="AG195" s="107"/>
      <c r="AH195" s="107"/>
      <c r="AI195" s="107"/>
      <c r="AJ195" s="108"/>
      <c r="AK195" s="61"/>
      <c r="AL195" s="61"/>
      <c r="AM195" s="106" t="str">
        <f>IF([6]回答表!AD44="○",[6]回答表!B302,"")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IF([6]回答表!X45="○","○","")</f>
        <v/>
      </c>
      <c r="O207" s="98"/>
      <c r="P207" s="98"/>
      <c r="Q207" s="99"/>
      <c r="R207" s="39"/>
      <c r="S207" s="39"/>
      <c r="T207" s="39"/>
      <c r="U207" s="106" t="str">
        <f>IF([6]回答表!X45="○",[6]回答表!B314,IF([6]回答表!AA45="○",[6]回答表!B337,""))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IF([6]回答表!X45="○",[6]回答表!B320,"")</f>
        <v/>
      </c>
      <c r="AO207" s="164"/>
      <c r="AP207" s="164"/>
      <c r="AQ207" s="164"/>
      <c r="AR207" s="164"/>
      <c r="AS207" s="164"/>
      <c r="AT207" s="164"/>
      <c r="AU207" s="164"/>
      <c r="AV207" s="164"/>
      <c r="AW207" s="164"/>
      <c r="AX207" s="164"/>
      <c r="AY207" s="164"/>
      <c r="AZ207" s="164"/>
      <c r="BA207" s="164"/>
      <c r="BB207" s="165"/>
      <c r="BC207" s="40"/>
      <c r="BD207" s="35"/>
      <c r="BE207" s="115" t="str">
        <f>IF([6]回答表!X45="○",[6]回答表!B326,IF([6]回答表!AA45="○",[6]回答表!B343,""))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IF([6]回答表!X45="○",[6]回答表!E326,IF([6]回答表!AA45="○",[6]回答表!E343,""))</f>
        <v/>
      </c>
      <c r="BF210" s="83"/>
      <c r="BG210" s="83"/>
      <c r="BH210" s="83"/>
      <c r="BI210" s="82" t="str">
        <f>IF([6]回答表!X45="○",[6]回答表!E327,IF([6]回答表!AA45="○",[6]回答表!E344,""))</f>
        <v/>
      </c>
      <c r="BJ210" s="83"/>
      <c r="BK210" s="83"/>
      <c r="BL210" s="86"/>
      <c r="BM210" s="82" t="str">
        <f>IF([6]回答表!X45="○",[6]回答表!E328,IF([6]回答表!AA45="○",[6]回答表!E345,""))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IF([6]回答表!AA45="○","○","")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IF([6]回答表!AD45="○","○","")</f>
        <v/>
      </c>
      <c r="O219" s="98"/>
      <c r="P219" s="98"/>
      <c r="Q219" s="99"/>
      <c r="R219" s="39"/>
      <c r="S219" s="39"/>
      <c r="T219" s="39"/>
      <c r="U219" s="106" t="str">
        <f>IF([6]回答表!AD45="○",[6]回答表!B350,"")</f>
        <v/>
      </c>
      <c r="V219" s="107"/>
      <c r="W219" s="107"/>
      <c r="X219" s="107"/>
      <c r="Y219" s="107"/>
      <c r="Z219" s="107"/>
      <c r="AA219" s="107"/>
      <c r="AB219" s="107"/>
      <c r="AC219" s="107"/>
      <c r="AD219" s="107"/>
      <c r="AE219" s="107"/>
      <c r="AF219" s="107"/>
      <c r="AG219" s="107"/>
      <c r="AH219" s="107"/>
      <c r="AI219" s="107"/>
      <c r="AJ219" s="108"/>
      <c r="AK219" s="61"/>
      <c r="AL219" s="61"/>
      <c r="AM219" s="106" t="str">
        <f>IF([6]回答表!AD45="○",[6]回答表!B356,"")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IF([6]回答表!X46="○","○","")</f>
        <v/>
      </c>
      <c r="O231" s="98"/>
      <c r="P231" s="98"/>
      <c r="Q231" s="99"/>
      <c r="R231" s="39"/>
      <c r="S231" s="39"/>
      <c r="T231" s="39"/>
      <c r="U231" s="106" t="str">
        <f>IF([6]回答表!X46="○",[6]回答表!B368,IF([6]回答表!AA46="○",[6]回答表!B382,""))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IF([6]回答表!X46="○",[6]回答表!BC375,IF([6]回答表!AA46="○",[6]回答表!BC389,""))</f>
        <v/>
      </c>
      <c r="AR231" s="150"/>
      <c r="AS231" s="150"/>
      <c r="AT231" s="150"/>
      <c r="AU231" s="155" t="s">
        <v>63</v>
      </c>
      <c r="AV231" s="156"/>
      <c r="AW231" s="156"/>
      <c r="AX231" s="157"/>
      <c r="AY231" s="150" t="str">
        <f>IF([6]回答表!X46="○",[6]回答表!BC380,IF([6]回答表!AA46="○",[6]回答表!BC394,""))</f>
        <v/>
      </c>
      <c r="AZ231" s="150"/>
      <c r="BA231" s="150"/>
      <c r="BB231" s="150"/>
      <c r="BC231" s="40"/>
      <c r="BD231" s="35"/>
      <c r="BE231" s="115" t="str">
        <f>IF([6]回答表!X46="○",[6]回答表!S374,IF([6]回答表!AA46="○",[6]回答表!S388,""))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IF([6]回答表!X46="○",[6]回答表!BC376,IF([6]回答表!AA46="○",[6]回答表!BC390,""))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IF([6]回答表!X46="○",[6]回答表!V374,IF([6]回答表!AA46="○",[6]回答表!V388,""))</f>
        <v/>
      </c>
      <c r="BF234" s="83"/>
      <c r="BG234" s="83"/>
      <c r="BH234" s="83"/>
      <c r="BI234" s="82" t="str">
        <f>IF([6]回答表!X46="○",[6]回答表!V375,IF([6]回答表!AA46="○",[6]回答表!V389,""))</f>
        <v/>
      </c>
      <c r="BJ234" s="83"/>
      <c r="BK234" s="83"/>
      <c r="BL234" s="86"/>
      <c r="BM234" s="82" t="str">
        <f>IF([6]回答表!X46="○",[6]回答表!V376,IF([6]回答表!AA46="○",[6]回答表!V390,""))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IF([6]回答表!X46="○",[6]回答表!BC377,IF([6]回答表!AA46="○",[6]回答表!BC391,""))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IF([6]回答表!X46="○",[6]回答表!BC381,IF([6]回答表!AA46="○",[6]回答表!BC395,""))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IF([6]回答表!AA46="○","○","")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IF([6]回答表!X46="○",[6]回答表!BC378,IF([6]回答表!AA46="○",[6]回答表!BC392,""))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IF([6]回答表!X46="○",[6]回答表!BC379,IF([6]回答表!AA46="○",[6]回答表!BC393,""))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IF([6]回答表!AD46="○","○","")</f>
        <v/>
      </c>
      <c r="O243" s="98"/>
      <c r="P243" s="98"/>
      <c r="Q243" s="99"/>
      <c r="R243" s="39"/>
      <c r="S243" s="39"/>
      <c r="T243" s="39"/>
      <c r="U243" s="106" t="str">
        <f>IF([6]回答表!AD46="○",[6]回答表!B396,"")</f>
        <v/>
      </c>
      <c r="V243" s="107"/>
      <c r="W243" s="107"/>
      <c r="X243" s="107"/>
      <c r="Y243" s="107"/>
      <c r="Z243" s="107"/>
      <c r="AA243" s="107"/>
      <c r="AB243" s="107"/>
      <c r="AC243" s="107"/>
      <c r="AD243" s="107"/>
      <c r="AE243" s="107"/>
      <c r="AF243" s="107"/>
      <c r="AG243" s="107"/>
      <c r="AH243" s="107"/>
      <c r="AI243" s="107"/>
      <c r="AJ243" s="108"/>
      <c r="AK243" s="56"/>
      <c r="AL243" s="56"/>
      <c r="AM243" s="106" t="str">
        <f>IF([6]回答表!AD46="○",[6]回答表!B402,"")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IF([6]回答表!X47="○","○","")</f>
        <v/>
      </c>
      <c r="O254" s="98"/>
      <c r="P254" s="98"/>
      <c r="Q254" s="99"/>
      <c r="R254" s="39"/>
      <c r="S254" s="39"/>
      <c r="T254" s="39"/>
      <c r="U254" s="106" t="str">
        <f>IF([6]回答表!X47="○",[6]回答表!B414,IF([6]回答表!AA47="○",[6]回答表!B431,""))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IF([6]回答表!X47="○",[6]回答表!B424,IF([6]回答表!AA47="○",[6]回答表!B441,""))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IF([6]回答表!X47="○",[6]回答表!G420,IF([6]回答表!AA47="○",[6]回答表!G437,""))</f>
        <v/>
      </c>
      <c r="AN256" s="119"/>
      <c r="AO256" s="119"/>
      <c r="AP256" s="119"/>
      <c r="AQ256" s="119"/>
      <c r="AR256" s="119"/>
      <c r="AS256" s="119"/>
      <c r="AT256" s="120"/>
      <c r="AU256" s="118" t="str">
        <f>IF([6]回答表!X47="○",[6]回答表!G421,IF([6]回答表!AA47="○",[6]回答表!G438,""))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IF([6]回答表!X47="○",[6]回答表!E424,IF([6]回答表!AA47="○",[6]回答表!E441,""))</f>
        <v/>
      </c>
      <c r="BF257" s="83"/>
      <c r="BG257" s="83"/>
      <c r="BH257" s="83"/>
      <c r="BI257" s="82" t="str">
        <f>IF([6]回答表!X47="○",[6]回答表!E425,IF([6]回答表!AA47="○",[6]回答表!E442,""))</f>
        <v/>
      </c>
      <c r="BJ257" s="83"/>
      <c r="BK257" s="83"/>
      <c r="BL257" s="86"/>
      <c r="BM257" s="82" t="str">
        <f>IF([6]回答表!X47="○",[6]回答表!E426,IF([6]回答表!AA47="○",[6]回答表!E443,""))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IF([6]回答表!AA47="○","○","")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IF([6]回答表!AD47="○","○","")</f>
        <v/>
      </c>
      <c r="O266" s="98"/>
      <c r="P266" s="98"/>
      <c r="Q266" s="99"/>
      <c r="R266" s="39"/>
      <c r="S266" s="39"/>
      <c r="T266" s="39"/>
      <c r="U266" s="106" t="str">
        <f>IF([6]回答表!AD47="○",[6]回答表!B448,"")</f>
        <v/>
      </c>
      <c r="V266" s="107"/>
      <c r="W266" s="107"/>
      <c r="X266" s="107"/>
      <c r="Y266" s="107"/>
      <c r="Z266" s="107"/>
      <c r="AA266" s="107"/>
      <c r="AB266" s="107"/>
      <c r="AC266" s="107"/>
      <c r="AD266" s="107"/>
      <c r="AE266" s="107"/>
      <c r="AF266" s="107"/>
      <c r="AG266" s="107"/>
      <c r="AH266" s="107"/>
      <c r="AI266" s="107"/>
      <c r="AJ266" s="108"/>
      <c r="AK266" s="50"/>
      <c r="AL266" s="50"/>
      <c r="AM266" s="106" t="str">
        <f>IF([6]回答表!AD47="○",[6]回答表!B454,"")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IF([6]回答表!R48="○",[6]回答表!B467,"")</f>
        <v>　令和2年4月1日より公営企業化し、今年度改めて経営戦略を策定することとしている。このなかで、現状分析や将来予測を行い、今後の財政計画を作成する上で課題を明確化することで、今後の抜本的な改革の検討ににつながるものと考えているため、現段階では現行の経営体制・手法の継続とした。</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7"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C53B5-2844-4022-9F88-822AA929792A}">
  <sheetPr>
    <pageSetUpPr fitToPage="1"/>
  </sheetPr>
  <dimension ref="A1:CE298"/>
  <sheetViews>
    <sheetView showZeros="0" zoomScale="55" zoomScaleNormal="55" workbookViewId="0">
      <selection activeCell="AK38" sqref="AK3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IF(COUNTIF([8]回答表!K15,"*")&gt;0,[8]回答表!K15,"")</f>
        <v>由利本荘市</v>
      </c>
      <c r="D11" s="246"/>
      <c r="E11" s="246"/>
      <c r="F11" s="246"/>
      <c r="G11" s="246"/>
      <c r="H11" s="246"/>
      <c r="I11" s="246"/>
      <c r="J11" s="246"/>
      <c r="K11" s="246"/>
      <c r="L11" s="246"/>
      <c r="M11" s="246"/>
      <c r="N11" s="246"/>
      <c r="O11" s="246"/>
      <c r="P11" s="246"/>
      <c r="Q11" s="246"/>
      <c r="R11" s="246"/>
      <c r="S11" s="246"/>
      <c r="T11" s="246"/>
      <c r="U11" s="253" t="str">
        <f>IF(COUNTIF([8]回答表!F17,"*")&gt;0,[8]回答表!F17,"")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IF(COUNTIF([8]回答表!W17,"*")&gt;0,[8]回答表!W17,"")</f>
        <v>特定地域排水処理施設</v>
      </c>
      <c r="AP11" s="248"/>
      <c r="AQ11" s="248"/>
      <c r="AR11" s="248"/>
      <c r="AS11" s="248"/>
      <c r="AT11" s="248"/>
      <c r="AU11" s="248"/>
      <c r="AV11" s="248"/>
      <c r="AW11" s="248"/>
      <c r="AX11" s="248"/>
      <c r="AY11" s="248"/>
      <c r="AZ11" s="248"/>
      <c r="BA11" s="248"/>
      <c r="BB11" s="248"/>
      <c r="BC11" s="248"/>
      <c r="BD11" s="248"/>
      <c r="BE11" s="249"/>
      <c r="BF11" s="252" t="str">
        <f>IF(COUNTIF([8]回答表!F19,"*")&gt;0,[8]回答表!F19,"")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IF([8]回答表!R41="○","○","")</f>
        <v/>
      </c>
      <c r="E24" s="122"/>
      <c r="F24" s="122"/>
      <c r="G24" s="122"/>
      <c r="H24" s="122"/>
      <c r="I24" s="122"/>
      <c r="J24" s="123"/>
      <c r="K24" s="121" t="str">
        <f>IF([8]回答表!R42="○","○","")</f>
        <v/>
      </c>
      <c r="L24" s="122"/>
      <c r="M24" s="122"/>
      <c r="N24" s="122"/>
      <c r="O24" s="122"/>
      <c r="P24" s="122"/>
      <c r="Q24" s="123"/>
      <c r="R24" s="121" t="str">
        <f>IF([8]回答表!R43="○","○","")</f>
        <v/>
      </c>
      <c r="S24" s="122"/>
      <c r="T24" s="122"/>
      <c r="U24" s="122"/>
      <c r="V24" s="122"/>
      <c r="W24" s="122"/>
      <c r="X24" s="123"/>
      <c r="Y24" s="121" t="str">
        <f>IF([8]回答表!R44="○","○","")</f>
        <v/>
      </c>
      <c r="Z24" s="122"/>
      <c r="AA24" s="122"/>
      <c r="AB24" s="122"/>
      <c r="AC24" s="122"/>
      <c r="AD24" s="122"/>
      <c r="AE24" s="123"/>
      <c r="AF24" s="121" t="str">
        <f>IF([8]回答表!R45="○","○","")</f>
        <v/>
      </c>
      <c r="AG24" s="122"/>
      <c r="AH24" s="122"/>
      <c r="AI24" s="122"/>
      <c r="AJ24" s="122"/>
      <c r="AK24" s="122"/>
      <c r="AL24" s="123"/>
      <c r="AM24" s="121" t="str">
        <f>IF([8]回答表!R46="○","○","")</f>
        <v/>
      </c>
      <c r="AN24" s="122"/>
      <c r="AO24" s="122"/>
      <c r="AP24" s="122"/>
      <c r="AQ24" s="122"/>
      <c r="AR24" s="122"/>
      <c r="AS24" s="123"/>
      <c r="AT24" s="121" t="str">
        <f>IF([8]回答表!R47="○","○","")</f>
        <v/>
      </c>
      <c r="AU24" s="122"/>
      <c r="AV24" s="122"/>
      <c r="AW24" s="122"/>
      <c r="AX24" s="122"/>
      <c r="AY24" s="122"/>
      <c r="AZ24" s="123"/>
      <c r="BA24" s="19"/>
      <c r="BB24" s="118" t="str">
        <f>IF([8]回答表!R48="○","○","")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IF([8]回答表!X41="○","○","")</f>
        <v/>
      </c>
      <c r="O36" s="98"/>
      <c r="P36" s="98"/>
      <c r="Q36" s="99"/>
      <c r="R36" s="39"/>
      <c r="S36" s="39"/>
      <c r="T36" s="39"/>
      <c r="U36" s="106" t="str">
        <f>IF([8]回答表!X41="○",[8]回答表!B56,IF([8]回答表!AA41="○",[8]回答表!B76,""))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IF([8]回答表!X41="○",[8]回答表!S62,IF([8]回答表!AA41="○",[8]回答表!S82,""))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IF([8]回答表!X41="○",[8]回答表!G62,IF([8]回答表!AA41="○",[8]回答表!G82,""))</f>
        <v/>
      </c>
      <c r="AN38" s="119"/>
      <c r="AO38" s="119"/>
      <c r="AP38" s="119"/>
      <c r="AQ38" s="119"/>
      <c r="AR38" s="119"/>
      <c r="AS38" s="119"/>
      <c r="AT38" s="120"/>
      <c r="AU38" s="118" t="str">
        <f>IF([8]回答表!X41="○",[8]回答表!G63,IF([8]回答表!AA41="○",[8]回答表!G83,""))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IF([8]回答表!X41="○",[8]回答表!V62,IF([8]回答表!AA41="○",[8]回答表!V82,""))</f>
        <v/>
      </c>
      <c r="BF39" s="199"/>
      <c r="BG39" s="199"/>
      <c r="BH39" s="200"/>
      <c r="BI39" s="82" t="str">
        <f>IF([8]回答表!X41="○",[8]回答表!V63,IF([8]回答表!AA41="○",[8]回答表!V83,""))</f>
        <v/>
      </c>
      <c r="BJ39" s="199"/>
      <c r="BK39" s="199"/>
      <c r="BL39" s="200"/>
      <c r="BM39" s="82" t="str">
        <f>IF([8]回答表!X41="○",[8]回答表!V64,IF([8]回答表!AA41="○",[8]回答表!V84,""))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IF([8]回答表!X41="○",[8]回答表!O68,IF([8]回答表!AA41="○",[8]回答表!O88,""))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IF([8]回答表!X41="○",[8]回答表!O69,IF([8]回答表!AA41="○",[8]回答表!O89,""))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IF([8]回答表!AA41="○","○","")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IF([8]回答表!X41="○",[8]回答表!O70,IF([8]回答表!AA41="○",[8]回答表!O90,""))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IF([8]回答表!X41="○",[8]回答表!O71,IF([8]回答表!AA41="○",[8]回答表!O91,""))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IF([8]回答表!X41="○",[8]回答表!AG68,IF([8]回答表!AA41="○",[8]回答表!AG88,""))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IF([8]回答表!X41="○",[8]回答表!AG69,IF([8]回答表!AA41="○",[8]回答表!AG89,""))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IF([8]回答表!X41="○",[8]回答表!AG70,IF([8]回答表!AA41="○",[8]回答表!AG90,""))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IF([8]回答表!AD41="○","○","")</f>
        <v/>
      </c>
      <c r="O52" s="98"/>
      <c r="P52" s="98"/>
      <c r="Q52" s="99"/>
      <c r="R52" s="39"/>
      <c r="S52" s="39"/>
      <c r="T52" s="39"/>
      <c r="U52" s="106" t="str">
        <f>IF([8]回答表!AD41="○",[8]回答表!B96,"")</f>
        <v/>
      </c>
      <c r="V52" s="107"/>
      <c r="W52" s="107"/>
      <c r="X52" s="107"/>
      <c r="Y52" s="107"/>
      <c r="Z52" s="107"/>
      <c r="AA52" s="107"/>
      <c r="AB52" s="107"/>
      <c r="AC52" s="107"/>
      <c r="AD52" s="107"/>
      <c r="AE52" s="107"/>
      <c r="AF52" s="107"/>
      <c r="AG52" s="107"/>
      <c r="AH52" s="107"/>
      <c r="AI52" s="107"/>
      <c r="AJ52" s="108"/>
      <c r="AK52" s="56"/>
      <c r="AL52" s="56"/>
      <c r="AM52" s="106" t="str">
        <f>IF([8]回答表!AD41="○",[8]回答表!B101,"")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IF([8]回答表!X42="○","○","")</f>
        <v/>
      </c>
      <c r="O63" s="98"/>
      <c r="P63" s="98"/>
      <c r="Q63" s="99"/>
      <c r="R63" s="39"/>
      <c r="S63" s="39"/>
      <c r="T63" s="39"/>
      <c r="U63" s="106" t="str">
        <f>IF([8]回答表!X42="○",[8]回答表!B111,IF([8]回答表!AA42="○",[8]回答表!B124,""))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IF([8]回答表!X42="○",[8]回答表!S117,IF([8]回答表!AA42="○",[8]回答表!S130,""))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IF([8]回答表!X42="○",[8]回答表!J117,IF([8]回答表!AA42="○",[8]回答表!J130,""))</f>
        <v/>
      </c>
      <c r="AN66" s="119"/>
      <c r="AO66" s="119"/>
      <c r="AP66" s="119"/>
      <c r="AQ66" s="119"/>
      <c r="AR66" s="119"/>
      <c r="AS66" s="119"/>
      <c r="AT66" s="120"/>
      <c r="AU66" s="118" t="str">
        <f>IF([8]回答表!X42="○",[8]回答表!J118,IF([8]回答表!AA42="○",[8]回答表!J131,""))</f>
        <v/>
      </c>
      <c r="AV66" s="119"/>
      <c r="AW66" s="119"/>
      <c r="AX66" s="119"/>
      <c r="AY66" s="119"/>
      <c r="AZ66" s="119"/>
      <c r="BA66" s="119"/>
      <c r="BB66" s="120"/>
      <c r="BC66" s="40"/>
      <c r="BD66" s="35"/>
      <c r="BE66" s="82" t="str">
        <f>IF([8]回答表!X42="○",[8]回答表!V117,IF([8]回答表!AA42="○",[8]回答表!V130,""))</f>
        <v/>
      </c>
      <c r="BF66" s="83"/>
      <c r="BG66" s="83"/>
      <c r="BH66" s="83"/>
      <c r="BI66" s="82" t="str">
        <f>IF([8]回答表!X42="○",[8]回答表!V118,IF([8]回答表!AA42="○",[8]回答表!V131,""))</f>
        <v/>
      </c>
      <c r="BJ66" s="83"/>
      <c r="BK66" s="83"/>
      <c r="BL66" s="83"/>
      <c r="BM66" s="82" t="str">
        <f>IF([8]回答表!X42="○",[8]回答表!V119,IF([8]回答表!AA42="○",[8]回答表!V132,""))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IF([8]回答表!AA42="○","○","")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IF([8]回答表!AD42="○","○","")</f>
        <v/>
      </c>
      <c r="O75" s="98"/>
      <c r="P75" s="98"/>
      <c r="Q75" s="99"/>
      <c r="R75" s="39"/>
      <c r="S75" s="39"/>
      <c r="T75" s="39"/>
      <c r="U75" s="106" t="str">
        <f>IF([8]回答表!AD42="○",[8]回答表!B137,"")</f>
        <v/>
      </c>
      <c r="V75" s="107"/>
      <c r="W75" s="107"/>
      <c r="X75" s="107"/>
      <c r="Y75" s="107"/>
      <c r="Z75" s="107"/>
      <c r="AA75" s="107"/>
      <c r="AB75" s="107"/>
      <c r="AC75" s="107"/>
      <c r="AD75" s="107"/>
      <c r="AE75" s="107"/>
      <c r="AF75" s="107"/>
      <c r="AG75" s="107"/>
      <c r="AH75" s="107"/>
      <c r="AI75" s="107"/>
      <c r="AJ75" s="108"/>
      <c r="AK75" s="56"/>
      <c r="AL75" s="56"/>
      <c r="AM75" s="106" t="str">
        <f>IF([8]回答表!AD42="○",[8]回答表!B143,"")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IF([8]回答表!F17="水道事業",IF([8]回答表!X43="○","○",""),"")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IF([8]回答表!F17="水道事業",IF([8]回答表!X43="○",[8]回答表!B154,IF([8]回答表!AA43="○",[8]回答表!B201,"")),"")</f>
        <v/>
      </c>
      <c r="AN87" s="107"/>
      <c r="AO87" s="107"/>
      <c r="AP87" s="107"/>
      <c r="AQ87" s="107"/>
      <c r="AR87" s="107"/>
      <c r="AS87" s="107"/>
      <c r="AT87" s="107"/>
      <c r="AU87" s="107"/>
      <c r="AV87" s="107"/>
      <c r="AW87" s="107"/>
      <c r="AX87" s="107"/>
      <c r="AY87" s="107"/>
      <c r="AZ87" s="107"/>
      <c r="BA87" s="107"/>
      <c r="BB87" s="108"/>
      <c r="BC87" s="40"/>
      <c r="BD87" s="35"/>
      <c r="BE87" s="115" t="str">
        <f>IF([8]回答表!F17="水道事業",IF([8]回答表!X43="○",[8]回答表!B190,IF([8]回答表!AA43="○",[8]回答表!B238,"")),"")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IF([8]回答表!F17="水道事業",IF([8]回答表!X43="○",[8]回答表!J162,IF([8]回答表!AA43="○",[8]回答表!J209,"")),"")</f>
        <v/>
      </c>
      <c r="V89" s="119"/>
      <c r="W89" s="119"/>
      <c r="X89" s="119"/>
      <c r="Y89" s="119"/>
      <c r="Z89" s="119"/>
      <c r="AA89" s="119"/>
      <c r="AB89" s="120"/>
      <c r="AC89" s="118" t="str">
        <f>IF([8]回答表!F17="水道事業",IF([8]回答表!X43="○",[8]回答表!J169,IF([8]回答表!AA43="○",[8]回答表!J216,"")),"")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IF([8]回答表!F17="水道事業",IF([8]回答表!X43="○",[8]回答表!E190,IF([8]回答表!AA43="○",[8]回答表!E238,"")),"")</f>
        <v/>
      </c>
      <c r="BF90" s="83"/>
      <c r="BG90" s="83"/>
      <c r="BH90" s="83"/>
      <c r="BI90" s="82" t="str">
        <f>IF([8]回答表!F17="水道事業",IF([8]回答表!X43="○",[8]回答表!E191,IF([8]回答表!AA43="○",[8]回答表!E239,"")),"")</f>
        <v/>
      </c>
      <c r="BJ90" s="83"/>
      <c r="BK90" s="83"/>
      <c r="BL90" s="83"/>
      <c r="BM90" s="82" t="str">
        <f>IF([8]回答表!F17="水道事業",IF([8]回答表!X43="○",[8]回答表!E192,IF([8]回答表!AA43="○",[8]回答表!E240,"")),"")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IF([8]回答表!F17="水道事業",IF([8]回答表!AA43="○","○",""),"")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IF([8]回答表!F17="水道事業",IF([8]回答表!X43="○",[8]回答表!J172,IF([8]回答表!AA43="○",[8]回答表!J219,"")),"")</f>
        <v/>
      </c>
      <c r="V94" s="119"/>
      <c r="W94" s="119"/>
      <c r="X94" s="119"/>
      <c r="Y94" s="119"/>
      <c r="Z94" s="119"/>
      <c r="AA94" s="119"/>
      <c r="AB94" s="120"/>
      <c r="AC94" s="118" t="str">
        <f>IF([8]回答表!F17="水道事業",IF([8]回答表!X43="○",[8]回答表!J176,IF([8]回答表!AA43="○",[8]回答表!J223,"")),"")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IF([8]回答表!F17="水道事業",IF([8]回答表!AD43="○","○",""),"")</f>
        <v/>
      </c>
      <c r="O99" s="98"/>
      <c r="P99" s="98"/>
      <c r="Q99" s="99"/>
      <c r="R99" s="39"/>
      <c r="S99" s="39"/>
      <c r="T99" s="39"/>
      <c r="U99" s="106" t="str">
        <f>IF([8]回答表!F17="水道事業",IF([8]回答表!AD43="○",[8]回答表!B249,""),"")</f>
        <v/>
      </c>
      <c r="V99" s="107"/>
      <c r="W99" s="107"/>
      <c r="X99" s="107"/>
      <c r="Y99" s="107"/>
      <c r="Z99" s="107"/>
      <c r="AA99" s="107"/>
      <c r="AB99" s="107"/>
      <c r="AC99" s="107"/>
      <c r="AD99" s="107"/>
      <c r="AE99" s="107"/>
      <c r="AF99" s="107"/>
      <c r="AG99" s="107"/>
      <c r="AH99" s="107"/>
      <c r="AI99" s="107"/>
      <c r="AJ99" s="108"/>
      <c r="AK99" s="56"/>
      <c r="AL99" s="56"/>
      <c r="AM99" s="106" t="str">
        <f>IF([8]回答表!F17="水道事業",IF([8]回答表!AD43="○",[8]回答表!B255,""),"")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IF([8]回答表!F17="簡易水道事業",IF([8]回答表!X43="○","○",""),"")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IF([8]回答表!F17="簡易水道事業",IF([8]回答表!X43="○",[8]回答表!B154,IF([8]回答表!AA43="○",[8]回答表!B201,"")),"")</f>
        <v/>
      </c>
      <c r="AN111" s="107"/>
      <c r="AO111" s="107"/>
      <c r="AP111" s="107"/>
      <c r="AQ111" s="107"/>
      <c r="AR111" s="107"/>
      <c r="AS111" s="107"/>
      <c r="AT111" s="107"/>
      <c r="AU111" s="107"/>
      <c r="AV111" s="107"/>
      <c r="AW111" s="107"/>
      <c r="AX111" s="107"/>
      <c r="AY111" s="107"/>
      <c r="AZ111" s="107"/>
      <c r="BA111" s="107"/>
      <c r="BB111" s="108"/>
      <c r="BC111" s="40"/>
      <c r="BD111" s="35"/>
      <c r="BE111" s="115" t="str">
        <f>IF([8]回答表!F17="簡易水道事業",IF([8]回答表!X43="○",[8]回答表!B190,IF([8]回答表!AA43="○",[8]回答表!B238,"")),"")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IF([8]回答表!F17="簡易水道事業",IF([8]回答表!X43="○",[8]回答表!Y181,IF([8]回答表!AA43="○",[8]回答表!Y229,"")),"")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IF([8]回答表!F17="簡易水道事業",IF([8]回答表!X43="○",[8]回答表!E190,IF([8]回答表!AA43="○",[8]回答表!E238,"")),"")</f>
        <v/>
      </c>
      <c r="BF114" s="83"/>
      <c r="BG114" s="83"/>
      <c r="BH114" s="83"/>
      <c r="BI114" s="82" t="str">
        <f>IF([8]回答表!F17="簡易水道事業",IF([8]回答表!X43="○",[8]回答表!E191,IF([8]回答表!AA43="○",[8]回答表!E239,"")),"")</f>
        <v/>
      </c>
      <c r="BJ114" s="83"/>
      <c r="BK114" s="83"/>
      <c r="BL114" s="83"/>
      <c r="BM114" s="82" t="str">
        <f>IF([8]回答表!F17="簡易水道事業",IF([8]回答表!X43="○",[8]回答表!E192,IF([8]回答表!AA43="○",[8]回答表!E240,"")),"")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IF([8]回答表!F17="簡易水道事業",IF([8]回答表!AA43="○","○",""),"")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IF([8]回答表!F17="簡易水道事業",IF([8]回答表!X43="○",[8]回答表!Y182,IF([8]回答表!AA43="○",[8]回答表!Y230,"")),"")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IF([8]回答表!F17="簡易水道事業",IF([8]回答表!AD43="○","○",""),"")</f>
        <v/>
      </c>
      <c r="O123" s="98"/>
      <c r="P123" s="98"/>
      <c r="Q123" s="99"/>
      <c r="R123" s="39"/>
      <c r="S123" s="39"/>
      <c r="T123" s="39"/>
      <c r="U123" s="106" t="str">
        <f>IF([8]回答表!F17="簡易水道事業",IF([8]回答表!AD43="○",[8]回答表!B249,""),"")</f>
        <v/>
      </c>
      <c r="V123" s="107"/>
      <c r="W123" s="107"/>
      <c r="X123" s="107"/>
      <c r="Y123" s="107"/>
      <c r="Z123" s="107"/>
      <c r="AA123" s="107"/>
      <c r="AB123" s="107"/>
      <c r="AC123" s="107"/>
      <c r="AD123" s="107"/>
      <c r="AE123" s="107"/>
      <c r="AF123" s="107"/>
      <c r="AG123" s="107"/>
      <c r="AH123" s="107"/>
      <c r="AI123" s="107"/>
      <c r="AJ123" s="108"/>
      <c r="AK123" s="56"/>
      <c r="AL123" s="56"/>
      <c r="AM123" s="106" t="str">
        <f>IF([8]回答表!F17="簡易水道事業",IF([8]回答表!AD43="○",[8]回答表!B255,""),"")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IF([8]回答表!F17="下水道事業",IF([8]回答表!X43="○","○",""),"")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IF([8]回答表!F17="下水道事業",IF([8]回答表!X43="○",[8]回答表!B154,IF([8]回答表!AA43="○",[8]回答表!B201,"")),"")</f>
        <v/>
      </c>
      <c r="AN135" s="107"/>
      <c r="AO135" s="107"/>
      <c r="AP135" s="107"/>
      <c r="AQ135" s="107"/>
      <c r="AR135" s="107"/>
      <c r="AS135" s="107"/>
      <c r="AT135" s="107"/>
      <c r="AU135" s="107"/>
      <c r="AV135" s="107"/>
      <c r="AW135" s="107"/>
      <c r="AX135" s="107"/>
      <c r="AY135" s="107"/>
      <c r="AZ135" s="107"/>
      <c r="BA135" s="107"/>
      <c r="BB135" s="108"/>
      <c r="BC135" s="40"/>
      <c r="BD135" s="35"/>
      <c r="BE135" s="115" t="str">
        <f>IF([8]回答表!F17="下水道事業",IF([8]回答表!X43="○",[8]回答表!B190,IF([8]回答表!AA43="○",[8]回答表!B238,"")),"")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IF([8]回答表!F17="下水道事業",IF([8]回答表!X43="○",[8]回答表!Y184,IF([8]回答表!AA43="○",[8]回答表!Y232,"")),"")</f>
        <v/>
      </c>
      <c r="V137" s="119"/>
      <c r="W137" s="119"/>
      <c r="X137" s="119"/>
      <c r="Y137" s="119"/>
      <c r="Z137" s="119"/>
      <c r="AA137" s="119"/>
      <c r="AB137" s="120"/>
      <c r="AC137" s="118" t="str">
        <f>IF([8]回答表!F17="下水道事業",IF([8]回答表!X43="○",[8]回答表!Y185,IF([8]回答表!AA43="○",[8]回答表!Y233,"")),"")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IF([8]回答表!F17="下水道事業",IF([8]回答表!X43="○",[8]回答表!E190,IF([8]回答表!AA43="○",[8]回答表!E238,"")),"")</f>
        <v/>
      </c>
      <c r="BF138" s="83"/>
      <c r="BG138" s="83"/>
      <c r="BH138" s="83"/>
      <c r="BI138" s="82" t="str">
        <f>IF([8]回答表!F17="下水道事業",IF([8]回答表!X43="○",[8]回答表!E191,IF([8]回答表!AA43="○",[8]回答表!E239,"")),"")</f>
        <v/>
      </c>
      <c r="BJ138" s="83"/>
      <c r="BK138" s="83"/>
      <c r="BL138" s="83"/>
      <c r="BM138" s="82" t="str">
        <f>IF([8]回答表!F17="下水道事業",IF([8]回答表!X43="○",[8]回答表!E192,IF([8]回答表!AA43="○",[8]回答表!E240,"")),"")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IF([8]回答表!F17="下水道事業",IF([8]回答表!AA43="○","○",""),"")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IF([8]回答表!F17="下水道事業",IF([8]回答表!X43="○",[8]回答表!Y186,IF([8]回答表!AA43="○",[8]回答表!Y234,"")),"")</f>
        <v/>
      </c>
      <c r="V142" s="119"/>
      <c r="W142" s="119"/>
      <c r="X142" s="119"/>
      <c r="Y142" s="119"/>
      <c r="Z142" s="119"/>
      <c r="AA142" s="119"/>
      <c r="AB142" s="120"/>
      <c r="AC142" s="118" t="str">
        <f>IF([8]回答表!F17="下水道事業",IF([8]回答表!X43="○",[8]回答表!Y187,IF([8]回答表!AA43="○",[8]回答表!Y235,"")),"")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IF([8]回答表!F17="下水道事業",IF([8]回答表!AD43="○","○",""),"")</f>
        <v/>
      </c>
      <c r="O147" s="98"/>
      <c r="P147" s="98"/>
      <c r="Q147" s="99"/>
      <c r="R147" s="39"/>
      <c r="S147" s="39"/>
      <c r="T147" s="39"/>
      <c r="U147" s="106" t="str">
        <f>IF([8]回答表!F17="下水道事業",IF([8]回答表!AD43="○",[8]回答表!B249,""),"")</f>
        <v/>
      </c>
      <c r="V147" s="107"/>
      <c r="W147" s="107"/>
      <c r="X147" s="107"/>
      <c r="Y147" s="107"/>
      <c r="Z147" s="107"/>
      <c r="AA147" s="107"/>
      <c r="AB147" s="107"/>
      <c r="AC147" s="107"/>
      <c r="AD147" s="107"/>
      <c r="AE147" s="107"/>
      <c r="AF147" s="107"/>
      <c r="AG147" s="107"/>
      <c r="AH147" s="107"/>
      <c r="AI147" s="107"/>
      <c r="AJ147" s="108"/>
      <c r="AK147" s="56"/>
      <c r="AL147" s="56"/>
      <c r="AM147" s="106" t="str">
        <f>IF([8]回答表!F17="下水道事業",IF([8]回答表!AD43="○",[8]回答表!B255,""),"")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IF([8]回答表!BD17="○",IF([8]回答表!X43="○","○",""),"")</f>
        <v/>
      </c>
      <c r="O159" s="98"/>
      <c r="P159" s="98"/>
      <c r="Q159" s="99"/>
      <c r="R159" s="39"/>
      <c r="S159" s="39"/>
      <c r="T159" s="39"/>
      <c r="U159" s="106" t="str">
        <f>IF([8]回答表!BD17="○",IF([8]回答表!X43="○",[8]回答表!B154,IF([8]回答表!AA43="○",[8]回答表!B201,"")),"")</f>
        <v/>
      </c>
      <c r="V159" s="107"/>
      <c r="W159" s="107"/>
      <c r="X159" s="107"/>
      <c r="Y159" s="107"/>
      <c r="Z159" s="107"/>
      <c r="AA159" s="107"/>
      <c r="AB159" s="107"/>
      <c r="AC159" s="107"/>
      <c r="AD159" s="107"/>
      <c r="AE159" s="107"/>
      <c r="AF159" s="107"/>
      <c r="AG159" s="107"/>
      <c r="AH159" s="107"/>
      <c r="AI159" s="107"/>
      <c r="AJ159" s="108"/>
      <c r="AK159" s="50"/>
      <c r="AL159" s="50"/>
      <c r="AM159" s="115" t="str">
        <f>IF([8]回答表!BD17="○",IF([8]回答表!X43="○",[8]回答表!B190,IF([8]回答表!AA43="○",[8]回答表!B238,"")),"")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IF([8]回答表!BD17="○",IF([8]回答表!X43="○",[8]回答表!E190,IF([8]回答表!AA43="○",[8]回答表!E238,"")),"")</f>
        <v/>
      </c>
      <c r="AN162" s="83"/>
      <c r="AO162" s="83"/>
      <c r="AP162" s="83"/>
      <c r="AQ162" s="82" t="str">
        <f>IF([8]回答表!BD17="○",IF([8]回答表!X43="○",[8]回答表!E191,IF([8]回答表!AA43="○",[8]回答表!E239,"")),"")</f>
        <v/>
      </c>
      <c r="AR162" s="83"/>
      <c r="AS162" s="83"/>
      <c r="AT162" s="83"/>
      <c r="AU162" s="82" t="str">
        <f>IF([8]回答表!BD17="○",IF([8]回答表!X43="○",[8]回答表!E192,IF([8]回答表!AA43="○",[8]回答表!E240,"")),"")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IF([8]回答表!BD17="○",IF([8]回答表!AA43="○","○",""),"")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IF([8]回答表!BD17="○",IF([8]回答表!AD43="○","○",""),"")</f>
        <v/>
      </c>
      <c r="O171" s="98"/>
      <c r="P171" s="98"/>
      <c r="Q171" s="99"/>
      <c r="R171" s="39"/>
      <c r="S171" s="39"/>
      <c r="T171" s="39"/>
      <c r="U171" s="106" t="str">
        <f>IF([8]回答表!BD17="○",IF([8]回答表!AD43="○",[8]回答表!B249,""),"")</f>
        <v/>
      </c>
      <c r="V171" s="107"/>
      <c r="W171" s="107"/>
      <c r="X171" s="107"/>
      <c r="Y171" s="107"/>
      <c r="Z171" s="107"/>
      <c r="AA171" s="107"/>
      <c r="AB171" s="107"/>
      <c r="AC171" s="107"/>
      <c r="AD171" s="107"/>
      <c r="AE171" s="107"/>
      <c r="AF171" s="107"/>
      <c r="AG171" s="107"/>
      <c r="AH171" s="107"/>
      <c r="AI171" s="107"/>
      <c r="AJ171" s="108"/>
      <c r="AK171" s="56"/>
      <c r="AL171" s="56"/>
      <c r="AM171" s="106" t="str">
        <f>IF([8]回答表!BD17="○",IF([8]回答表!AD43="○",[8]回答表!B255,""),"")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IF([8]回答表!X44="○","○","")</f>
        <v/>
      </c>
      <c r="O183" s="98"/>
      <c r="P183" s="98"/>
      <c r="Q183" s="99"/>
      <c r="R183" s="39"/>
      <c r="S183" s="39"/>
      <c r="T183" s="39"/>
      <c r="U183" s="106" t="str">
        <f>IF([8]回答表!X44="○",[8]回答表!B266,IF([8]回答表!AA44="○",[8]回答表!B283,""))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IF([8]回答表!X44="○",[8]回答表!U272,IF([8]回答表!AA44="○",[8]回答表!U289,""))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IF([8]回答表!X44="○",[8]回答表!G272,IF([8]回答表!AA44="○",[8]回答表!G289,""))</f>
        <v/>
      </c>
      <c r="AN186" s="119"/>
      <c r="AO186" s="119"/>
      <c r="AP186" s="119"/>
      <c r="AQ186" s="119"/>
      <c r="AR186" s="119"/>
      <c r="AS186" s="119"/>
      <c r="AT186" s="120"/>
      <c r="AU186" s="118" t="str">
        <f>IF([8]回答表!X44="○",[8]回答表!G273,IF([8]回答表!AA44="○",[8]回答表!G290,""))</f>
        <v/>
      </c>
      <c r="AV186" s="119"/>
      <c r="AW186" s="119"/>
      <c r="AX186" s="119"/>
      <c r="AY186" s="119"/>
      <c r="AZ186" s="119"/>
      <c r="BA186" s="119"/>
      <c r="BB186" s="120"/>
      <c r="BC186" s="40"/>
      <c r="BD186" s="35"/>
      <c r="BE186" s="82" t="str">
        <f>IF([8]回答表!X44="○",[8]回答表!X272,IF([8]回答表!AA44="○",[8]回答表!X289,""))</f>
        <v/>
      </c>
      <c r="BF186" s="83"/>
      <c r="BG186" s="83"/>
      <c r="BH186" s="83"/>
      <c r="BI186" s="82" t="str">
        <f>IF([8]回答表!X44="○",[8]回答表!X273,IF([8]回答表!AA44="○",[8]回答表!X290,""))</f>
        <v/>
      </c>
      <c r="BJ186" s="83"/>
      <c r="BK186" s="83"/>
      <c r="BL186" s="86"/>
      <c r="BM186" s="82" t="str">
        <f>IF([8]回答表!X44="○",[8]回答表!X274,IF([8]回答表!AA44="○",[8]回答表!X291,""))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IF([8]回答表!AA44="○","○","")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IF([8]回答表!AD44="○","○","")</f>
        <v/>
      </c>
      <c r="O195" s="98"/>
      <c r="P195" s="98"/>
      <c r="Q195" s="99"/>
      <c r="R195" s="39"/>
      <c r="S195" s="39"/>
      <c r="T195" s="39"/>
      <c r="U195" s="106" t="str">
        <f>IF([8]回答表!AD44="○",[8]回答表!B296,"")</f>
        <v/>
      </c>
      <c r="V195" s="107"/>
      <c r="W195" s="107"/>
      <c r="X195" s="107"/>
      <c r="Y195" s="107"/>
      <c r="Z195" s="107"/>
      <c r="AA195" s="107"/>
      <c r="AB195" s="107"/>
      <c r="AC195" s="107"/>
      <c r="AD195" s="107"/>
      <c r="AE195" s="107"/>
      <c r="AF195" s="107"/>
      <c r="AG195" s="107"/>
      <c r="AH195" s="107"/>
      <c r="AI195" s="107"/>
      <c r="AJ195" s="108"/>
      <c r="AK195" s="61"/>
      <c r="AL195" s="61"/>
      <c r="AM195" s="106" t="str">
        <f>IF([8]回答表!AD44="○",[8]回答表!B302,"")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IF([8]回答表!X45="○","○","")</f>
        <v/>
      </c>
      <c r="O207" s="98"/>
      <c r="P207" s="98"/>
      <c r="Q207" s="99"/>
      <c r="R207" s="39"/>
      <c r="S207" s="39"/>
      <c r="T207" s="39"/>
      <c r="U207" s="106" t="str">
        <f>IF([8]回答表!X45="○",[8]回答表!B314,IF([8]回答表!AA45="○",[8]回答表!B337,""))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IF([8]回答表!X45="○",[8]回答表!B320,"")</f>
        <v/>
      </c>
      <c r="AO207" s="164"/>
      <c r="AP207" s="164"/>
      <c r="AQ207" s="164"/>
      <c r="AR207" s="164"/>
      <c r="AS207" s="164"/>
      <c r="AT207" s="164"/>
      <c r="AU207" s="164"/>
      <c r="AV207" s="164"/>
      <c r="AW207" s="164"/>
      <c r="AX207" s="164"/>
      <c r="AY207" s="164"/>
      <c r="AZ207" s="164"/>
      <c r="BA207" s="164"/>
      <c r="BB207" s="165"/>
      <c r="BC207" s="40"/>
      <c r="BD207" s="35"/>
      <c r="BE207" s="115" t="str">
        <f>IF([8]回答表!X45="○",[8]回答表!B326,IF([8]回答表!AA45="○",[8]回答表!B343,""))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IF([8]回答表!X45="○",[8]回答表!E326,IF([8]回答表!AA45="○",[8]回答表!E343,""))</f>
        <v/>
      </c>
      <c r="BF210" s="83"/>
      <c r="BG210" s="83"/>
      <c r="BH210" s="83"/>
      <c r="BI210" s="82" t="str">
        <f>IF([8]回答表!X45="○",[8]回答表!E327,IF([8]回答表!AA45="○",[8]回答表!E344,""))</f>
        <v/>
      </c>
      <c r="BJ210" s="83"/>
      <c r="BK210" s="83"/>
      <c r="BL210" s="86"/>
      <c r="BM210" s="82" t="str">
        <f>IF([8]回答表!X45="○",[8]回答表!E328,IF([8]回答表!AA45="○",[8]回答表!E345,""))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IF([8]回答表!AA45="○","○","")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IF([8]回答表!AD45="○","○","")</f>
        <v/>
      </c>
      <c r="O219" s="98"/>
      <c r="P219" s="98"/>
      <c r="Q219" s="99"/>
      <c r="R219" s="39"/>
      <c r="S219" s="39"/>
      <c r="T219" s="39"/>
      <c r="U219" s="106" t="str">
        <f>IF([8]回答表!AD45="○",[8]回答表!B350,"")</f>
        <v/>
      </c>
      <c r="V219" s="107"/>
      <c r="W219" s="107"/>
      <c r="X219" s="107"/>
      <c r="Y219" s="107"/>
      <c r="Z219" s="107"/>
      <c r="AA219" s="107"/>
      <c r="AB219" s="107"/>
      <c r="AC219" s="107"/>
      <c r="AD219" s="107"/>
      <c r="AE219" s="107"/>
      <c r="AF219" s="107"/>
      <c r="AG219" s="107"/>
      <c r="AH219" s="107"/>
      <c r="AI219" s="107"/>
      <c r="AJ219" s="108"/>
      <c r="AK219" s="61"/>
      <c r="AL219" s="61"/>
      <c r="AM219" s="106" t="str">
        <f>IF([8]回答表!AD45="○",[8]回答表!B356,"")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IF([8]回答表!X46="○","○","")</f>
        <v/>
      </c>
      <c r="O231" s="98"/>
      <c r="P231" s="98"/>
      <c r="Q231" s="99"/>
      <c r="R231" s="39"/>
      <c r="S231" s="39"/>
      <c r="T231" s="39"/>
      <c r="U231" s="106" t="str">
        <f>IF([8]回答表!X46="○",[8]回答表!B368,IF([8]回答表!AA46="○",[8]回答表!B382,""))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IF([8]回答表!X46="○",[8]回答表!BC375,IF([8]回答表!AA46="○",[8]回答表!BC389,""))</f>
        <v/>
      </c>
      <c r="AR231" s="150"/>
      <c r="AS231" s="150"/>
      <c r="AT231" s="150"/>
      <c r="AU231" s="155" t="s">
        <v>63</v>
      </c>
      <c r="AV231" s="156"/>
      <c r="AW231" s="156"/>
      <c r="AX231" s="157"/>
      <c r="AY231" s="150" t="str">
        <f>IF([8]回答表!X46="○",[8]回答表!BC380,IF([8]回答表!AA46="○",[8]回答表!BC394,""))</f>
        <v/>
      </c>
      <c r="AZ231" s="150"/>
      <c r="BA231" s="150"/>
      <c r="BB231" s="150"/>
      <c r="BC231" s="40"/>
      <c r="BD231" s="35"/>
      <c r="BE231" s="115" t="str">
        <f>IF([8]回答表!X46="○",[8]回答表!S374,IF([8]回答表!AA46="○",[8]回答表!S388,""))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IF([8]回答表!X46="○",[8]回答表!BC376,IF([8]回答表!AA46="○",[8]回答表!BC390,""))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IF([8]回答表!X46="○",[8]回答表!V374,IF([8]回答表!AA46="○",[8]回答表!V388,""))</f>
        <v/>
      </c>
      <c r="BF234" s="83"/>
      <c r="BG234" s="83"/>
      <c r="BH234" s="83"/>
      <c r="BI234" s="82" t="str">
        <f>IF([8]回答表!X46="○",[8]回答表!V375,IF([8]回答表!AA46="○",[8]回答表!V389,""))</f>
        <v/>
      </c>
      <c r="BJ234" s="83"/>
      <c r="BK234" s="83"/>
      <c r="BL234" s="86"/>
      <c r="BM234" s="82" t="str">
        <f>IF([8]回答表!X46="○",[8]回答表!V376,IF([8]回答表!AA46="○",[8]回答表!V390,""))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IF([8]回答表!X46="○",[8]回答表!BC377,IF([8]回答表!AA46="○",[8]回答表!BC391,""))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IF([8]回答表!X46="○",[8]回答表!BC381,IF([8]回答表!AA46="○",[8]回答表!BC395,""))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IF([8]回答表!AA46="○","○","")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IF([8]回答表!X46="○",[8]回答表!BC378,IF([8]回答表!AA46="○",[8]回答表!BC392,""))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IF([8]回答表!X46="○",[8]回答表!BC379,IF([8]回答表!AA46="○",[8]回答表!BC393,""))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IF([8]回答表!AD46="○","○","")</f>
        <v/>
      </c>
      <c r="O243" s="98"/>
      <c r="P243" s="98"/>
      <c r="Q243" s="99"/>
      <c r="R243" s="39"/>
      <c r="S243" s="39"/>
      <c r="T243" s="39"/>
      <c r="U243" s="106" t="str">
        <f>IF([8]回答表!AD46="○",[8]回答表!B396,"")</f>
        <v/>
      </c>
      <c r="V243" s="107"/>
      <c r="W243" s="107"/>
      <c r="X243" s="107"/>
      <c r="Y243" s="107"/>
      <c r="Z243" s="107"/>
      <c r="AA243" s="107"/>
      <c r="AB243" s="107"/>
      <c r="AC243" s="107"/>
      <c r="AD243" s="107"/>
      <c r="AE243" s="107"/>
      <c r="AF243" s="107"/>
      <c r="AG243" s="107"/>
      <c r="AH243" s="107"/>
      <c r="AI243" s="107"/>
      <c r="AJ243" s="108"/>
      <c r="AK243" s="56"/>
      <c r="AL243" s="56"/>
      <c r="AM243" s="106" t="str">
        <f>IF([8]回答表!AD46="○",[8]回答表!B402,"")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IF([8]回答表!X47="○","○","")</f>
        <v/>
      </c>
      <c r="O254" s="98"/>
      <c r="P254" s="98"/>
      <c r="Q254" s="99"/>
      <c r="R254" s="39"/>
      <c r="S254" s="39"/>
      <c r="T254" s="39"/>
      <c r="U254" s="106" t="str">
        <f>IF([8]回答表!X47="○",[8]回答表!B414,IF([8]回答表!AA47="○",[8]回答表!B431,""))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IF([8]回答表!X47="○",[8]回答表!B424,IF([8]回答表!AA47="○",[8]回答表!B441,""))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IF([8]回答表!X47="○",[8]回答表!G420,IF([8]回答表!AA47="○",[8]回答表!G437,""))</f>
        <v/>
      </c>
      <c r="AN256" s="119"/>
      <c r="AO256" s="119"/>
      <c r="AP256" s="119"/>
      <c r="AQ256" s="119"/>
      <c r="AR256" s="119"/>
      <c r="AS256" s="119"/>
      <c r="AT256" s="120"/>
      <c r="AU256" s="118" t="str">
        <f>IF([8]回答表!X47="○",[8]回答表!G421,IF([8]回答表!AA47="○",[8]回答表!G438,""))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IF([8]回答表!X47="○",[8]回答表!E424,IF([8]回答表!AA47="○",[8]回答表!E441,""))</f>
        <v/>
      </c>
      <c r="BF257" s="83"/>
      <c r="BG257" s="83"/>
      <c r="BH257" s="83"/>
      <c r="BI257" s="82" t="str">
        <f>IF([8]回答表!X47="○",[8]回答表!E425,IF([8]回答表!AA47="○",[8]回答表!E442,""))</f>
        <v/>
      </c>
      <c r="BJ257" s="83"/>
      <c r="BK257" s="83"/>
      <c r="BL257" s="86"/>
      <c r="BM257" s="82" t="str">
        <f>IF([8]回答表!X47="○",[8]回答表!E426,IF([8]回答表!AA47="○",[8]回答表!E443,""))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IF([8]回答表!AA47="○","○","")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IF([8]回答表!AD47="○","○","")</f>
        <v/>
      </c>
      <c r="O266" s="98"/>
      <c r="P266" s="98"/>
      <c r="Q266" s="99"/>
      <c r="R266" s="39"/>
      <c r="S266" s="39"/>
      <c r="T266" s="39"/>
      <c r="U266" s="106" t="str">
        <f>IF([8]回答表!AD47="○",[8]回答表!B448,"")</f>
        <v/>
      </c>
      <c r="V266" s="107"/>
      <c r="W266" s="107"/>
      <c r="X266" s="107"/>
      <c r="Y266" s="107"/>
      <c r="Z266" s="107"/>
      <c r="AA266" s="107"/>
      <c r="AB266" s="107"/>
      <c r="AC266" s="107"/>
      <c r="AD266" s="107"/>
      <c r="AE266" s="107"/>
      <c r="AF266" s="107"/>
      <c r="AG266" s="107"/>
      <c r="AH266" s="107"/>
      <c r="AI266" s="107"/>
      <c r="AJ266" s="108"/>
      <c r="AK266" s="50"/>
      <c r="AL266" s="50"/>
      <c r="AM266" s="106" t="str">
        <f>IF([8]回答表!AD47="○",[8]回答表!B454,"")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IF([8]回答表!R48="○",[8]回答表!B467,"")</f>
        <v>　令和2年4月1日より公営企業化し、今年度改めて経営戦略を策定することとしている。このなかで、現状分析や将来予測を行い、今後の財政計画を作成する上で課題を明確化することで、今後の抜本的な改革の検討ににつながるものと考えているため、現段階では現行の経営体制・手法の継続とした。</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水道</vt:lpstr>
      <vt:lpstr>簡易水道</vt:lpstr>
      <vt:lpstr>ガス</vt:lpstr>
      <vt:lpstr>下水道（公共下水道）</vt:lpstr>
      <vt:lpstr>下水道（特定環境保全公共下水道）</vt:lpstr>
      <vt:lpstr>下水道（農業集落排水施設）</vt:lpstr>
      <vt:lpstr>下水道（漁業集落排水施設）</vt:lpstr>
      <vt:lpstr>下水道（小規模集合排水施設）</vt:lpstr>
      <vt:lpstr>下水道（特定地域排水処理施設）</vt:lpstr>
      <vt:lpstr>下水道（簡易排水施設）</vt:lpstr>
      <vt:lpstr>下水道（個別排水処理施設）</vt:lpstr>
      <vt:lpstr>観光</vt:lpstr>
      <vt:lpstr>介護サービス（指定介護老人福祉施設）</vt:lpstr>
      <vt:lpstr>介護サービス（老人デイサービスセンター）</vt:lpstr>
      <vt:lpstr>介護サービス（老人短期入所施設）</vt:lpstr>
      <vt:lpstr>ガス!Print_Area</vt:lpstr>
      <vt:lpstr>'下水道（簡易排水施設）'!Print_Area</vt:lpstr>
      <vt:lpstr>'下水道（漁業集落排水施設）'!Print_Area</vt:lpstr>
      <vt:lpstr>'下水道（個別排水処理施設）'!Print_Area</vt:lpstr>
      <vt:lpstr>'下水道（公共下水道）'!Print_Area</vt:lpstr>
      <vt:lpstr>'下水道（小規模集合排水施設）'!Print_Area</vt:lpstr>
      <vt:lpstr>'下水道（特定環境保全公共下水道）'!Print_Area</vt:lpstr>
      <vt:lpstr>'下水道（特定地域排水処理施設）'!Print_Area</vt:lpstr>
      <vt:lpstr>'下水道（農業集落排水施設）'!Print_Area</vt:lpstr>
      <vt:lpstr>'介護サービス（指定介護老人福祉施設）'!Print_Area</vt:lpstr>
      <vt:lpstr>'介護サービス（老人デイサービスセンター）'!Print_Area</vt:lpstr>
      <vt:lpstr>'介護サービス（老人短期入所施設）'!Print_Area</vt:lpstr>
      <vt:lpstr>簡易水道!Print_Area</vt:lpstr>
      <vt:lpstr>観光!Print_Area</vt:lpstr>
      <vt:lpstr>水道!Print_Area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cp:lastPrinted>2020-11-16T05:11:33Z</cp:lastPrinted>
  <dcterms:created xsi:type="dcterms:W3CDTF">2015-06-05T18:17:20Z</dcterms:created>
  <dcterms:modified xsi:type="dcterms:W3CDTF">2020-11-17T06:44:37Z</dcterms:modified>
</cp:coreProperties>
</file>